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abbisadeque\OneDrive\Desktop\"/>
    </mc:Choice>
  </mc:AlternateContent>
  <bookViews>
    <workbookView xWindow="0" yWindow="0" windowWidth="24000" windowHeight="9735" tabRatio="879"/>
  </bookViews>
  <sheets>
    <sheet name="Financial Analyis_Summary" sheetId="14" r:id="rId1"/>
    <sheet name="Assumption_Goat" sheetId="40" r:id="rId2"/>
    <sheet name="BaU_Goat" sheetId="41" r:id="rId3"/>
    <sheet name="RCP 4.5_Goat" sheetId="43" r:id="rId4"/>
    <sheet name="RCP 8.5_Goat" sheetId="42" r:id="rId5"/>
    <sheet name="Assumption_Vegatables" sheetId="45" r:id="rId6"/>
    <sheet name="BaU_Vegetables" sheetId="46" r:id="rId7"/>
    <sheet name="RCP 4.5_Vegetables " sheetId="48" r:id="rId8"/>
    <sheet name="RCP 8.5_Vegetables" sheetId="47" r:id="rId9"/>
    <sheet name="Assumption_Hatchery" sheetId="25" r:id="rId10"/>
    <sheet name="BaU_Hatchery" sheetId="1" r:id="rId11"/>
    <sheet name="RCP 4.5_Hatchery" sheetId="31" r:id="rId12"/>
    <sheet name="RCP 8.5_Hatchery" sheetId="30" r:id="rId13"/>
    <sheet name="Assumption_Nursery" sheetId="32" r:id="rId14"/>
    <sheet name="BaU_Nursery" sheetId="33" r:id="rId15"/>
    <sheet name="RCP 4.5_Nursery" sheetId="35" r:id="rId16"/>
    <sheet name="RCP 8.5_Nursery" sheetId="34" r:id="rId17"/>
    <sheet name="Assumption_Fattening" sheetId="36" r:id="rId18"/>
    <sheet name="BaU_Fattening" sheetId="37" r:id="rId19"/>
    <sheet name="RCP 4.5_Fattening" sheetId="39" r:id="rId20"/>
    <sheet name="RCP 8.5_Fattening" sheetId="38" r:id="rId21"/>
    <sheet name="Sheet1" sheetId="49" r:id="rId2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7" i="48" l="1"/>
  <c r="A31" i="48"/>
  <c r="A57" i="47"/>
  <c r="A31" i="47"/>
  <c r="D138" i="45"/>
  <c r="E138" i="45" s="1"/>
  <c r="F138" i="45" s="1"/>
  <c r="G138" i="45" s="1"/>
  <c r="H138" i="45" s="1"/>
  <c r="I138" i="45" s="1"/>
  <c r="J138" i="45" s="1"/>
  <c r="K138" i="45" s="1"/>
  <c r="L138" i="45" s="1"/>
  <c r="M138" i="45" s="1"/>
  <c r="C138" i="45"/>
  <c r="B138" i="45"/>
  <c r="D139" i="45"/>
  <c r="E139" i="45" s="1"/>
  <c r="F139" i="45" s="1"/>
  <c r="G139" i="45" s="1"/>
  <c r="H139" i="45" s="1"/>
  <c r="C139" i="45"/>
  <c r="B139" i="45"/>
  <c r="A57" i="46"/>
  <c r="A31" i="46"/>
  <c r="C24" i="45"/>
  <c r="G47" i="45" s="1"/>
  <c r="C23" i="45"/>
  <c r="F37" i="45" s="1"/>
  <c r="N9" i="45"/>
  <c r="J10" i="45"/>
  <c r="K10" i="45"/>
  <c r="L10" i="45"/>
  <c r="M10" i="45"/>
  <c r="M11" i="45" s="1"/>
  <c r="I10" i="45"/>
  <c r="E47" i="45" l="1"/>
  <c r="L47" i="45"/>
  <c r="F47" i="45"/>
  <c r="K47" i="45"/>
  <c r="J47" i="45"/>
  <c r="I47" i="45"/>
  <c r="D47" i="45"/>
  <c r="H47" i="45"/>
  <c r="M47" i="45"/>
  <c r="M37" i="45"/>
  <c r="E37" i="45"/>
  <c r="I139" i="45"/>
  <c r="J139" i="45" s="1"/>
  <c r="K139" i="45" s="1"/>
  <c r="L37" i="45"/>
  <c r="I37" i="45"/>
  <c r="H37" i="45"/>
  <c r="K37" i="45"/>
  <c r="G37" i="45"/>
  <c r="D37" i="45"/>
  <c r="J37" i="45"/>
  <c r="N10" i="45"/>
  <c r="L139" i="45" l="1"/>
  <c r="M139" i="45" l="1"/>
  <c r="D144" i="45" l="1"/>
  <c r="E144" i="45" s="1"/>
  <c r="F144" i="45" s="1"/>
  <c r="G144" i="45" s="1"/>
  <c r="H144" i="45" s="1"/>
  <c r="I144" i="45" s="1"/>
  <c r="J144" i="45" s="1"/>
  <c r="K144" i="45" s="1"/>
  <c r="L144" i="45" s="1"/>
  <c r="M144" i="45" s="1"/>
  <c r="C144" i="45"/>
  <c r="B144" i="45"/>
  <c r="D143" i="45"/>
  <c r="C143" i="45"/>
  <c r="B143" i="45"/>
  <c r="D142" i="45"/>
  <c r="C142" i="45"/>
  <c r="B142" i="45"/>
  <c r="D137" i="45"/>
  <c r="E137" i="45" s="1"/>
  <c r="F137" i="45" s="1"/>
  <c r="G137" i="45" s="1"/>
  <c r="H137" i="45" s="1"/>
  <c r="I137" i="45" s="1"/>
  <c r="J137" i="45" s="1"/>
  <c r="K137" i="45" s="1"/>
  <c r="L137" i="45" s="1"/>
  <c r="M137" i="45" s="1"/>
  <c r="C137" i="45"/>
  <c r="B137" i="45"/>
  <c r="D136" i="45"/>
  <c r="C136" i="45"/>
  <c r="B136" i="45"/>
  <c r="C135" i="45"/>
  <c r="B135" i="45"/>
  <c r="D135" i="45"/>
  <c r="F93" i="45"/>
  <c r="F79" i="45"/>
  <c r="E79" i="45"/>
  <c r="AA84" i="45" s="1"/>
  <c r="D79" i="45"/>
  <c r="W84" i="45" s="1"/>
  <c r="F78" i="45"/>
  <c r="Y83" i="45" s="1"/>
  <c r="E78" i="45"/>
  <c r="U83" i="45" s="1"/>
  <c r="D78" i="45"/>
  <c r="Z83" i="45" s="1"/>
  <c r="C73" i="45"/>
  <c r="D69" i="45"/>
  <c r="W66" i="45"/>
  <c r="S66" i="45"/>
  <c r="G66" i="45"/>
  <c r="D66" i="45"/>
  <c r="D59" i="45"/>
  <c r="D60" i="45" s="1"/>
  <c r="V57" i="45"/>
  <c r="N57" i="45"/>
  <c r="F57" i="45"/>
  <c r="D50" i="45"/>
  <c r="D38" i="45"/>
  <c r="C20" i="45"/>
  <c r="AA57" i="45"/>
  <c r="Z66" i="45"/>
  <c r="W57" i="45"/>
  <c r="V66" i="45"/>
  <c r="S57" i="45"/>
  <c r="R66" i="45"/>
  <c r="O57" i="45"/>
  <c r="N66" i="45"/>
  <c r="K57" i="45"/>
  <c r="J66" i="45"/>
  <c r="G57" i="45"/>
  <c r="F66" i="45"/>
  <c r="D57" i="45"/>
  <c r="C121" i="32"/>
  <c r="V121" i="32"/>
  <c r="Q121" i="32"/>
  <c r="L121" i="32"/>
  <c r="V114" i="40"/>
  <c r="E107" i="25"/>
  <c r="E104" i="45" s="1"/>
  <c r="U109" i="45" s="1"/>
  <c r="F107" i="25"/>
  <c r="F104" i="45" s="1"/>
  <c r="Y109" i="45" s="1"/>
  <c r="D107" i="25"/>
  <c r="D104" i="45" s="1"/>
  <c r="N109" i="45" s="1"/>
  <c r="E95" i="25"/>
  <c r="E92" i="45" s="1"/>
  <c r="U97" i="45" s="1"/>
  <c r="F95" i="25"/>
  <c r="F92" i="45" s="1"/>
  <c r="P97" i="45" s="1"/>
  <c r="D95" i="25"/>
  <c r="E96" i="25"/>
  <c r="E96" i="32" s="1"/>
  <c r="O101" i="32" s="1"/>
  <c r="F96" i="25"/>
  <c r="F108" i="25" s="1"/>
  <c r="F101" i="40" s="1"/>
  <c r="P106" i="40" s="1"/>
  <c r="D96" i="25"/>
  <c r="D93" i="45" s="1"/>
  <c r="W98" i="45" s="1"/>
  <c r="B21" i="14"/>
  <c r="B22" i="14"/>
  <c r="B20" i="14"/>
  <c r="V121" i="36"/>
  <c r="Q121" i="36"/>
  <c r="L121" i="36"/>
  <c r="A71" i="34"/>
  <c r="A68" i="35"/>
  <c r="A69" i="35"/>
  <c r="A70" i="35"/>
  <c r="A71" i="35"/>
  <c r="A67" i="35"/>
  <c r="A42" i="35"/>
  <c r="A68" i="33"/>
  <c r="A69" i="33"/>
  <c r="A70" i="33"/>
  <c r="A71" i="33"/>
  <c r="A67" i="33"/>
  <c r="A42" i="33"/>
  <c r="A14" i="34" s="1"/>
  <c r="A42" i="34" s="1"/>
  <c r="D160" i="32"/>
  <c r="E160" i="32" s="1"/>
  <c r="F160" i="32" s="1"/>
  <c r="G160" i="32" s="1"/>
  <c r="H160" i="32" s="1"/>
  <c r="I160" i="32" s="1"/>
  <c r="J160" i="32" s="1"/>
  <c r="K160" i="32" s="1"/>
  <c r="L160" i="32" s="1"/>
  <c r="M160" i="32" s="1"/>
  <c r="N160" i="32" s="1"/>
  <c r="O160" i="32" s="1"/>
  <c r="P160" i="32" s="1"/>
  <c r="Q160" i="32" s="1"/>
  <c r="R160" i="32" s="1"/>
  <c r="S160" i="32" s="1"/>
  <c r="T160" i="32" s="1"/>
  <c r="U160" i="32" s="1"/>
  <c r="V160" i="32" s="1"/>
  <c r="W160" i="32" s="1"/>
  <c r="X160" i="32" s="1"/>
  <c r="Y160" i="32" s="1"/>
  <c r="Z160" i="32" s="1"/>
  <c r="AA160" i="32" s="1"/>
  <c r="AB160" i="32" s="1"/>
  <c r="D161" i="32"/>
  <c r="E161" i="32" s="1"/>
  <c r="F161" i="32" s="1"/>
  <c r="G161" i="32" s="1"/>
  <c r="H161" i="32" s="1"/>
  <c r="I161" i="32" s="1"/>
  <c r="J161" i="32" s="1"/>
  <c r="K161" i="32" s="1"/>
  <c r="L161" i="32" s="1"/>
  <c r="M161" i="32" s="1"/>
  <c r="N161" i="32" s="1"/>
  <c r="O161" i="32" s="1"/>
  <c r="P161" i="32" s="1"/>
  <c r="Q161" i="32" s="1"/>
  <c r="R161" i="32" s="1"/>
  <c r="S161" i="32" s="1"/>
  <c r="T161" i="32" s="1"/>
  <c r="U161" i="32" s="1"/>
  <c r="V161" i="32" s="1"/>
  <c r="W161" i="32" s="1"/>
  <c r="X161" i="32" s="1"/>
  <c r="Y161" i="32" s="1"/>
  <c r="Z161" i="32" s="1"/>
  <c r="AA161" i="32" s="1"/>
  <c r="AB161" i="32" s="1"/>
  <c r="D159" i="32"/>
  <c r="B14" i="33" s="1"/>
  <c r="B14" i="35" s="1"/>
  <c r="B42" i="35" s="1"/>
  <c r="C159" i="32"/>
  <c r="C160" i="32"/>
  <c r="C161" i="32"/>
  <c r="B160" i="32"/>
  <c r="B161" i="32"/>
  <c r="B159" i="32"/>
  <c r="M121" i="25"/>
  <c r="R121" i="25"/>
  <c r="A77" i="43"/>
  <c r="C75" i="43"/>
  <c r="A69" i="43"/>
  <c r="A68" i="43"/>
  <c r="C67" i="43"/>
  <c r="A67" i="43"/>
  <c r="A63" i="43"/>
  <c r="A46" i="43"/>
  <c r="C44" i="43"/>
  <c r="A38" i="43"/>
  <c r="A37" i="43"/>
  <c r="C36" i="43"/>
  <c r="A36" i="43"/>
  <c r="A32" i="43"/>
  <c r="B12" i="43"/>
  <c r="B42" i="43" s="1"/>
  <c r="B8" i="43"/>
  <c r="A77" i="42"/>
  <c r="C75" i="42"/>
  <c r="B73" i="42"/>
  <c r="A69" i="42"/>
  <c r="A68" i="42"/>
  <c r="C67" i="42"/>
  <c r="A67" i="42"/>
  <c r="A63" i="42"/>
  <c r="B47" i="42"/>
  <c r="A46" i="42"/>
  <c r="C44" i="42"/>
  <c r="A38" i="42"/>
  <c r="A37" i="42"/>
  <c r="C36" i="42"/>
  <c r="A36" i="42"/>
  <c r="A32" i="42"/>
  <c r="B12" i="42"/>
  <c r="B42" i="42" s="1"/>
  <c r="A74" i="41"/>
  <c r="A77" i="41"/>
  <c r="A46" i="41"/>
  <c r="G161" i="40"/>
  <c r="H161" i="40" s="1"/>
  <c r="I161" i="40" s="1"/>
  <c r="J161" i="40" s="1"/>
  <c r="K161" i="40" s="1"/>
  <c r="L161" i="40" s="1"/>
  <c r="M161" i="40" s="1"/>
  <c r="N161" i="40" s="1"/>
  <c r="O161" i="40" s="1"/>
  <c r="P161" i="40" s="1"/>
  <c r="Q161" i="40" s="1"/>
  <c r="R161" i="40" s="1"/>
  <c r="D161" i="40"/>
  <c r="E161" i="40" s="1"/>
  <c r="F161" i="40" s="1"/>
  <c r="D160" i="40"/>
  <c r="E160" i="40" s="1"/>
  <c r="F160" i="40" s="1"/>
  <c r="G160" i="40" s="1"/>
  <c r="H160" i="40" s="1"/>
  <c r="I160" i="40" s="1"/>
  <c r="J160" i="40" s="1"/>
  <c r="K160" i="40" s="1"/>
  <c r="L160" i="40" s="1"/>
  <c r="M160" i="40" s="1"/>
  <c r="N160" i="40" s="1"/>
  <c r="O160" i="40" s="1"/>
  <c r="P160" i="40" s="1"/>
  <c r="Q160" i="40" s="1"/>
  <c r="R160" i="40" s="1"/>
  <c r="C160" i="40"/>
  <c r="C161" i="40"/>
  <c r="B160" i="40"/>
  <c r="B161" i="40"/>
  <c r="B159" i="40"/>
  <c r="D159" i="40"/>
  <c r="E159" i="40" s="1"/>
  <c r="F159" i="40" s="1"/>
  <c r="C159" i="40"/>
  <c r="A68" i="41"/>
  <c r="A69" i="41"/>
  <c r="A67" i="41"/>
  <c r="A37" i="41"/>
  <c r="A38" i="41"/>
  <c r="A36" i="41"/>
  <c r="Q114" i="40"/>
  <c r="L114" i="40"/>
  <c r="D136" i="40"/>
  <c r="E136" i="40"/>
  <c r="C118" i="40" s="1"/>
  <c r="D150" i="40" s="1"/>
  <c r="B8" i="42" s="1"/>
  <c r="C136" i="40"/>
  <c r="C115" i="40" s="1"/>
  <c r="D147" i="40" s="1"/>
  <c r="E147" i="40" s="1"/>
  <c r="F147" i="40" s="1"/>
  <c r="G147" i="40" s="1"/>
  <c r="H147" i="40" s="1"/>
  <c r="I147" i="40" s="1"/>
  <c r="J147" i="40" s="1"/>
  <c r="K147" i="40" s="1"/>
  <c r="L147" i="40" s="1"/>
  <c r="M147" i="40" s="1"/>
  <c r="N147" i="40" s="1"/>
  <c r="O147" i="40" s="1"/>
  <c r="P147" i="40" s="1"/>
  <c r="Q147" i="40" s="1"/>
  <c r="R147" i="40" s="1"/>
  <c r="C123" i="40"/>
  <c r="D33" i="40"/>
  <c r="C122" i="40"/>
  <c r="D155" i="40" s="1"/>
  <c r="S9" i="40"/>
  <c r="C6" i="40" s="1"/>
  <c r="F139" i="40"/>
  <c r="E139" i="40"/>
  <c r="D139" i="40"/>
  <c r="A63" i="41"/>
  <c r="A32" i="41"/>
  <c r="D149" i="40"/>
  <c r="E149" i="40" s="1"/>
  <c r="F149" i="40" s="1"/>
  <c r="I149" i="40" s="1"/>
  <c r="K149" i="40" s="1"/>
  <c r="L149" i="40" s="1"/>
  <c r="N149" i="40" s="1"/>
  <c r="O149" i="40" s="1"/>
  <c r="Q149" i="40" s="1"/>
  <c r="R149" i="40" s="1"/>
  <c r="C150" i="40"/>
  <c r="C149" i="40"/>
  <c r="B150" i="40"/>
  <c r="B149" i="40"/>
  <c r="O10" i="40"/>
  <c r="P10" i="40"/>
  <c r="Q10" i="40"/>
  <c r="R10" i="40"/>
  <c r="N10" i="40"/>
  <c r="D162" i="40"/>
  <c r="E162" i="40" s="1"/>
  <c r="F162" i="40" s="1"/>
  <c r="G162" i="40" s="1"/>
  <c r="H162" i="40" s="1"/>
  <c r="I162" i="40" s="1"/>
  <c r="J162" i="40" s="1"/>
  <c r="K162" i="40" s="1"/>
  <c r="L162" i="40" s="1"/>
  <c r="M162" i="40" s="1"/>
  <c r="N162" i="40" s="1"/>
  <c r="O162" i="40" s="1"/>
  <c r="P162" i="40" s="1"/>
  <c r="Q162" i="40" s="1"/>
  <c r="R162" i="40" s="1"/>
  <c r="C162" i="40"/>
  <c r="B162" i="40"/>
  <c r="D158" i="40"/>
  <c r="C158" i="40"/>
  <c r="B158" i="40"/>
  <c r="A15" i="41" s="1"/>
  <c r="A45" i="41" s="1"/>
  <c r="D157" i="40"/>
  <c r="E157" i="40" s="1"/>
  <c r="F157" i="40" s="1"/>
  <c r="C157" i="40"/>
  <c r="B157" i="40"/>
  <c r="A14" i="41" s="1"/>
  <c r="A75" i="41" s="1"/>
  <c r="C156" i="40"/>
  <c r="B156" i="40"/>
  <c r="A13" i="41" s="1"/>
  <c r="A43" i="41" s="1"/>
  <c r="C155" i="40"/>
  <c r="B155" i="40"/>
  <c r="A12" i="41" s="1"/>
  <c r="A42" i="41" s="1"/>
  <c r="D148" i="40"/>
  <c r="E148" i="40" s="1"/>
  <c r="F148" i="40" s="1"/>
  <c r="G148" i="40" s="1"/>
  <c r="H148" i="40" s="1"/>
  <c r="I148" i="40" s="1"/>
  <c r="J148" i="40" s="1"/>
  <c r="K148" i="40" s="1"/>
  <c r="L148" i="40" s="1"/>
  <c r="M148" i="40" s="1"/>
  <c r="N148" i="40" s="1"/>
  <c r="O148" i="40" s="1"/>
  <c r="P148" i="40" s="1"/>
  <c r="Q148" i="40" s="1"/>
  <c r="R148" i="40" s="1"/>
  <c r="C148" i="40"/>
  <c r="B148" i="40"/>
  <c r="C147" i="40"/>
  <c r="B147" i="40"/>
  <c r="C146" i="40"/>
  <c r="B146" i="40"/>
  <c r="F100" i="40"/>
  <c r="P105" i="40" s="1"/>
  <c r="E100" i="40"/>
  <c r="X105" i="40" s="1"/>
  <c r="D100" i="40"/>
  <c r="W105" i="40" s="1"/>
  <c r="F89" i="40"/>
  <c r="V94" i="40" s="1"/>
  <c r="F88" i="40"/>
  <c r="J93" i="40" s="1"/>
  <c r="E88" i="40"/>
  <c r="X93" i="40" s="1"/>
  <c r="F75" i="40"/>
  <c r="M114" i="40" s="1"/>
  <c r="E75" i="40"/>
  <c r="X80" i="40" s="1"/>
  <c r="D75" i="40"/>
  <c r="T80" i="40" s="1"/>
  <c r="F74" i="40"/>
  <c r="E74" i="40"/>
  <c r="X79" i="40" s="1"/>
  <c r="D74" i="40"/>
  <c r="T79" i="40" s="1"/>
  <c r="C69" i="40"/>
  <c r="D65" i="40"/>
  <c r="D62" i="40"/>
  <c r="D55" i="40"/>
  <c r="D56" i="40" s="1"/>
  <c r="X53" i="40"/>
  <c r="P53" i="40"/>
  <c r="H53" i="40"/>
  <c r="D46" i="40"/>
  <c r="B47" i="41" s="1"/>
  <c r="C20" i="40"/>
  <c r="X55" i="40"/>
  <c r="X64" i="40" s="1"/>
  <c r="P43" i="40"/>
  <c r="L43" i="40"/>
  <c r="K43" i="40"/>
  <c r="G43" i="40"/>
  <c r="D43" i="40"/>
  <c r="AB62" i="40"/>
  <c r="AA62" i="40"/>
  <c r="X62" i="40"/>
  <c r="W62" i="40"/>
  <c r="V53" i="40"/>
  <c r="T62" i="40"/>
  <c r="S62" i="40"/>
  <c r="P62" i="40"/>
  <c r="O62" i="40"/>
  <c r="L62" i="40"/>
  <c r="K62" i="40"/>
  <c r="H62" i="40"/>
  <c r="G62" i="40"/>
  <c r="F53" i="40"/>
  <c r="A57" i="39"/>
  <c r="A41" i="39"/>
  <c r="A33" i="39"/>
  <c r="A61" i="39" s="1"/>
  <c r="A29" i="39"/>
  <c r="A12" i="39"/>
  <c r="A39" i="39" s="1"/>
  <c r="A57" i="38"/>
  <c r="A41" i="38"/>
  <c r="A33" i="38"/>
  <c r="A61" i="38" s="1"/>
  <c r="A29" i="38"/>
  <c r="B41" i="37"/>
  <c r="A12" i="37"/>
  <c r="A39" i="37" s="1"/>
  <c r="A57" i="37"/>
  <c r="A29" i="37"/>
  <c r="A41" i="37"/>
  <c r="A33" i="37"/>
  <c r="A61" i="37" s="1"/>
  <c r="AB40" i="36"/>
  <c r="AC40" i="36"/>
  <c r="AB41" i="36"/>
  <c r="AC41" i="36"/>
  <c r="C30" i="36"/>
  <c r="C136" i="36"/>
  <c r="AC16" i="36"/>
  <c r="AB7" i="36"/>
  <c r="AB8" i="36"/>
  <c r="AB16" i="36" s="1"/>
  <c r="D16" i="36"/>
  <c r="D157" i="36"/>
  <c r="E157" i="36" s="1"/>
  <c r="F157" i="36" s="1"/>
  <c r="G157" i="36" s="1"/>
  <c r="H157" i="36" s="1"/>
  <c r="I157" i="36" s="1"/>
  <c r="J157" i="36" s="1"/>
  <c r="K157" i="36" s="1"/>
  <c r="L157" i="36" s="1"/>
  <c r="M157" i="36" s="1"/>
  <c r="N157" i="36" s="1"/>
  <c r="O157" i="36" s="1"/>
  <c r="P157" i="36" s="1"/>
  <c r="Q157" i="36" s="1"/>
  <c r="R157" i="36" s="1"/>
  <c r="S157" i="36" s="1"/>
  <c r="T157" i="36" s="1"/>
  <c r="U157" i="36" s="1"/>
  <c r="V157" i="36" s="1"/>
  <c r="W157" i="36" s="1"/>
  <c r="X157" i="36" s="1"/>
  <c r="Y157" i="36" s="1"/>
  <c r="Z157" i="36" s="1"/>
  <c r="AA157" i="36" s="1"/>
  <c r="AB157" i="36" s="1"/>
  <c r="AC157" i="36" s="1"/>
  <c r="C157" i="36"/>
  <c r="B157" i="36"/>
  <c r="D156" i="36"/>
  <c r="E156" i="36" s="1"/>
  <c r="F156" i="36" s="1"/>
  <c r="C156" i="36"/>
  <c r="B156" i="36"/>
  <c r="A13" i="39" s="1"/>
  <c r="A40" i="39" s="1"/>
  <c r="D155" i="36"/>
  <c r="E155" i="36" s="1"/>
  <c r="F155" i="36" s="1"/>
  <c r="C155" i="36"/>
  <c r="B155" i="36"/>
  <c r="A12" i="38" s="1"/>
  <c r="A39" i="38" s="1"/>
  <c r="C154" i="36"/>
  <c r="B154" i="36"/>
  <c r="D153" i="36"/>
  <c r="B10" i="38" s="1"/>
  <c r="B65" i="38" s="1"/>
  <c r="C153" i="36"/>
  <c r="B153" i="36"/>
  <c r="D149" i="36"/>
  <c r="E149" i="36" s="1"/>
  <c r="F149" i="36" s="1"/>
  <c r="G149" i="36" s="1"/>
  <c r="H149" i="36" s="1"/>
  <c r="I149" i="36" s="1"/>
  <c r="J149" i="36" s="1"/>
  <c r="K149" i="36" s="1"/>
  <c r="L149" i="36" s="1"/>
  <c r="M149" i="36" s="1"/>
  <c r="N149" i="36" s="1"/>
  <c r="O149" i="36" s="1"/>
  <c r="P149" i="36" s="1"/>
  <c r="Q149" i="36" s="1"/>
  <c r="R149" i="36" s="1"/>
  <c r="S149" i="36" s="1"/>
  <c r="T149" i="36" s="1"/>
  <c r="U149" i="36" s="1"/>
  <c r="V149" i="36" s="1"/>
  <c r="W149" i="36" s="1"/>
  <c r="X149" i="36" s="1"/>
  <c r="Y149" i="36" s="1"/>
  <c r="Z149" i="36" s="1"/>
  <c r="AA149" i="36" s="1"/>
  <c r="AB149" i="36" s="1"/>
  <c r="AC149" i="36" s="1"/>
  <c r="C149" i="36"/>
  <c r="B149" i="36"/>
  <c r="D148" i="36"/>
  <c r="E148" i="36" s="1"/>
  <c r="F148" i="36" s="1"/>
  <c r="G148" i="36" s="1"/>
  <c r="H148" i="36" s="1"/>
  <c r="I148" i="36" s="1"/>
  <c r="J148" i="36" s="1"/>
  <c r="K148" i="36" s="1"/>
  <c r="L148" i="36" s="1"/>
  <c r="M148" i="36" s="1"/>
  <c r="N148" i="36" s="1"/>
  <c r="O148" i="36" s="1"/>
  <c r="P148" i="36" s="1"/>
  <c r="Q148" i="36" s="1"/>
  <c r="R148" i="36" s="1"/>
  <c r="S148" i="36" s="1"/>
  <c r="T148" i="36" s="1"/>
  <c r="U148" i="36" s="1"/>
  <c r="V148" i="36" s="1"/>
  <c r="W148" i="36" s="1"/>
  <c r="X148" i="36" s="1"/>
  <c r="Y148" i="36" s="1"/>
  <c r="Z148" i="36" s="1"/>
  <c r="AA148" i="36" s="1"/>
  <c r="AB148" i="36" s="1"/>
  <c r="AC148" i="36" s="1"/>
  <c r="C148" i="36"/>
  <c r="B148" i="36"/>
  <c r="C147" i="36"/>
  <c r="B147" i="36"/>
  <c r="Q112" i="36"/>
  <c r="F107" i="36"/>
  <c r="J112" i="36" s="1"/>
  <c r="E107" i="36"/>
  <c r="X112" i="36" s="1"/>
  <c r="D107" i="36"/>
  <c r="T112" i="36" s="1"/>
  <c r="F96" i="36"/>
  <c r="G101" i="36" s="1"/>
  <c r="F95" i="36"/>
  <c r="S100" i="36" s="1"/>
  <c r="E95" i="36"/>
  <c r="O100" i="36" s="1"/>
  <c r="D95" i="36"/>
  <c r="W100" i="36" s="1"/>
  <c r="Q87" i="36"/>
  <c r="H87" i="36"/>
  <c r="E87" i="36"/>
  <c r="F82" i="36"/>
  <c r="E82" i="36"/>
  <c r="AA87" i="36" s="1"/>
  <c r="D82" i="36"/>
  <c r="W87" i="36" s="1"/>
  <c r="F81" i="36"/>
  <c r="Y86" i="36" s="1"/>
  <c r="E81" i="36"/>
  <c r="L86" i="36" s="1"/>
  <c r="D81" i="36"/>
  <c r="W86" i="36" s="1"/>
  <c r="C76" i="36"/>
  <c r="D72" i="36"/>
  <c r="D69" i="36"/>
  <c r="D62" i="36"/>
  <c r="D53" i="36"/>
  <c r="B41" i="39" s="1"/>
  <c r="D41" i="36"/>
  <c r="D43" i="36" s="1"/>
  <c r="C27" i="36"/>
  <c r="AB42" i="36" s="1"/>
  <c r="AB43" i="36" s="1"/>
  <c r="AA8" i="36"/>
  <c r="AA16" i="36" s="1"/>
  <c r="Z8" i="36"/>
  <c r="Z16" i="36" s="1"/>
  <c r="Y8" i="36"/>
  <c r="Y16" i="36" s="1"/>
  <c r="Y50" i="36" s="1"/>
  <c r="Y52" i="36" s="1"/>
  <c r="Y62" i="36" s="1"/>
  <c r="Y71" i="36" s="1"/>
  <c r="X8" i="36"/>
  <c r="X16" i="36" s="1"/>
  <c r="W8" i="36"/>
  <c r="W16" i="36" s="1"/>
  <c r="V8" i="36"/>
  <c r="V16" i="36" s="1"/>
  <c r="U8" i="36"/>
  <c r="U16" i="36" s="1"/>
  <c r="U50" i="36" s="1"/>
  <c r="U52" i="36" s="1"/>
  <c r="U62" i="36" s="1"/>
  <c r="U71" i="36" s="1"/>
  <c r="T8" i="36"/>
  <c r="T16" i="36" s="1"/>
  <c r="S8" i="36"/>
  <c r="S16" i="36" s="1"/>
  <c r="R8" i="36"/>
  <c r="R16" i="36" s="1"/>
  <c r="Q8" i="36"/>
  <c r="Q16" i="36" s="1"/>
  <c r="Q50" i="36" s="1"/>
  <c r="Q52" i="36" s="1"/>
  <c r="Q62" i="36" s="1"/>
  <c r="Q71" i="36" s="1"/>
  <c r="P8" i="36"/>
  <c r="P16" i="36" s="1"/>
  <c r="O8" i="36"/>
  <c r="O16" i="36" s="1"/>
  <c r="N8" i="36"/>
  <c r="N16" i="36" s="1"/>
  <c r="M8" i="36"/>
  <c r="M16" i="36" s="1"/>
  <c r="M50" i="36" s="1"/>
  <c r="M52" i="36" s="1"/>
  <c r="M62" i="36" s="1"/>
  <c r="M71" i="36" s="1"/>
  <c r="L8" i="36"/>
  <c r="L16" i="36" s="1"/>
  <c r="K8" i="36"/>
  <c r="K16" i="36" s="1"/>
  <c r="J8" i="36"/>
  <c r="J16" i="36" s="1"/>
  <c r="I8" i="36"/>
  <c r="I16" i="36" s="1"/>
  <c r="I50" i="36" s="1"/>
  <c r="I52" i="36" s="1"/>
  <c r="I62" i="36" s="1"/>
  <c r="I71" i="36" s="1"/>
  <c r="H8" i="36"/>
  <c r="H16" i="36" s="1"/>
  <c r="G8" i="36"/>
  <c r="G16" i="36" s="1"/>
  <c r="F8" i="36"/>
  <c r="F16" i="36" s="1"/>
  <c r="E8" i="36"/>
  <c r="D8" i="36"/>
  <c r="AA7" i="36"/>
  <c r="Z7" i="36"/>
  <c r="Y7" i="36"/>
  <c r="X7" i="36"/>
  <c r="W7" i="36"/>
  <c r="V7" i="36"/>
  <c r="U7" i="36"/>
  <c r="T7" i="36"/>
  <c r="S7" i="36"/>
  <c r="R7" i="36"/>
  <c r="Q7" i="36"/>
  <c r="P7" i="36"/>
  <c r="O7" i="36"/>
  <c r="N7" i="36"/>
  <c r="M7" i="36"/>
  <c r="L7" i="36"/>
  <c r="K7" i="36"/>
  <c r="J7" i="36"/>
  <c r="I7" i="36"/>
  <c r="H7" i="36"/>
  <c r="G7" i="36"/>
  <c r="F7" i="36"/>
  <c r="E7" i="36"/>
  <c r="D7" i="36"/>
  <c r="AB6" i="36"/>
  <c r="AA6" i="36"/>
  <c r="AA69" i="36" s="1"/>
  <c r="Z6" i="36"/>
  <c r="Z60" i="36" s="1"/>
  <c r="Y6" i="36"/>
  <c r="X6" i="36"/>
  <c r="W6" i="36"/>
  <c r="W69" i="36" s="1"/>
  <c r="V6" i="36"/>
  <c r="U6" i="36"/>
  <c r="T6" i="36"/>
  <c r="S6" i="36"/>
  <c r="S69" i="36" s="1"/>
  <c r="R6" i="36"/>
  <c r="R60" i="36" s="1"/>
  <c r="Q6" i="36"/>
  <c r="P6" i="36"/>
  <c r="O6" i="36"/>
  <c r="O69" i="36" s="1"/>
  <c r="N6" i="36"/>
  <c r="M6" i="36"/>
  <c r="L6" i="36"/>
  <c r="K6" i="36"/>
  <c r="K69" i="36" s="1"/>
  <c r="J6" i="36"/>
  <c r="J60" i="36" s="1"/>
  <c r="I6" i="36"/>
  <c r="H6" i="36"/>
  <c r="G6" i="36"/>
  <c r="G69" i="36" s="1"/>
  <c r="F6" i="36"/>
  <c r="E6" i="36"/>
  <c r="D6" i="36"/>
  <c r="D60" i="36" s="1"/>
  <c r="A43" i="35"/>
  <c r="A41" i="35"/>
  <c r="A40" i="35"/>
  <c r="A39" i="35"/>
  <c r="A38" i="35"/>
  <c r="A34" i="35"/>
  <c r="A63" i="35" s="1"/>
  <c r="A43" i="34"/>
  <c r="A41" i="34"/>
  <c r="A40" i="34"/>
  <c r="A39" i="34"/>
  <c r="A38" i="34"/>
  <c r="A34" i="34"/>
  <c r="A63" i="34" s="1"/>
  <c r="C138" i="32"/>
  <c r="C128" i="32" s="1"/>
  <c r="A34" i="33"/>
  <c r="A63" i="33" s="1"/>
  <c r="A39" i="33"/>
  <c r="A68" i="34" s="1"/>
  <c r="A40" i="33"/>
  <c r="A69" i="34" s="1"/>
  <c r="A41" i="33"/>
  <c r="A70" i="34" s="1"/>
  <c r="A43" i="33"/>
  <c r="A38" i="33"/>
  <c r="A67" i="34" s="1"/>
  <c r="D158" i="32"/>
  <c r="B13" i="34" s="1"/>
  <c r="B41" i="34" s="1"/>
  <c r="D157" i="32"/>
  <c r="B12" i="33" s="1"/>
  <c r="B40" i="33" s="1"/>
  <c r="B162" i="32"/>
  <c r="B158" i="32"/>
  <c r="B157" i="32"/>
  <c r="B156" i="32"/>
  <c r="B155" i="32"/>
  <c r="B151" i="32"/>
  <c r="B150" i="32"/>
  <c r="B149" i="32"/>
  <c r="E107" i="32"/>
  <c r="F107" i="32"/>
  <c r="D107" i="32"/>
  <c r="T112" i="32" s="1"/>
  <c r="F96" i="32"/>
  <c r="E95" i="32"/>
  <c r="U100" i="32" s="1"/>
  <c r="F95" i="32"/>
  <c r="D95" i="32"/>
  <c r="K100" i="32" s="1"/>
  <c r="C76" i="32"/>
  <c r="E82" i="32"/>
  <c r="F87" i="32" s="1"/>
  <c r="F82" i="32"/>
  <c r="E81" i="32"/>
  <c r="O86" i="32" s="1"/>
  <c r="F81" i="32"/>
  <c r="Y86" i="32" s="1"/>
  <c r="D82" i="32"/>
  <c r="W87" i="32" s="1"/>
  <c r="D81" i="32"/>
  <c r="Z86" i="32" s="1"/>
  <c r="L6" i="32"/>
  <c r="L69" i="32" s="1"/>
  <c r="M6" i="32"/>
  <c r="M69" i="32" s="1"/>
  <c r="N6" i="32"/>
  <c r="O6" i="32"/>
  <c r="O60" i="32" s="1"/>
  <c r="P6" i="32"/>
  <c r="P69" i="32" s="1"/>
  <c r="Q6" i="32"/>
  <c r="Q60" i="32" s="1"/>
  <c r="R6" i="32"/>
  <c r="S6" i="32"/>
  <c r="S60" i="32" s="1"/>
  <c r="T6" i="32"/>
  <c r="T69" i="32" s="1"/>
  <c r="U6" i="32"/>
  <c r="U69" i="32" s="1"/>
  <c r="V6" i="32"/>
  <c r="W6" i="32"/>
  <c r="W60" i="32" s="1"/>
  <c r="X6" i="32"/>
  <c r="X69" i="32" s="1"/>
  <c r="Y6" i="32"/>
  <c r="Y69" i="32" s="1"/>
  <c r="Z6" i="32"/>
  <c r="AA6" i="32"/>
  <c r="AA60" i="32" s="1"/>
  <c r="AB6" i="32"/>
  <c r="AB69" i="32" s="1"/>
  <c r="L7" i="32"/>
  <c r="L16" i="32" s="1"/>
  <c r="L50" i="32" s="1"/>
  <c r="M7" i="32"/>
  <c r="M16" i="32" s="1"/>
  <c r="M50" i="32" s="1"/>
  <c r="N7" i="32"/>
  <c r="N16" i="32" s="1"/>
  <c r="O7" i="32"/>
  <c r="O16" i="32" s="1"/>
  <c r="O50" i="32" s="1"/>
  <c r="P7" i="32"/>
  <c r="P16" i="32" s="1"/>
  <c r="Q7" i="32"/>
  <c r="Q16" i="32" s="1"/>
  <c r="Q50" i="32" s="1"/>
  <c r="R7" i="32"/>
  <c r="R16" i="32" s="1"/>
  <c r="S7" i="32"/>
  <c r="S16" i="32" s="1"/>
  <c r="S50" i="32" s="1"/>
  <c r="T7" i="32"/>
  <c r="T16" i="32" s="1"/>
  <c r="T50" i="32" s="1"/>
  <c r="U7" i="32"/>
  <c r="U16" i="32" s="1"/>
  <c r="U50" i="32" s="1"/>
  <c r="V7" i="32"/>
  <c r="V16" i="32" s="1"/>
  <c r="W7" i="32"/>
  <c r="W16" i="32" s="1"/>
  <c r="W50" i="32" s="1"/>
  <c r="X7" i="32"/>
  <c r="X16" i="32" s="1"/>
  <c r="Y7" i="32"/>
  <c r="Y16" i="32" s="1"/>
  <c r="Z7" i="32"/>
  <c r="Z16" i="32" s="1"/>
  <c r="AA7" i="32"/>
  <c r="AA16" i="32" s="1"/>
  <c r="AA50" i="32" s="1"/>
  <c r="AB7" i="32"/>
  <c r="AB16" i="32" s="1"/>
  <c r="L8" i="32"/>
  <c r="M8" i="32"/>
  <c r="N8" i="32"/>
  <c r="O8" i="32"/>
  <c r="P8" i="32"/>
  <c r="Q8" i="32"/>
  <c r="R8" i="32"/>
  <c r="S8" i="32"/>
  <c r="T8" i="32"/>
  <c r="U8" i="32"/>
  <c r="V8" i="32"/>
  <c r="W8" i="32"/>
  <c r="X8" i="32"/>
  <c r="Y8" i="32"/>
  <c r="Z8" i="32"/>
  <c r="AA8" i="32"/>
  <c r="AB8" i="32"/>
  <c r="E6" i="32"/>
  <c r="E69" i="32" s="1"/>
  <c r="F6" i="32"/>
  <c r="F60" i="32" s="1"/>
  <c r="G6" i="32"/>
  <c r="H6" i="32"/>
  <c r="H60" i="32" s="1"/>
  <c r="I6" i="32"/>
  <c r="I69" i="32" s="1"/>
  <c r="J6" i="32"/>
  <c r="J69" i="32" s="1"/>
  <c r="K6" i="32"/>
  <c r="E7" i="32"/>
  <c r="E16" i="32" s="1"/>
  <c r="E50" i="32" s="1"/>
  <c r="F7" i="32"/>
  <c r="F16" i="32" s="1"/>
  <c r="F50" i="32" s="1"/>
  <c r="G7" i="32"/>
  <c r="G16" i="32" s="1"/>
  <c r="G50" i="32" s="1"/>
  <c r="H7" i="32"/>
  <c r="H16" i="32" s="1"/>
  <c r="AB17" i="32" s="1"/>
  <c r="I7" i="32"/>
  <c r="I16" i="32" s="1"/>
  <c r="I50" i="32" s="1"/>
  <c r="J7" i="32"/>
  <c r="J16" i="32" s="1"/>
  <c r="J40" i="32" s="1"/>
  <c r="K7" i="32"/>
  <c r="K16" i="32" s="1"/>
  <c r="K50" i="32" s="1"/>
  <c r="E8" i="32"/>
  <c r="F8" i="32"/>
  <c r="G8" i="32"/>
  <c r="H8" i="32"/>
  <c r="I8" i="32"/>
  <c r="J8" i="32"/>
  <c r="K8" i="32"/>
  <c r="D7" i="32"/>
  <c r="D16" i="32" s="1"/>
  <c r="D8" i="32"/>
  <c r="D6" i="32"/>
  <c r="D60" i="32" s="1"/>
  <c r="D162" i="32"/>
  <c r="E162" i="32" s="1"/>
  <c r="F162" i="32" s="1"/>
  <c r="G162" i="32" s="1"/>
  <c r="C162" i="32"/>
  <c r="C158" i="32"/>
  <c r="C157" i="32"/>
  <c r="C156" i="32"/>
  <c r="C155" i="32"/>
  <c r="D151" i="32"/>
  <c r="E151" i="32" s="1"/>
  <c r="C151" i="32"/>
  <c r="D150" i="32"/>
  <c r="E150" i="32" s="1"/>
  <c r="C150" i="32"/>
  <c r="C149" i="32"/>
  <c r="D155" i="32"/>
  <c r="D72" i="32"/>
  <c r="D69" i="32"/>
  <c r="D62" i="32"/>
  <c r="D63" i="32" s="1"/>
  <c r="D53" i="32"/>
  <c r="D41" i="32"/>
  <c r="D43" i="32" s="1"/>
  <c r="B15" i="34" s="1"/>
  <c r="B72" i="34" s="1"/>
  <c r="C27" i="32"/>
  <c r="C77" i="31"/>
  <c r="B77" i="31"/>
  <c r="C71" i="31"/>
  <c r="B71" i="31"/>
  <c r="C44" i="31"/>
  <c r="B44" i="31"/>
  <c r="C38" i="31"/>
  <c r="B38" i="31"/>
  <c r="C77" i="30"/>
  <c r="B77" i="30"/>
  <c r="C71" i="30"/>
  <c r="B71" i="30"/>
  <c r="C44" i="30"/>
  <c r="B44" i="30"/>
  <c r="C38" i="30"/>
  <c r="B38" i="30"/>
  <c r="B16" i="30"/>
  <c r="B81" i="30" s="1"/>
  <c r="D153" i="25"/>
  <c r="E153" i="25" s="1"/>
  <c r="F153" i="25" s="1"/>
  <c r="H153" i="25" s="1"/>
  <c r="I153" i="25" s="1"/>
  <c r="D156" i="25"/>
  <c r="B15" i="31" s="1"/>
  <c r="D157" i="25"/>
  <c r="B16" i="31" s="1"/>
  <c r="B81" i="31" s="1"/>
  <c r="D158" i="25"/>
  <c r="D155" i="25"/>
  <c r="B14" i="1" s="1"/>
  <c r="D152" i="25"/>
  <c r="E152" i="25" s="1"/>
  <c r="F152" i="25" s="1"/>
  <c r="D144" i="25"/>
  <c r="E144" i="25" s="1"/>
  <c r="D41" i="25"/>
  <c r="D43" i="25" s="1"/>
  <c r="B19" i="1" s="1"/>
  <c r="C77" i="1"/>
  <c r="B77" i="1"/>
  <c r="C71" i="1"/>
  <c r="B71" i="1"/>
  <c r="C44" i="1"/>
  <c r="B44" i="1"/>
  <c r="C38" i="1"/>
  <c r="B38" i="1"/>
  <c r="D146" i="25"/>
  <c r="D145" i="25"/>
  <c r="D159" i="25"/>
  <c r="D162" i="25"/>
  <c r="D161" i="25"/>
  <c r="D160" i="25"/>
  <c r="D154" i="25"/>
  <c r="E154" i="25" s="1"/>
  <c r="F154" i="25" s="1"/>
  <c r="G154" i="25" s="1"/>
  <c r="H154" i="25" s="1"/>
  <c r="I154" i="25" s="1"/>
  <c r="J154" i="25" s="1"/>
  <c r="K154" i="25" s="1"/>
  <c r="L154" i="25" s="1"/>
  <c r="M154" i="25" s="1"/>
  <c r="N154" i="25" s="1"/>
  <c r="O154" i="25" s="1"/>
  <c r="P154" i="25" s="1"/>
  <c r="Q154" i="25" s="1"/>
  <c r="R154" i="25" s="1"/>
  <c r="S154" i="25" s="1"/>
  <c r="T154" i="25" s="1"/>
  <c r="U154" i="25" s="1"/>
  <c r="V154" i="25" s="1"/>
  <c r="W154" i="25" s="1"/>
  <c r="X154" i="25" s="1"/>
  <c r="Y154" i="25" s="1"/>
  <c r="Z154" i="25" s="1"/>
  <c r="AA154" i="25" s="1"/>
  <c r="AB154" i="25" s="1"/>
  <c r="C152" i="25"/>
  <c r="C153" i="25"/>
  <c r="C154" i="25"/>
  <c r="C155" i="25"/>
  <c r="C156" i="25"/>
  <c r="C157" i="25"/>
  <c r="C158" i="25"/>
  <c r="C159" i="25"/>
  <c r="C160" i="25"/>
  <c r="C161" i="25"/>
  <c r="C162" i="25"/>
  <c r="C151" i="25"/>
  <c r="C145" i="25"/>
  <c r="C146" i="25"/>
  <c r="C147" i="25"/>
  <c r="C144" i="25"/>
  <c r="F69" i="25"/>
  <c r="G69" i="25"/>
  <c r="H69" i="25"/>
  <c r="I69" i="25"/>
  <c r="J69" i="25"/>
  <c r="K69" i="25"/>
  <c r="L69" i="25"/>
  <c r="M69" i="25"/>
  <c r="N69" i="25"/>
  <c r="O69" i="25"/>
  <c r="P69" i="25"/>
  <c r="Q69" i="25"/>
  <c r="R69" i="25"/>
  <c r="S69" i="25"/>
  <c r="T69" i="25"/>
  <c r="U69" i="25"/>
  <c r="V69" i="25"/>
  <c r="W69" i="25"/>
  <c r="X69" i="25"/>
  <c r="Y69" i="25"/>
  <c r="Z69" i="25"/>
  <c r="AA69" i="25"/>
  <c r="AB69" i="25"/>
  <c r="E69" i="25"/>
  <c r="M122" i="25"/>
  <c r="R122" i="25"/>
  <c r="Y113" i="25"/>
  <c r="S113" i="25"/>
  <c r="M113" i="25"/>
  <c r="G113" i="25"/>
  <c r="AB112" i="25"/>
  <c r="AA112" i="25"/>
  <c r="Z112" i="25"/>
  <c r="Y112" i="25"/>
  <c r="X112" i="25"/>
  <c r="W112" i="25"/>
  <c r="V112" i="25"/>
  <c r="U112" i="25"/>
  <c r="T112" i="25"/>
  <c r="S112" i="25"/>
  <c r="R112" i="25"/>
  <c r="Q112" i="25"/>
  <c r="P112" i="25"/>
  <c r="O112" i="25"/>
  <c r="N112" i="25"/>
  <c r="M112" i="25"/>
  <c r="L112" i="25"/>
  <c r="K112" i="25"/>
  <c r="J112" i="25"/>
  <c r="I112" i="25"/>
  <c r="H112" i="25"/>
  <c r="G112" i="25"/>
  <c r="F112" i="25"/>
  <c r="E112" i="25"/>
  <c r="AB101" i="25"/>
  <c r="Z101" i="25"/>
  <c r="Y101" i="25"/>
  <c r="V101" i="25"/>
  <c r="S101" i="25"/>
  <c r="R101" i="25"/>
  <c r="P101" i="25"/>
  <c r="N101" i="25"/>
  <c r="M101" i="25"/>
  <c r="J101" i="25"/>
  <c r="I101" i="25"/>
  <c r="G101" i="25"/>
  <c r="AB100" i="25"/>
  <c r="AA100" i="25"/>
  <c r="Z100" i="25"/>
  <c r="Y100" i="25"/>
  <c r="X100" i="25"/>
  <c r="W100" i="25"/>
  <c r="V100" i="25"/>
  <c r="U100" i="25"/>
  <c r="T100" i="25"/>
  <c r="S100" i="25"/>
  <c r="R100" i="25"/>
  <c r="Q100" i="25"/>
  <c r="P100" i="25"/>
  <c r="O100" i="25"/>
  <c r="N100" i="25"/>
  <c r="M100" i="25"/>
  <c r="L100" i="25"/>
  <c r="K100" i="25"/>
  <c r="J100" i="25"/>
  <c r="I100" i="25"/>
  <c r="H100" i="25"/>
  <c r="G100" i="25"/>
  <c r="F100" i="25"/>
  <c r="E100" i="25"/>
  <c r="AB87" i="25"/>
  <c r="AA87" i="25"/>
  <c r="Z87" i="25"/>
  <c r="Y87" i="25"/>
  <c r="X87" i="25"/>
  <c r="W87" i="25"/>
  <c r="V87" i="25"/>
  <c r="U87" i="25"/>
  <c r="T87" i="25"/>
  <c r="S87" i="25"/>
  <c r="R87" i="25"/>
  <c r="Q87" i="25"/>
  <c r="P87" i="25"/>
  <c r="O87" i="25"/>
  <c r="N87" i="25"/>
  <c r="M87" i="25"/>
  <c r="L87" i="25"/>
  <c r="K87" i="25"/>
  <c r="J87" i="25"/>
  <c r="I87" i="25"/>
  <c r="H87" i="25"/>
  <c r="G87" i="25"/>
  <c r="F87" i="25"/>
  <c r="E87" i="25"/>
  <c r="AA86" i="25"/>
  <c r="AB86" i="25"/>
  <c r="Z86" i="25"/>
  <c r="X86" i="25"/>
  <c r="Y86" i="25"/>
  <c r="W86" i="25"/>
  <c r="U86" i="25"/>
  <c r="V86" i="25"/>
  <c r="T86" i="25"/>
  <c r="R86" i="25"/>
  <c r="S86" i="25"/>
  <c r="Q86" i="25"/>
  <c r="O86" i="25"/>
  <c r="P86" i="25"/>
  <c r="N86" i="25"/>
  <c r="L86" i="25"/>
  <c r="M86" i="25"/>
  <c r="K86" i="25"/>
  <c r="I86" i="25"/>
  <c r="J86" i="25"/>
  <c r="H86" i="25"/>
  <c r="G86" i="25"/>
  <c r="F86" i="25"/>
  <c r="E86" i="25"/>
  <c r="E62" i="25"/>
  <c r="E71" i="25" s="1"/>
  <c r="D62" i="25"/>
  <c r="D63" i="25" s="1"/>
  <c r="E60" i="25"/>
  <c r="F60" i="25"/>
  <c r="G60" i="25"/>
  <c r="H60" i="25"/>
  <c r="I60" i="25"/>
  <c r="J60" i="25"/>
  <c r="K60" i="25"/>
  <c r="L60" i="25"/>
  <c r="M60" i="25"/>
  <c r="N60" i="25"/>
  <c r="O60" i="25"/>
  <c r="P60" i="25"/>
  <c r="Q60" i="25"/>
  <c r="R60" i="25"/>
  <c r="S60" i="25"/>
  <c r="T60" i="25"/>
  <c r="U60" i="25"/>
  <c r="V60" i="25"/>
  <c r="W60" i="25"/>
  <c r="X60" i="25"/>
  <c r="Y60" i="25"/>
  <c r="Z60" i="25"/>
  <c r="AA60" i="25"/>
  <c r="AB60" i="25"/>
  <c r="D60" i="25"/>
  <c r="D72" i="25"/>
  <c r="D69" i="25"/>
  <c r="C27" i="25"/>
  <c r="D53" i="25"/>
  <c r="E16" i="25"/>
  <c r="F16" i="25"/>
  <c r="G16" i="25"/>
  <c r="H16" i="25"/>
  <c r="AB17" i="25" s="1"/>
  <c r="I16" i="25"/>
  <c r="I50" i="25" s="1"/>
  <c r="J16" i="25"/>
  <c r="K16" i="25"/>
  <c r="L16" i="25"/>
  <c r="L50" i="25" s="1"/>
  <c r="M16" i="25"/>
  <c r="M50" i="25" s="1"/>
  <c r="N16" i="25"/>
  <c r="O16" i="25"/>
  <c r="O50" i="25" s="1"/>
  <c r="P16" i="25"/>
  <c r="Q16" i="25"/>
  <c r="Q50" i="25" s="1"/>
  <c r="R16" i="25"/>
  <c r="S16" i="25"/>
  <c r="T16" i="25"/>
  <c r="U16" i="25"/>
  <c r="V16" i="25"/>
  <c r="W16" i="25"/>
  <c r="X16" i="25"/>
  <c r="X50" i="25" s="1"/>
  <c r="Y16" i="25"/>
  <c r="Y50" i="25" s="1"/>
  <c r="Z16" i="25"/>
  <c r="AA16" i="25"/>
  <c r="AA50" i="25" s="1"/>
  <c r="AB16" i="25"/>
  <c r="AB50" i="25" s="1"/>
  <c r="D16" i="25"/>
  <c r="AC7" i="25"/>
  <c r="AC8" i="25"/>
  <c r="AC6" i="25"/>
  <c r="B69" i="42" l="1"/>
  <c r="B38" i="42"/>
  <c r="B18" i="1"/>
  <c r="B18" i="30"/>
  <c r="Z14" i="38"/>
  <c r="Z69" i="38" s="1"/>
  <c r="Z14" i="39"/>
  <c r="Z69" i="39" s="1"/>
  <c r="Z14" i="37"/>
  <c r="Z69" i="37" s="1"/>
  <c r="A76" i="41"/>
  <c r="A13" i="37"/>
  <c r="A40" i="37" s="1"/>
  <c r="B69" i="43"/>
  <c r="B38" i="43"/>
  <c r="L101" i="25"/>
  <c r="AA101" i="25"/>
  <c r="F108" i="32"/>
  <c r="V113" i="32" s="1"/>
  <c r="E96" i="36"/>
  <c r="O101" i="36" s="1"/>
  <c r="AC42" i="36"/>
  <c r="AC43" i="36" s="1"/>
  <c r="B10" i="37"/>
  <c r="B65" i="37" s="1"/>
  <c r="E158" i="40"/>
  <c r="F158" i="40" s="1"/>
  <c r="H158" i="40" s="1"/>
  <c r="I158" i="40" s="1"/>
  <c r="B15" i="43"/>
  <c r="B45" i="43" s="1"/>
  <c r="B15" i="42"/>
  <c r="D88" i="40"/>
  <c r="T93" i="40" s="1"/>
  <c r="D92" i="45"/>
  <c r="B14" i="38"/>
  <c r="B69" i="38" s="1"/>
  <c r="B14" i="39"/>
  <c r="B69" i="39" s="1"/>
  <c r="A11" i="39"/>
  <c r="A38" i="39" s="1"/>
  <c r="A11" i="38"/>
  <c r="A38" i="38" s="1"/>
  <c r="F105" i="45"/>
  <c r="M110" i="45" s="1"/>
  <c r="U101" i="25"/>
  <c r="J113" i="25"/>
  <c r="P113" i="25"/>
  <c r="V113" i="25"/>
  <c r="AB113" i="25"/>
  <c r="E157" i="25"/>
  <c r="F157" i="25" s="1"/>
  <c r="H157" i="25" s="1"/>
  <c r="I157" i="25" s="1"/>
  <c r="K157" i="25" s="1"/>
  <c r="L157" i="25" s="1"/>
  <c r="N157" i="25" s="1"/>
  <c r="O157" i="25" s="1"/>
  <c r="Q157" i="25" s="1"/>
  <c r="R157" i="25" s="1"/>
  <c r="T157" i="25" s="1"/>
  <c r="U157" i="25" s="1"/>
  <c r="W157" i="25" s="1"/>
  <c r="X157" i="25" s="1"/>
  <c r="Z157" i="25" s="1"/>
  <c r="AA157" i="25" s="1"/>
  <c r="AC17" i="36"/>
  <c r="A15" i="42"/>
  <c r="W121" i="25"/>
  <c r="W122" i="25" s="1"/>
  <c r="E153" i="36"/>
  <c r="B10" i="39"/>
  <c r="B16" i="1"/>
  <c r="B81" i="1" s="1"/>
  <c r="E93" i="45"/>
  <c r="AA98" i="45" s="1"/>
  <c r="E108" i="25"/>
  <c r="B10" i="47"/>
  <c r="B10" i="48"/>
  <c r="F101" i="25"/>
  <c r="E156" i="25"/>
  <c r="F156" i="25" s="1"/>
  <c r="H156" i="25" s="1"/>
  <c r="I156" i="25" s="1"/>
  <c r="K156" i="25" s="1"/>
  <c r="L156" i="25" s="1"/>
  <c r="N156" i="25" s="1"/>
  <c r="O156" i="25" s="1"/>
  <c r="Q156" i="25" s="1"/>
  <c r="R156" i="25" s="1"/>
  <c r="T156" i="25" s="1"/>
  <c r="U156" i="25" s="1"/>
  <c r="W156" i="25" s="1"/>
  <c r="X156" i="25" s="1"/>
  <c r="Z156" i="25" s="1"/>
  <c r="AA156" i="25" s="1"/>
  <c r="R69" i="36"/>
  <c r="T87" i="36"/>
  <c r="X100" i="36"/>
  <c r="F108" i="36"/>
  <c r="A10" i="38"/>
  <c r="A37" i="38" s="1"/>
  <c r="A10" i="39"/>
  <c r="A37" i="39" s="1"/>
  <c r="AC50" i="36"/>
  <c r="AC52" i="36" s="1"/>
  <c r="A10" i="37"/>
  <c r="A37" i="37" s="1"/>
  <c r="B14" i="37"/>
  <c r="B69" i="37" s="1"/>
  <c r="A13" i="38"/>
  <c r="A40" i="38" s="1"/>
  <c r="E89" i="40"/>
  <c r="O101" i="25"/>
  <c r="X101" i="25"/>
  <c r="B13" i="30"/>
  <c r="B78" i="30" s="1"/>
  <c r="AD8" i="36"/>
  <c r="D73" i="36"/>
  <c r="E68" i="36" s="1"/>
  <c r="E112" i="36"/>
  <c r="A11" i="37"/>
  <c r="A38" i="37" s="1"/>
  <c r="B41" i="38"/>
  <c r="A15" i="43"/>
  <c r="A76" i="43" s="1"/>
  <c r="Q101" i="25"/>
  <c r="D108" i="25"/>
  <c r="A10" i="46"/>
  <c r="A10" i="47"/>
  <c r="A10" i="48"/>
  <c r="A44" i="41"/>
  <c r="B7" i="42"/>
  <c r="A13" i="42"/>
  <c r="A74" i="42" s="1"/>
  <c r="B7" i="43"/>
  <c r="B37" i="43" s="1"/>
  <c r="A13" i="43"/>
  <c r="A74" i="43" s="1"/>
  <c r="A11" i="46"/>
  <c r="A11" i="48"/>
  <c r="A11" i="47"/>
  <c r="A73" i="41"/>
  <c r="B47" i="43"/>
  <c r="B37" i="46"/>
  <c r="B37" i="48"/>
  <c r="B37" i="47"/>
  <c r="A12" i="42"/>
  <c r="A73" i="42" s="1"/>
  <c r="A12" i="43"/>
  <c r="A73" i="43" s="1"/>
  <c r="B11" i="47"/>
  <c r="B11" i="48"/>
  <c r="A14" i="42"/>
  <c r="A14" i="43"/>
  <c r="A75" i="43" s="1"/>
  <c r="B6" i="47"/>
  <c r="B6" i="48"/>
  <c r="E136" i="45"/>
  <c r="B6" i="46"/>
  <c r="A36" i="46"/>
  <c r="A62" i="46"/>
  <c r="A35" i="46"/>
  <c r="A61" i="46"/>
  <c r="E143" i="45"/>
  <c r="F143" i="45" s="1"/>
  <c r="H143" i="45" s="1"/>
  <c r="I143" i="45" s="1"/>
  <c r="K143" i="45" s="1"/>
  <c r="L143" i="45" s="1"/>
  <c r="B11" i="46"/>
  <c r="E135" i="45"/>
  <c r="H135" i="45" s="1"/>
  <c r="E142" i="45"/>
  <c r="B10" i="46"/>
  <c r="T98" i="45"/>
  <c r="P109" i="45"/>
  <c r="D40" i="45"/>
  <c r="M118" i="45"/>
  <c r="N118" i="45" s="1"/>
  <c r="E39" i="45"/>
  <c r="J83" i="45"/>
  <c r="S83" i="45"/>
  <c r="AB97" i="45"/>
  <c r="AB83" i="45"/>
  <c r="H98" i="45"/>
  <c r="J109" i="45"/>
  <c r="R83" i="45"/>
  <c r="AA83" i="45"/>
  <c r="O84" i="45"/>
  <c r="Z97" i="45"/>
  <c r="R98" i="45"/>
  <c r="Z109" i="45"/>
  <c r="J110" i="45"/>
  <c r="K83" i="45"/>
  <c r="S84" i="45"/>
  <c r="I98" i="45"/>
  <c r="K109" i="45"/>
  <c r="R109" i="45"/>
  <c r="AA109" i="45"/>
  <c r="AB110" i="45"/>
  <c r="F83" i="45"/>
  <c r="O83" i="45"/>
  <c r="V83" i="45"/>
  <c r="G84" i="45"/>
  <c r="V84" i="45"/>
  <c r="E98" i="45"/>
  <c r="L98" i="45"/>
  <c r="U98" i="45"/>
  <c r="F109" i="45"/>
  <c r="S109" i="45"/>
  <c r="AB109" i="45"/>
  <c r="S110" i="45"/>
  <c r="G83" i="45"/>
  <c r="P83" i="45"/>
  <c r="J84" i="45"/>
  <c r="Y97" i="45"/>
  <c r="F98" i="45"/>
  <c r="Q98" i="45"/>
  <c r="X98" i="45"/>
  <c r="G109" i="45"/>
  <c r="O109" i="45"/>
  <c r="V109" i="45"/>
  <c r="G110" i="45"/>
  <c r="V110" i="45"/>
  <c r="J49" i="45"/>
  <c r="J59" i="45" s="1"/>
  <c r="J68" i="45" s="1"/>
  <c r="J39" i="45"/>
  <c r="R59" i="45"/>
  <c r="R68" i="45" s="1"/>
  <c r="Z59" i="45"/>
  <c r="Z68" i="45" s="1"/>
  <c r="I66" i="45"/>
  <c r="I57" i="45"/>
  <c r="Q66" i="45"/>
  <c r="Q57" i="45"/>
  <c r="Y66" i="45"/>
  <c r="Y57" i="45"/>
  <c r="K49" i="45"/>
  <c r="K59" i="45" s="1"/>
  <c r="K68" i="45" s="1"/>
  <c r="K39" i="45"/>
  <c r="AA59" i="45"/>
  <c r="AA68" i="45" s="1"/>
  <c r="H49" i="45"/>
  <c r="H59" i="45" s="1"/>
  <c r="H68" i="45" s="1"/>
  <c r="H39" i="45"/>
  <c r="P59" i="45"/>
  <c r="P68" i="45" s="1"/>
  <c r="AB59" i="45"/>
  <c r="AB68" i="45" s="1"/>
  <c r="F49" i="45"/>
  <c r="F59" i="45" s="1"/>
  <c r="F68" i="45" s="1"/>
  <c r="V59" i="45"/>
  <c r="V68" i="45" s="1"/>
  <c r="I49" i="45"/>
  <c r="I59" i="45" s="1"/>
  <c r="I68" i="45" s="1"/>
  <c r="I39" i="45"/>
  <c r="Q59" i="45"/>
  <c r="Q68" i="45" s="1"/>
  <c r="Y59" i="45"/>
  <c r="Y68" i="45" s="1"/>
  <c r="F39" i="45"/>
  <c r="E66" i="45"/>
  <c r="AC66" i="45" s="1"/>
  <c r="E57" i="45"/>
  <c r="M66" i="45"/>
  <c r="M57" i="45"/>
  <c r="U66" i="45"/>
  <c r="U57" i="45"/>
  <c r="G49" i="45"/>
  <c r="G59" i="45" s="1"/>
  <c r="G68" i="45" s="1"/>
  <c r="G39" i="45"/>
  <c r="O59" i="45"/>
  <c r="O68" i="45" s="1"/>
  <c r="W59" i="45"/>
  <c r="W68" i="45" s="1"/>
  <c r="E49" i="45"/>
  <c r="E11" i="45"/>
  <c r="M49" i="45"/>
  <c r="M59" i="45" s="1"/>
  <c r="M68" i="45" s="1"/>
  <c r="M39" i="45"/>
  <c r="U59" i="45"/>
  <c r="U68" i="45" s="1"/>
  <c r="L49" i="45"/>
  <c r="L59" i="45" s="1"/>
  <c r="L68" i="45" s="1"/>
  <c r="L39" i="45"/>
  <c r="T59" i="45"/>
  <c r="T68" i="45" s="1"/>
  <c r="X59" i="45"/>
  <c r="X68" i="45" s="1"/>
  <c r="D61" i="45"/>
  <c r="E56" i="45" s="1"/>
  <c r="H66" i="45"/>
  <c r="H57" i="45"/>
  <c r="AC57" i="45" s="1"/>
  <c r="L66" i="45"/>
  <c r="L57" i="45"/>
  <c r="P66" i="45"/>
  <c r="P57" i="45"/>
  <c r="T66" i="45"/>
  <c r="T57" i="45"/>
  <c r="X66" i="45"/>
  <c r="X57" i="45"/>
  <c r="AB66" i="45"/>
  <c r="AB57" i="45"/>
  <c r="S59" i="45"/>
  <c r="S68" i="45" s="1"/>
  <c r="J57" i="45"/>
  <c r="R57" i="45"/>
  <c r="Z57" i="45"/>
  <c r="K66" i="45"/>
  <c r="AA66" i="45"/>
  <c r="K84" i="45"/>
  <c r="O66" i="45"/>
  <c r="L97" i="45"/>
  <c r="Q84" i="45"/>
  <c r="E84" i="45"/>
  <c r="T84" i="45"/>
  <c r="H84" i="45"/>
  <c r="Z84" i="45"/>
  <c r="N84" i="45"/>
  <c r="AA97" i="45"/>
  <c r="O97" i="45"/>
  <c r="R97" i="45"/>
  <c r="F97" i="45"/>
  <c r="X97" i="45"/>
  <c r="I97" i="45"/>
  <c r="R118" i="45"/>
  <c r="R119" i="45" s="1"/>
  <c r="S98" i="45"/>
  <c r="G98" i="45"/>
  <c r="V98" i="45"/>
  <c r="J98" i="45"/>
  <c r="P98" i="45"/>
  <c r="AB98" i="45"/>
  <c r="M98" i="45"/>
  <c r="Y98" i="45"/>
  <c r="D70" i="45"/>
  <c r="E65" i="45" s="1"/>
  <c r="Q83" i="45"/>
  <c r="E83" i="45"/>
  <c r="T83" i="45"/>
  <c r="H83" i="45"/>
  <c r="U84" i="45"/>
  <c r="I84" i="45"/>
  <c r="X84" i="45"/>
  <c r="L84" i="45"/>
  <c r="W83" i="45"/>
  <c r="F84" i="45"/>
  <c r="N83" i="45"/>
  <c r="R84" i="45"/>
  <c r="S97" i="45"/>
  <c r="G97" i="45"/>
  <c r="V97" i="45"/>
  <c r="J97" i="45"/>
  <c r="M97" i="45"/>
  <c r="Q109" i="45"/>
  <c r="E109" i="45"/>
  <c r="T109" i="45"/>
  <c r="H109" i="45"/>
  <c r="W109" i="45"/>
  <c r="L83" i="45"/>
  <c r="X83" i="45"/>
  <c r="P84" i="45"/>
  <c r="AB84" i="45"/>
  <c r="N98" i="45"/>
  <c r="Z98" i="45"/>
  <c r="L109" i="45"/>
  <c r="X109" i="45"/>
  <c r="P110" i="45"/>
  <c r="Y110" i="45"/>
  <c r="W118" i="45"/>
  <c r="W119" i="45" s="1"/>
  <c r="I83" i="45"/>
  <c r="M83" i="45"/>
  <c r="M84" i="45"/>
  <c r="Y84" i="45"/>
  <c r="K98" i="45"/>
  <c r="O98" i="45"/>
  <c r="I109" i="45"/>
  <c r="M109" i="45"/>
  <c r="B14" i="42"/>
  <c r="B44" i="42" s="1"/>
  <c r="B14" i="43"/>
  <c r="B44" i="43" s="1"/>
  <c r="R112" i="36"/>
  <c r="F112" i="36"/>
  <c r="I112" i="36"/>
  <c r="Z112" i="36"/>
  <c r="N112" i="36"/>
  <c r="P100" i="36"/>
  <c r="W114" i="40"/>
  <c r="J113" i="36"/>
  <c r="V113" i="36"/>
  <c r="P101" i="36"/>
  <c r="R114" i="40"/>
  <c r="K101" i="25"/>
  <c r="W101" i="25"/>
  <c r="D96" i="32"/>
  <c r="D89" i="40"/>
  <c r="N94" i="40" s="1"/>
  <c r="H101" i="25"/>
  <c r="T101" i="25"/>
  <c r="D96" i="36"/>
  <c r="H101" i="36" s="1"/>
  <c r="E101" i="25"/>
  <c r="B13" i="38"/>
  <c r="B68" i="38" s="1"/>
  <c r="B13" i="39"/>
  <c r="B68" i="39" s="1"/>
  <c r="B13" i="37"/>
  <c r="B40" i="37" s="1"/>
  <c r="B12" i="37"/>
  <c r="B67" i="37" s="1"/>
  <c r="B12" i="39"/>
  <c r="B67" i="39" s="1"/>
  <c r="B12" i="38"/>
  <c r="B67" i="38" s="1"/>
  <c r="B71" i="35"/>
  <c r="B71" i="33"/>
  <c r="E159" i="32"/>
  <c r="B42" i="33"/>
  <c r="R121" i="32"/>
  <c r="W121" i="32"/>
  <c r="W122" i="32" s="1"/>
  <c r="W123" i="32" s="1"/>
  <c r="W127" i="32" s="1"/>
  <c r="B43" i="33"/>
  <c r="B43" i="35"/>
  <c r="B10" i="33"/>
  <c r="B67" i="33" s="1"/>
  <c r="B10" i="35"/>
  <c r="B67" i="35" s="1"/>
  <c r="B43" i="34"/>
  <c r="B10" i="34"/>
  <c r="B67" i="34" s="1"/>
  <c r="B15" i="33"/>
  <c r="B72" i="33" s="1"/>
  <c r="B15" i="35"/>
  <c r="B72" i="35" s="1"/>
  <c r="J87" i="32"/>
  <c r="M121" i="32"/>
  <c r="E158" i="32"/>
  <c r="F158" i="32" s="1"/>
  <c r="H158" i="32" s="1"/>
  <c r="I158" i="32" s="1"/>
  <c r="K158" i="32" s="1"/>
  <c r="L158" i="32" s="1"/>
  <c r="N158" i="32" s="1"/>
  <c r="B13" i="35"/>
  <c r="B41" i="35" s="1"/>
  <c r="B12" i="35"/>
  <c r="B69" i="35" s="1"/>
  <c r="B12" i="34"/>
  <c r="B69" i="34" s="1"/>
  <c r="B16" i="42"/>
  <c r="B77" i="42" s="1"/>
  <c r="B16" i="43"/>
  <c r="B46" i="43" s="1"/>
  <c r="B68" i="43"/>
  <c r="A42" i="43"/>
  <c r="A44" i="43"/>
  <c r="B73" i="43"/>
  <c r="B76" i="43"/>
  <c r="A76" i="42"/>
  <c r="A45" i="42"/>
  <c r="A42" i="42"/>
  <c r="A43" i="42"/>
  <c r="G159" i="40"/>
  <c r="B16" i="41"/>
  <c r="E150" i="40"/>
  <c r="B8" i="41"/>
  <c r="S10" i="40"/>
  <c r="B14" i="41"/>
  <c r="B44" i="41" s="1"/>
  <c r="B15" i="41"/>
  <c r="B76" i="41" s="1"/>
  <c r="E155" i="40"/>
  <c r="C7" i="42" s="1"/>
  <c r="B12" i="41"/>
  <c r="B73" i="41" s="1"/>
  <c r="B7" i="41"/>
  <c r="B37" i="41" s="1"/>
  <c r="H149" i="40"/>
  <c r="D66" i="40"/>
  <c r="E61" i="40" s="1"/>
  <c r="E63" i="40" s="1"/>
  <c r="W55" i="40"/>
  <c r="W64" i="40" s="1"/>
  <c r="AA55" i="40"/>
  <c r="AA64" i="40" s="1"/>
  <c r="T55" i="40"/>
  <c r="T64" i="40" s="1"/>
  <c r="AB55" i="40"/>
  <c r="AB64" i="40" s="1"/>
  <c r="M106" i="40"/>
  <c r="S93" i="40"/>
  <c r="E105" i="40"/>
  <c r="M80" i="40"/>
  <c r="P94" i="40"/>
  <c r="Q105" i="40"/>
  <c r="U79" i="40"/>
  <c r="Q80" i="40"/>
  <c r="H105" i="40"/>
  <c r="T105" i="40"/>
  <c r="E79" i="40"/>
  <c r="E80" i="40"/>
  <c r="U80" i="40"/>
  <c r="G93" i="40"/>
  <c r="AB93" i="40"/>
  <c r="N105" i="40"/>
  <c r="U105" i="40"/>
  <c r="Q79" i="40"/>
  <c r="H43" i="40"/>
  <c r="I79" i="40"/>
  <c r="I80" i="40"/>
  <c r="Y80" i="40"/>
  <c r="Z105" i="40"/>
  <c r="I43" i="40"/>
  <c r="F43" i="40"/>
  <c r="J43" i="40"/>
  <c r="N43" i="40"/>
  <c r="R43" i="40"/>
  <c r="V55" i="40"/>
  <c r="V64" i="40" s="1"/>
  <c r="Z55" i="40"/>
  <c r="Z64" i="40" s="1"/>
  <c r="E11" i="40"/>
  <c r="C16" i="42" s="1"/>
  <c r="C77" i="42" s="1"/>
  <c r="E43" i="40"/>
  <c r="M43" i="40"/>
  <c r="U55" i="40"/>
  <c r="U64" i="40" s="1"/>
  <c r="Y55" i="40"/>
  <c r="Y64" i="40" s="1"/>
  <c r="Q43" i="40"/>
  <c r="R62" i="40"/>
  <c r="R53" i="40"/>
  <c r="N33" i="40"/>
  <c r="O35" i="40" s="1"/>
  <c r="AB79" i="40"/>
  <c r="P79" i="40"/>
  <c r="S79" i="40"/>
  <c r="G79" i="40"/>
  <c r="V79" i="40"/>
  <c r="J79" i="40"/>
  <c r="M79" i="40"/>
  <c r="Y79" i="40"/>
  <c r="G33" i="40"/>
  <c r="H35" i="40" s="1"/>
  <c r="K33" i="40"/>
  <c r="L35" i="40" s="1"/>
  <c r="O33" i="40"/>
  <c r="P35" i="40" s="1"/>
  <c r="O43" i="40"/>
  <c r="K53" i="40"/>
  <c r="S53" i="40"/>
  <c r="AA53" i="40"/>
  <c r="J53" i="40"/>
  <c r="J62" i="40"/>
  <c r="N53" i="40"/>
  <c r="N62" i="40"/>
  <c r="Z53" i="40"/>
  <c r="Z62" i="40"/>
  <c r="F33" i="40"/>
  <c r="G35" i="40" s="1"/>
  <c r="R33" i="40"/>
  <c r="D47" i="40"/>
  <c r="E42" i="40" s="1"/>
  <c r="H33" i="40"/>
  <c r="I35" i="40" s="1"/>
  <c r="L33" i="40"/>
  <c r="M35" i="40" s="1"/>
  <c r="P33" i="40"/>
  <c r="Q35" i="40" s="1"/>
  <c r="D36" i="40"/>
  <c r="D53" i="40"/>
  <c r="L53" i="40"/>
  <c r="T53" i="40"/>
  <c r="AB53" i="40"/>
  <c r="F62" i="40"/>
  <c r="K93" i="40"/>
  <c r="Z93" i="40"/>
  <c r="U94" i="40"/>
  <c r="I94" i="40"/>
  <c r="O94" i="40"/>
  <c r="X94" i="40"/>
  <c r="R94" i="40"/>
  <c r="L94" i="40"/>
  <c r="AA94" i="40"/>
  <c r="F94" i="40"/>
  <c r="S105" i="40"/>
  <c r="G105" i="40"/>
  <c r="Y105" i="40"/>
  <c r="M105" i="40"/>
  <c r="AB105" i="40"/>
  <c r="V105" i="40"/>
  <c r="J105" i="40"/>
  <c r="J33" i="40"/>
  <c r="E62" i="40"/>
  <c r="AD62" i="40" s="1"/>
  <c r="E53" i="40"/>
  <c r="I62" i="40"/>
  <c r="I53" i="40"/>
  <c r="M62" i="40"/>
  <c r="M53" i="40"/>
  <c r="Q62" i="40"/>
  <c r="Q53" i="40"/>
  <c r="U62" i="40"/>
  <c r="U53" i="40"/>
  <c r="Y62" i="40"/>
  <c r="Y53" i="40"/>
  <c r="E33" i="40"/>
  <c r="F35" i="40" s="1"/>
  <c r="I33" i="40"/>
  <c r="J35" i="40" s="1"/>
  <c r="M33" i="40"/>
  <c r="N35" i="40" s="1"/>
  <c r="Q33" i="40"/>
  <c r="R35" i="40" s="1"/>
  <c r="G53" i="40"/>
  <c r="O53" i="40"/>
  <c r="W53" i="40"/>
  <c r="V62" i="40"/>
  <c r="H157" i="40"/>
  <c r="M122" i="40"/>
  <c r="N122" i="40" s="1"/>
  <c r="M115" i="40"/>
  <c r="N114" i="40"/>
  <c r="F79" i="40"/>
  <c r="N79" i="40"/>
  <c r="R79" i="40"/>
  <c r="Z79" i="40"/>
  <c r="F80" i="40"/>
  <c r="J80" i="40"/>
  <c r="N80" i="40"/>
  <c r="R80" i="40"/>
  <c r="V80" i="40"/>
  <c r="Z80" i="40"/>
  <c r="U93" i="40"/>
  <c r="I93" i="40"/>
  <c r="Y94" i="40"/>
  <c r="M94" i="40"/>
  <c r="O93" i="40"/>
  <c r="G94" i="40"/>
  <c r="W94" i="40"/>
  <c r="AB94" i="40"/>
  <c r="F105" i="40"/>
  <c r="L105" i="40"/>
  <c r="Y106" i="40"/>
  <c r="K79" i="40"/>
  <c r="O79" i="40"/>
  <c r="W79" i="40"/>
  <c r="AA79" i="40"/>
  <c r="G80" i="40"/>
  <c r="K80" i="40"/>
  <c r="O80" i="40"/>
  <c r="S80" i="40"/>
  <c r="W80" i="40"/>
  <c r="AA80" i="40"/>
  <c r="Y93" i="40"/>
  <c r="M93" i="40"/>
  <c r="F93" i="40"/>
  <c r="P93" i="40"/>
  <c r="V93" i="40"/>
  <c r="AA93" i="40"/>
  <c r="S94" i="40"/>
  <c r="R105" i="40"/>
  <c r="J106" i="40"/>
  <c r="H79" i="40"/>
  <c r="L79" i="40"/>
  <c r="H80" i="40"/>
  <c r="L80" i="40"/>
  <c r="P80" i="40"/>
  <c r="AB80" i="40"/>
  <c r="L93" i="40"/>
  <c r="R93" i="40"/>
  <c r="J94" i="40"/>
  <c r="AA105" i="40"/>
  <c r="O105" i="40"/>
  <c r="W115" i="40"/>
  <c r="S106" i="40"/>
  <c r="G106" i="40"/>
  <c r="I105" i="40"/>
  <c r="V106" i="40"/>
  <c r="AB106" i="40"/>
  <c r="K105" i="40"/>
  <c r="B37" i="38"/>
  <c r="E16" i="36"/>
  <c r="E40" i="36" s="1"/>
  <c r="E42" i="36" s="1"/>
  <c r="K60" i="36"/>
  <c r="AA60" i="36"/>
  <c r="Q86" i="36"/>
  <c r="X101" i="36"/>
  <c r="G60" i="36"/>
  <c r="O60" i="36"/>
  <c r="E86" i="36"/>
  <c r="T86" i="36"/>
  <c r="I87" i="36"/>
  <c r="U87" i="36"/>
  <c r="G100" i="36"/>
  <c r="W60" i="36"/>
  <c r="N86" i="36"/>
  <c r="Y112" i="36"/>
  <c r="S60" i="36"/>
  <c r="H86" i="36"/>
  <c r="L87" i="36"/>
  <c r="X87" i="36"/>
  <c r="H100" i="36"/>
  <c r="U112" i="36"/>
  <c r="Y113" i="36"/>
  <c r="F50" i="36"/>
  <c r="F52" i="36" s="1"/>
  <c r="F62" i="36" s="1"/>
  <c r="F71" i="36" s="1"/>
  <c r="F40" i="36"/>
  <c r="F42" i="36" s="1"/>
  <c r="Z17" i="36"/>
  <c r="J50" i="36"/>
  <c r="J52" i="36" s="1"/>
  <c r="J62" i="36" s="1"/>
  <c r="J71" i="36" s="1"/>
  <c r="J40" i="36"/>
  <c r="J42" i="36" s="1"/>
  <c r="R50" i="36"/>
  <c r="R52" i="36" s="1"/>
  <c r="R62" i="36" s="1"/>
  <c r="R71" i="36" s="1"/>
  <c r="R40" i="36"/>
  <c r="R42" i="36" s="1"/>
  <c r="V50" i="36"/>
  <c r="V52" i="36" s="1"/>
  <c r="V62" i="36" s="1"/>
  <c r="V71" i="36" s="1"/>
  <c r="V40" i="36"/>
  <c r="V42" i="36" s="1"/>
  <c r="Z50" i="36"/>
  <c r="Z52" i="36" s="1"/>
  <c r="Z62" i="36" s="1"/>
  <c r="Z71" i="36" s="1"/>
  <c r="Z40" i="36"/>
  <c r="Z42" i="36" s="1"/>
  <c r="AA17" i="36"/>
  <c r="G50" i="36"/>
  <c r="G52" i="36" s="1"/>
  <c r="G62" i="36" s="1"/>
  <c r="G71" i="36" s="1"/>
  <c r="G40" i="36"/>
  <c r="G42" i="36" s="1"/>
  <c r="K50" i="36"/>
  <c r="K52" i="36" s="1"/>
  <c r="K62" i="36" s="1"/>
  <c r="K71" i="36" s="1"/>
  <c r="K40" i="36"/>
  <c r="K42" i="36" s="1"/>
  <c r="O50" i="36"/>
  <c r="O52" i="36" s="1"/>
  <c r="O62" i="36" s="1"/>
  <c r="O71" i="36" s="1"/>
  <c r="O40" i="36"/>
  <c r="O42" i="36" s="1"/>
  <c r="S50" i="36"/>
  <c r="S52" i="36" s="1"/>
  <c r="S62" i="36" s="1"/>
  <c r="S71" i="36" s="1"/>
  <c r="S40" i="36"/>
  <c r="S42" i="36" s="1"/>
  <c r="W50" i="36"/>
  <c r="W52" i="36" s="1"/>
  <c r="W62" i="36" s="1"/>
  <c r="W71" i="36" s="1"/>
  <c r="W40" i="36"/>
  <c r="W42" i="36" s="1"/>
  <c r="AA50" i="36"/>
  <c r="AA52" i="36" s="1"/>
  <c r="AA62" i="36" s="1"/>
  <c r="AA71" i="36" s="1"/>
  <c r="AA40" i="36"/>
  <c r="AA42" i="36" s="1"/>
  <c r="M60" i="36"/>
  <c r="M69" i="36"/>
  <c r="Y69" i="36"/>
  <c r="Y60" i="36"/>
  <c r="F60" i="36"/>
  <c r="F69" i="36"/>
  <c r="N60" i="36"/>
  <c r="N69" i="36"/>
  <c r="V60" i="36"/>
  <c r="V69" i="36"/>
  <c r="AD7" i="36"/>
  <c r="AB17" i="36"/>
  <c r="H50" i="36"/>
  <c r="H52" i="36" s="1"/>
  <c r="H62" i="36" s="1"/>
  <c r="H71" i="36" s="1"/>
  <c r="H40" i="36"/>
  <c r="H42" i="36" s="1"/>
  <c r="L50" i="36"/>
  <c r="L52" i="36" s="1"/>
  <c r="L62" i="36" s="1"/>
  <c r="L71" i="36" s="1"/>
  <c r="L40" i="36"/>
  <c r="L42" i="36" s="1"/>
  <c r="P50" i="36"/>
  <c r="P52" i="36" s="1"/>
  <c r="P62" i="36" s="1"/>
  <c r="P71" i="36" s="1"/>
  <c r="P40" i="36"/>
  <c r="P42" i="36" s="1"/>
  <c r="T50" i="36"/>
  <c r="T52" i="36" s="1"/>
  <c r="T62" i="36" s="1"/>
  <c r="T71" i="36" s="1"/>
  <c r="T40" i="36"/>
  <c r="T42" i="36" s="1"/>
  <c r="X50" i="36"/>
  <c r="X52" i="36" s="1"/>
  <c r="X62" i="36" s="1"/>
  <c r="X71" i="36" s="1"/>
  <c r="X40" i="36"/>
  <c r="X42" i="36" s="1"/>
  <c r="AB50" i="36"/>
  <c r="AB52" i="36" s="1"/>
  <c r="AB62" i="36" s="1"/>
  <c r="AB71" i="36" s="1"/>
  <c r="Z69" i="36"/>
  <c r="E70" i="36"/>
  <c r="I69" i="36"/>
  <c r="I60" i="36"/>
  <c r="U60" i="36"/>
  <c r="U69" i="36"/>
  <c r="E60" i="36"/>
  <c r="E69" i="36"/>
  <c r="Q69" i="36"/>
  <c r="Q60" i="36"/>
  <c r="AD6" i="36"/>
  <c r="D63" i="36"/>
  <c r="D64" i="36" s="1"/>
  <c r="E59" i="36" s="1"/>
  <c r="H156" i="36"/>
  <c r="H69" i="36"/>
  <c r="H60" i="36"/>
  <c r="L69" i="36"/>
  <c r="L60" i="36"/>
  <c r="P69" i="36"/>
  <c r="P60" i="36"/>
  <c r="T69" i="36"/>
  <c r="T60" i="36"/>
  <c r="X69" i="36"/>
  <c r="X60" i="36"/>
  <c r="AB69" i="36"/>
  <c r="AB60" i="36"/>
  <c r="N40" i="36"/>
  <c r="N42" i="36" s="1"/>
  <c r="N50" i="36"/>
  <c r="N52" i="36" s="1"/>
  <c r="N62" i="36" s="1"/>
  <c r="N71" i="36" s="1"/>
  <c r="J69" i="36"/>
  <c r="AA86" i="36"/>
  <c r="O86" i="36"/>
  <c r="R86" i="36"/>
  <c r="F86" i="36"/>
  <c r="X86" i="36"/>
  <c r="I86" i="36"/>
  <c r="U86" i="36"/>
  <c r="S87" i="36"/>
  <c r="G87" i="36"/>
  <c r="M121" i="36"/>
  <c r="V87" i="36"/>
  <c r="J87" i="36"/>
  <c r="P87" i="36"/>
  <c r="M87" i="36"/>
  <c r="AB87" i="36"/>
  <c r="Y87" i="36"/>
  <c r="S86" i="36"/>
  <c r="G86" i="36"/>
  <c r="V86" i="36"/>
  <c r="J86" i="36"/>
  <c r="M86" i="36"/>
  <c r="AB86" i="36"/>
  <c r="Q101" i="36"/>
  <c r="Z100" i="36"/>
  <c r="N100" i="36"/>
  <c r="Q100" i="36"/>
  <c r="T100" i="36"/>
  <c r="E100" i="36"/>
  <c r="K100" i="36"/>
  <c r="R101" i="36"/>
  <c r="F101" i="36"/>
  <c r="U101" i="36"/>
  <c r="I101" i="36"/>
  <c r="L101" i="36"/>
  <c r="AA101" i="36"/>
  <c r="I40" i="36"/>
  <c r="I42" i="36" s="1"/>
  <c r="M40" i="36"/>
  <c r="M42" i="36" s="1"/>
  <c r="Q40" i="36"/>
  <c r="Q42" i="36" s="1"/>
  <c r="U40" i="36"/>
  <c r="U42" i="36" s="1"/>
  <c r="Y40" i="36"/>
  <c r="Y42" i="36" s="1"/>
  <c r="P86" i="36"/>
  <c r="H155" i="36"/>
  <c r="Z86" i="36"/>
  <c r="F87" i="36"/>
  <c r="N87" i="36"/>
  <c r="R87" i="36"/>
  <c r="Z87" i="36"/>
  <c r="R100" i="36"/>
  <c r="F100" i="36"/>
  <c r="U100" i="36"/>
  <c r="I100" i="36"/>
  <c r="R121" i="36"/>
  <c r="V101" i="36"/>
  <c r="J101" i="36"/>
  <c r="Y101" i="36"/>
  <c r="M101" i="36"/>
  <c r="AA100" i="36"/>
  <c r="S101" i="36"/>
  <c r="AB112" i="36"/>
  <c r="P112" i="36"/>
  <c r="S112" i="36"/>
  <c r="G112" i="36"/>
  <c r="M112" i="36"/>
  <c r="K86" i="36"/>
  <c r="K87" i="36"/>
  <c r="O87" i="36"/>
  <c r="V100" i="36"/>
  <c r="J100" i="36"/>
  <c r="Y100" i="36"/>
  <c r="M100" i="36"/>
  <c r="L100" i="36"/>
  <c r="AB100" i="36"/>
  <c r="AB101" i="36"/>
  <c r="V112" i="36"/>
  <c r="K112" i="36"/>
  <c r="O112" i="36"/>
  <c r="W112" i="36"/>
  <c r="AA112" i="36"/>
  <c r="G113" i="36"/>
  <c r="S113" i="36"/>
  <c r="W121" i="36"/>
  <c r="W122" i="36" s="1"/>
  <c r="H112" i="36"/>
  <c r="L112" i="36"/>
  <c r="P113" i="36"/>
  <c r="B70" i="34"/>
  <c r="D149" i="32"/>
  <c r="E149" i="32" s="1"/>
  <c r="B13" i="33"/>
  <c r="B70" i="33" s="1"/>
  <c r="B69" i="33"/>
  <c r="K69" i="32"/>
  <c r="K60" i="32"/>
  <c r="G60" i="32"/>
  <c r="G69" i="32"/>
  <c r="S86" i="32"/>
  <c r="V86" i="32"/>
  <c r="J42" i="32"/>
  <c r="F52" i="32"/>
  <c r="F62" i="32" s="1"/>
  <c r="F71" i="32" s="1"/>
  <c r="AA17" i="32"/>
  <c r="D156" i="32"/>
  <c r="Z17" i="32"/>
  <c r="Y17" i="32"/>
  <c r="L60" i="32"/>
  <c r="Q69" i="32"/>
  <c r="E101" i="32"/>
  <c r="I52" i="32"/>
  <c r="U52" i="32"/>
  <c r="U62" i="32" s="1"/>
  <c r="U71" i="32" s="1"/>
  <c r="L52" i="32"/>
  <c r="E52" i="32"/>
  <c r="E62" i="32" s="1"/>
  <c r="E71" i="32" s="1"/>
  <c r="Q52" i="32"/>
  <c r="M52" i="32"/>
  <c r="M62" i="32" s="1"/>
  <c r="M71" i="32" s="1"/>
  <c r="T52" i="32"/>
  <c r="J86" i="32"/>
  <c r="S113" i="32"/>
  <c r="K52" i="32"/>
  <c r="G52" i="32"/>
  <c r="G62" i="32" s="1"/>
  <c r="G71" i="32" s="1"/>
  <c r="AA52" i="32"/>
  <c r="W52" i="32"/>
  <c r="S52" i="32"/>
  <c r="O52" i="32"/>
  <c r="O62" i="32" s="1"/>
  <c r="O71" i="32" s="1"/>
  <c r="T60" i="32"/>
  <c r="AB60" i="32"/>
  <c r="F69" i="32"/>
  <c r="B48" i="30"/>
  <c r="B48" i="31"/>
  <c r="L100" i="32"/>
  <c r="E157" i="32"/>
  <c r="M86" i="32"/>
  <c r="AB86" i="32"/>
  <c r="P86" i="32"/>
  <c r="H87" i="32"/>
  <c r="L87" i="32"/>
  <c r="AA100" i="32"/>
  <c r="G113" i="32"/>
  <c r="R87" i="32"/>
  <c r="K112" i="32"/>
  <c r="X87" i="32"/>
  <c r="W112" i="32"/>
  <c r="I60" i="32"/>
  <c r="AB40" i="32"/>
  <c r="AB42" i="32" s="1"/>
  <c r="Y40" i="32"/>
  <c r="Y42" i="32" s="1"/>
  <c r="X40" i="32"/>
  <c r="X42" i="32" s="1"/>
  <c r="P40" i="32"/>
  <c r="P42" i="32" s="1"/>
  <c r="U60" i="32"/>
  <c r="I87" i="32"/>
  <c r="N87" i="32"/>
  <c r="T87" i="32"/>
  <c r="Z87" i="32"/>
  <c r="O100" i="32"/>
  <c r="N112" i="32"/>
  <c r="Z112" i="32"/>
  <c r="P113" i="32"/>
  <c r="AB113" i="32"/>
  <c r="M60" i="32"/>
  <c r="Y60" i="32"/>
  <c r="G86" i="32"/>
  <c r="E87" i="32"/>
  <c r="O87" i="32"/>
  <c r="U87" i="32"/>
  <c r="AA87" i="32"/>
  <c r="R100" i="32"/>
  <c r="I101" i="32"/>
  <c r="E112" i="32"/>
  <c r="Q112" i="32"/>
  <c r="M113" i="32"/>
  <c r="Y113" i="32"/>
  <c r="K87" i="32"/>
  <c r="Q87" i="32"/>
  <c r="F100" i="32"/>
  <c r="X100" i="32"/>
  <c r="H112" i="32"/>
  <c r="J113" i="32"/>
  <c r="E60" i="32"/>
  <c r="J60" i="32"/>
  <c r="P60" i="32"/>
  <c r="X60" i="32"/>
  <c r="B79" i="1"/>
  <c r="B46" i="1"/>
  <c r="W50" i="25"/>
  <c r="Y52" i="25" s="1"/>
  <c r="Y62" i="25" s="1"/>
  <c r="Y71" i="25" s="1"/>
  <c r="S50" i="25"/>
  <c r="K50" i="25"/>
  <c r="B51" i="1"/>
  <c r="B84" i="1" s="1"/>
  <c r="B51" i="31"/>
  <c r="B84" i="31" s="1"/>
  <c r="B83" i="1"/>
  <c r="B50" i="1"/>
  <c r="D12" i="31"/>
  <c r="D44" i="31" s="1"/>
  <c r="H152" i="25"/>
  <c r="D12" i="1"/>
  <c r="D77" i="1" s="1"/>
  <c r="V101" i="32"/>
  <c r="G101" i="32"/>
  <c r="Y101" i="32"/>
  <c r="P101" i="32"/>
  <c r="AB101" i="32"/>
  <c r="J101" i="32"/>
  <c r="M101" i="32"/>
  <c r="S101" i="32"/>
  <c r="Z17" i="25"/>
  <c r="V50" i="25"/>
  <c r="F50" i="25"/>
  <c r="E155" i="25"/>
  <c r="F155" i="25" s="1"/>
  <c r="H155" i="25" s="1"/>
  <c r="B13" i="1"/>
  <c r="B78" i="1" s="1"/>
  <c r="D12" i="30"/>
  <c r="D77" i="30" s="1"/>
  <c r="B19" i="31"/>
  <c r="B19" i="30"/>
  <c r="U50" i="25"/>
  <c r="E50" i="25"/>
  <c r="B17" i="1"/>
  <c r="B17" i="31"/>
  <c r="E158" i="25"/>
  <c r="F158" i="25" s="1"/>
  <c r="H158" i="25" s="1"/>
  <c r="I158" i="25" s="1"/>
  <c r="B51" i="30"/>
  <c r="B84" i="30" s="1"/>
  <c r="Z40" i="32"/>
  <c r="Z42" i="32" s="1"/>
  <c r="Z69" i="32"/>
  <c r="V40" i="32"/>
  <c r="V42" i="32" s="1"/>
  <c r="V69" i="32"/>
  <c r="R40" i="32"/>
  <c r="R42" i="32" s="1"/>
  <c r="R69" i="32"/>
  <c r="N50" i="32"/>
  <c r="N52" i="32" s="1"/>
  <c r="N62" i="32" s="1"/>
  <c r="N71" i="32" s="1"/>
  <c r="N69" i="32"/>
  <c r="AA17" i="25"/>
  <c r="G50" i="25"/>
  <c r="U86" i="32"/>
  <c r="I86" i="32"/>
  <c r="X86" i="32"/>
  <c r="L86" i="32"/>
  <c r="R86" i="32"/>
  <c r="F86" i="32"/>
  <c r="AA86" i="32"/>
  <c r="W100" i="32"/>
  <c r="N100" i="32"/>
  <c r="E100" i="32"/>
  <c r="Z100" i="32"/>
  <c r="Q100" i="32"/>
  <c r="H100" i="32"/>
  <c r="T100" i="32"/>
  <c r="S112" i="32"/>
  <c r="Y112" i="32"/>
  <c r="P112" i="32"/>
  <c r="AB112" i="32"/>
  <c r="J112" i="32"/>
  <c r="V112" i="32"/>
  <c r="M112" i="32"/>
  <c r="N50" i="25"/>
  <c r="P52" i="25" s="1"/>
  <c r="P62" i="25" s="1"/>
  <c r="P71" i="25" s="1"/>
  <c r="B14" i="31"/>
  <c r="B13" i="31"/>
  <c r="B78" i="31" s="1"/>
  <c r="B14" i="30"/>
  <c r="D50" i="25"/>
  <c r="Z50" i="25"/>
  <c r="R50" i="25"/>
  <c r="J50" i="25"/>
  <c r="B17" i="30"/>
  <c r="Q86" i="32"/>
  <c r="E86" i="32"/>
  <c r="T86" i="32"/>
  <c r="H86" i="32"/>
  <c r="W86" i="32"/>
  <c r="K86" i="32"/>
  <c r="Y87" i="32"/>
  <c r="M87" i="32"/>
  <c r="AB87" i="32"/>
  <c r="P87" i="32"/>
  <c r="S87" i="32"/>
  <c r="V87" i="32"/>
  <c r="J100" i="32"/>
  <c r="V100" i="32"/>
  <c r="M100" i="32"/>
  <c r="AB100" i="32"/>
  <c r="S100" i="32"/>
  <c r="AA101" i="32"/>
  <c r="L101" i="32"/>
  <c r="U101" i="32"/>
  <c r="F101" i="32"/>
  <c r="R101" i="32"/>
  <c r="X101" i="32"/>
  <c r="U112" i="32"/>
  <c r="L112" i="32"/>
  <c r="X112" i="32"/>
  <c r="O112" i="32"/>
  <c r="F112" i="32"/>
  <c r="I112" i="32"/>
  <c r="B18" i="31"/>
  <c r="B50" i="31" s="1"/>
  <c r="T50" i="25"/>
  <c r="P50" i="25"/>
  <c r="H50" i="25"/>
  <c r="B15" i="1"/>
  <c r="B15" i="30"/>
  <c r="G87" i="32"/>
  <c r="Y100" i="32"/>
  <c r="R112" i="32"/>
  <c r="AA112" i="32"/>
  <c r="B80" i="31"/>
  <c r="B47" i="31"/>
  <c r="N86" i="32"/>
  <c r="G100" i="32"/>
  <c r="P100" i="32"/>
  <c r="G112" i="32"/>
  <c r="T101" i="32"/>
  <c r="N101" i="32"/>
  <c r="I100" i="32"/>
  <c r="Y50" i="32"/>
  <c r="Y52" i="32" s="1"/>
  <c r="AA69" i="32"/>
  <c r="AC8" i="32"/>
  <c r="P50" i="32"/>
  <c r="N60" i="32"/>
  <c r="R60" i="32"/>
  <c r="V60" i="32"/>
  <c r="Z60" i="32"/>
  <c r="AC16" i="32"/>
  <c r="O69" i="32"/>
  <c r="S69" i="32"/>
  <c r="W69" i="32"/>
  <c r="AC7" i="32"/>
  <c r="S40" i="32"/>
  <c r="S42" i="32" s="1"/>
  <c r="X50" i="32"/>
  <c r="X52" i="32" s="1"/>
  <c r="AC6" i="32"/>
  <c r="H69" i="32"/>
  <c r="H50" i="32"/>
  <c r="C13" i="32"/>
  <c r="E18" i="32"/>
  <c r="G40" i="32"/>
  <c r="G42" i="32" s="1"/>
  <c r="K40" i="32"/>
  <c r="K42" i="32" s="1"/>
  <c r="O40" i="32"/>
  <c r="O42" i="32" s="1"/>
  <c r="T40" i="32"/>
  <c r="T42" i="32" s="1"/>
  <c r="AA40" i="32"/>
  <c r="AA42" i="32" s="1"/>
  <c r="J50" i="32"/>
  <c r="R50" i="32"/>
  <c r="Z50" i="32"/>
  <c r="F40" i="32"/>
  <c r="F42" i="32" s="1"/>
  <c r="D40" i="32"/>
  <c r="H40" i="32"/>
  <c r="H42" i="32" s="1"/>
  <c r="L40" i="32"/>
  <c r="L42" i="32" s="1"/>
  <c r="U40" i="32"/>
  <c r="U42" i="32" s="1"/>
  <c r="D50" i="32"/>
  <c r="AB50" i="32"/>
  <c r="AB52" i="32" s="1"/>
  <c r="D64" i="32"/>
  <c r="E59" i="32" s="1"/>
  <c r="D73" i="32"/>
  <c r="E68" i="32" s="1"/>
  <c r="N40" i="32"/>
  <c r="N42" i="32" s="1"/>
  <c r="E40" i="32"/>
  <c r="E42" i="32" s="1"/>
  <c r="I40" i="32"/>
  <c r="I42" i="32" s="1"/>
  <c r="M40" i="32"/>
  <c r="M42" i="32" s="1"/>
  <c r="Q40" i="32"/>
  <c r="Q42" i="32" s="1"/>
  <c r="W40" i="32"/>
  <c r="W42" i="32" s="1"/>
  <c r="V50" i="32"/>
  <c r="V52" i="32" s="1"/>
  <c r="V62" i="32" s="1"/>
  <c r="V71" i="32" s="1"/>
  <c r="E155" i="32"/>
  <c r="F150" i="32"/>
  <c r="H162" i="32"/>
  <c r="F151" i="32"/>
  <c r="B45" i="30"/>
  <c r="B46" i="30"/>
  <c r="B83" i="30"/>
  <c r="B50" i="30"/>
  <c r="D44" i="1"/>
  <c r="K153" i="25"/>
  <c r="L153" i="25" s="1"/>
  <c r="O153" i="25" s="1"/>
  <c r="I152" i="25"/>
  <c r="H144" i="25"/>
  <c r="K144" i="25" s="1"/>
  <c r="F144" i="25"/>
  <c r="B48" i="1"/>
  <c r="I155" i="25"/>
  <c r="E159" i="25"/>
  <c r="E146" i="25"/>
  <c r="E162" i="25"/>
  <c r="E161" i="25"/>
  <c r="E145" i="25"/>
  <c r="E160" i="25"/>
  <c r="M128" i="25"/>
  <c r="R123" i="25"/>
  <c r="S122" i="25"/>
  <c r="X122" i="25"/>
  <c r="W123" i="25"/>
  <c r="M123" i="25"/>
  <c r="N122" i="25"/>
  <c r="AB52" i="25"/>
  <c r="AB62" i="25" s="1"/>
  <c r="AB71" i="25" s="1"/>
  <c r="X52" i="25"/>
  <c r="X62" i="25" s="1"/>
  <c r="X71" i="25" s="1"/>
  <c r="M52" i="25"/>
  <c r="M62" i="25" s="1"/>
  <c r="M71" i="25" s="1"/>
  <c r="R52" i="25"/>
  <c r="R62" i="25" s="1"/>
  <c r="R71" i="25" s="1"/>
  <c r="N52" i="25"/>
  <c r="N62" i="25" s="1"/>
  <c r="N71" i="25" s="1"/>
  <c r="Z52" i="25"/>
  <c r="Z62" i="25" s="1"/>
  <c r="Z71" i="25" s="1"/>
  <c r="V52" i="25"/>
  <c r="V62" i="25" s="1"/>
  <c r="V71" i="25" s="1"/>
  <c r="U52" i="25"/>
  <c r="U62" i="25" s="1"/>
  <c r="U71" i="25" s="1"/>
  <c r="AC60" i="25"/>
  <c r="AA52" i="25"/>
  <c r="AA62" i="25" s="1"/>
  <c r="AA71" i="25" s="1"/>
  <c r="S52" i="25"/>
  <c r="S62" i="25" s="1"/>
  <c r="S71" i="25" s="1"/>
  <c r="T52" i="25"/>
  <c r="T62" i="25" s="1"/>
  <c r="T71" i="25" s="1"/>
  <c r="F52" i="25"/>
  <c r="F62" i="25" s="1"/>
  <c r="F71" i="25" s="1"/>
  <c r="D54" i="25"/>
  <c r="E49" i="25" s="1"/>
  <c r="E51" i="25" s="1"/>
  <c r="E53" i="25" s="1"/>
  <c r="Q52" i="25"/>
  <c r="Q62" i="25" s="1"/>
  <c r="Q71" i="25" s="1"/>
  <c r="AC69" i="25"/>
  <c r="D73" i="25"/>
  <c r="E68" i="25" s="1"/>
  <c r="E70" i="25" s="1"/>
  <c r="E72" i="25" s="1"/>
  <c r="D64" i="25"/>
  <c r="E59" i="25" s="1"/>
  <c r="E61" i="25" s="1"/>
  <c r="AC16" i="25"/>
  <c r="Y17" i="25"/>
  <c r="X121" i="25"/>
  <c r="S121" i="25"/>
  <c r="N121" i="25"/>
  <c r="E18" i="25"/>
  <c r="C17" i="1" s="1"/>
  <c r="C49" i="1" s="1"/>
  <c r="C13" i="25"/>
  <c r="B82" i="1" l="1"/>
  <c r="B49" i="1"/>
  <c r="C8" i="43"/>
  <c r="C8" i="42"/>
  <c r="C68" i="42"/>
  <c r="C37" i="42"/>
  <c r="B37" i="42"/>
  <c r="B68" i="42"/>
  <c r="B61" i="47"/>
  <c r="B35" i="47"/>
  <c r="AD42" i="36"/>
  <c r="Z101" i="32"/>
  <c r="K101" i="32"/>
  <c r="Q101" i="32"/>
  <c r="W101" i="32"/>
  <c r="H101" i="32"/>
  <c r="W97" i="45"/>
  <c r="Q97" i="45"/>
  <c r="E97" i="45"/>
  <c r="H97" i="45"/>
  <c r="N97" i="45"/>
  <c r="T97" i="45"/>
  <c r="K97" i="45"/>
  <c r="B80" i="30"/>
  <c r="B47" i="30"/>
  <c r="B49" i="31"/>
  <c r="B82" i="31"/>
  <c r="B65" i="39"/>
  <c r="B37" i="39"/>
  <c r="F153" i="36"/>
  <c r="C10" i="38"/>
  <c r="C10" i="39"/>
  <c r="C10" i="37"/>
  <c r="B37" i="37"/>
  <c r="W93" i="40"/>
  <c r="A43" i="43"/>
  <c r="A45" i="43"/>
  <c r="C16" i="43"/>
  <c r="C46" i="43" s="1"/>
  <c r="C11" i="47"/>
  <c r="C11" i="48"/>
  <c r="A61" i="48"/>
  <c r="A35" i="48"/>
  <c r="AA14" i="39"/>
  <c r="AA69" i="39" s="1"/>
  <c r="AA14" i="37"/>
  <c r="AA69" i="37" s="1"/>
  <c r="AA14" i="38"/>
  <c r="AA69" i="38" s="1"/>
  <c r="B12" i="46"/>
  <c r="B63" i="46" s="1"/>
  <c r="B12" i="47"/>
  <c r="B63" i="47" s="1"/>
  <c r="B12" i="48"/>
  <c r="B63" i="48" s="1"/>
  <c r="AC17" i="25"/>
  <c r="N93" i="40"/>
  <c r="E93" i="40"/>
  <c r="C16" i="41"/>
  <c r="B36" i="48"/>
  <c r="B62" i="48"/>
  <c r="A36" i="47"/>
  <c r="A62" i="47"/>
  <c r="A35" i="47"/>
  <c r="A61" i="47"/>
  <c r="E105" i="45"/>
  <c r="X113" i="25"/>
  <c r="R113" i="25"/>
  <c r="L113" i="25"/>
  <c r="F113" i="25"/>
  <c r="E101" i="40"/>
  <c r="E108" i="36"/>
  <c r="E108" i="32"/>
  <c r="AA113" i="25"/>
  <c r="U113" i="25"/>
  <c r="O113" i="25"/>
  <c r="I113" i="25"/>
  <c r="W52" i="25"/>
  <c r="W62" i="25" s="1"/>
  <c r="W71" i="25" s="1"/>
  <c r="H93" i="40"/>
  <c r="Q93" i="40"/>
  <c r="B17" i="41"/>
  <c r="B78" i="41" s="1"/>
  <c r="B17" i="42"/>
  <c r="B78" i="42" s="1"/>
  <c r="B17" i="43"/>
  <c r="B78" i="43" s="1"/>
  <c r="C15" i="43"/>
  <c r="C15" i="42"/>
  <c r="A75" i="42"/>
  <c r="A44" i="42"/>
  <c r="B36" i="47"/>
  <c r="B62" i="47"/>
  <c r="B64" i="47" s="1"/>
  <c r="A36" i="48"/>
  <c r="A62" i="48"/>
  <c r="B45" i="42"/>
  <c r="B76" i="42"/>
  <c r="C12" i="43"/>
  <c r="C12" i="42"/>
  <c r="B69" i="41"/>
  <c r="B38" i="41"/>
  <c r="C14" i="33"/>
  <c r="C14" i="35" s="1"/>
  <c r="C71" i="35" s="1"/>
  <c r="C10" i="47"/>
  <c r="C10" i="48"/>
  <c r="C7" i="43"/>
  <c r="D101" i="40"/>
  <c r="D108" i="32"/>
  <c r="H113" i="25"/>
  <c r="W113" i="25"/>
  <c r="Q113" i="25"/>
  <c r="K113" i="25"/>
  <c r="E113" i="25"/>
  <c r="T113" i="25"/>
  <c r="D108" i="36"/>
  <c r="Z113" i="25"/>
  <c r="N113" i="25"/>
  <c r="D105" i="45"/>
  <c r="AB113" i="36"/>
  <c r="M113" i="36"/>
  <c r="B61" i="48"/>
  <c r="B35" i="48"/>
  <c r="B13" i="48"/>
  <c r="K135" i="45"/>
  <c r="F135" i="45"/>
  <c r="G135" i="45" s="1"/>
  <c r="C6" i="48"/>
  <c r="C6" i="47"/>
  <c r="B7" i="48"/>
  <c r="B15" i="48" s="1"/>
  <c r="B17" i="48" s="1"/>
  <c r="B23" i="48" s="1"/>
  <c r="B31" i="48"/>
  <c r="B32" i="48" s="1"/>
  <c r="B57" i="48"/>
  <c r="B58" i="48" s="1"/>
  <c r="B31" i="47"/>
  <c r="B32" i="47" s="1"/>
  <c r="B7" i="47"/>
  <c r="B57" i="47"/>
  <c r="B58" i="47" s="1"/>
  <c r="B66" i="47" s="1"/>
  <c r="F136" i="45"/>
  <c r="G136" i="45" s="1"/>
  <c r="H136" i="45" s="1"/>
  <c r="I136" i="45" s="1"/>
  <c r="J136" i="45" s="1"/>
  <c r="K136" i="45" s="1"/>
  <c r="L136" i="45" s="1"/>
  <c r="M136" i="45" s="1"/>
  <c r="C6" i="46"/>
  <c r="B7" i="46"/>
  <c r="B31" i="46"/>
  <c r="B32" i="46" s="1"/>
  <c r="B57" i="46"/>
  <c r="B58" i="46" s="1"/>
  <c r="B35" i="46"/>
  <c r="B61" i="46"/>
  <c r="B62" i="46"/>
  <c r="B36" i="46"/>
  <c r="F11" i="45"/>
  <c r="C11" i="46"/>
  <c r="F142" i="45"/>
  <c r="C10" i="46"/>
  <c r="M119" i="45"/>
  <c r="N47" i="45"/>
  <c r="N49" i="45"/>
  <c r="N59" i="45" s="1"/>
  <c r="N68" i="45" s="1"/>
  <c r="N39" i="45"/>
  <c r="N37" i="45"/>
  <c r="X118" i="45"/>
  <c r="M120" i="45"/>
  <c r="N119" i="45"/>
  <c r="D41" i="45"/>
  <c r="E36" i="45" s="1"/>
  <c r="W120" i="45"/>
  <c r="W121" i="45" s="1"/>
  <c r="X121" i="45" s="1"/>
  <c r="X119" i="45"/>
  <c r="L135" i="45"/>
  <c r="D51" i="45"/>
  <c r="E46" i="45" s="1"/>
  <c r="E58" i="45"/>
  <c r="S118" i="45"/>
  <c r="E59" i="45"/>
  <c r="E67" i="45"/>
  <c r="R120" i="45"/>
  <c r="R121" i="45" s="1"/>
  <c r="S121" i="45" s="1"/>
  <c r="S119" i="45"/>
  <c r="B40" i="39"/>
  <c r="B70" i="35"/>
  <c r="B39" i="38"/>
  <c r="B38" i="33"/>
  <c r="B68" i="37"/>
  <c r="B40" i="38"/>
  <c r="B39" i="39"/>
  <c r="B75" i="42"/>
  <c r="B75" i="43"/>
  <c r="I157" i="40"/>
  <c r="B46" i="42"/>
  <c r="B77" i="43"/>
  <c r="W101" i="36"/>
  <c r="K101" i="36"/>
  <c r="N101" i="36"/>
  <c r="Z94" i="40"/>
  <c r="T101" i="36"/>
  <c r="Z101" i="36"/>
  <c r="T94" i="40"/>
  <c r="E94" i="40"/>
  <c r="K94" i="40"/>
  <c r="E101" i="36"/>
  <c r="Q94" i="40"/>
  <c r="H94" i="40"/>
  <c r="B39" i="37"/>
  <c r="I156" i="36"/>
  <c r="K156" i="36" s="1"/>
  <c r="C42" i="35"/>
  <c r="B71" i="34"/>
  <c r="B14" i="34"/>
  <c r="B42" i="34" s="1"/>
  <c r="F159" i="32"/>
  <c r="D14" i="33" s="1"/>
  <c r="D14" i="35" s="1"/>
  <c r="B38" i="35"/>
  <c r="B38" i="34"/>
  <c r="B40" i="35"/>
  <c r="B6" i="33"/>
  <c r="B63" i="33" s="1"/>
  <c r="C10" i="35"/>
  <c r="C10" i="34"/>
  <c r="C13" i="35"/>
  <c r="C13" i="34"/>
  <c r="B11" i="35"/>
  <c r="B11" i="34"/>
  <c r="B40" i="34"/>
  <c r="O158" i="32"/>
  <c r="Q158" i="32" s="1"/>
  <c r="F157" i="32"/>
  <c r="C12" i="34"/>
  <c r="C12" i="35"/>
  <c r="C77" i="43"/>
  <c r="C46" i="42"/>
  <c r="H159" i="40"/>
  <c r="C46" i="41"/>
  <c r="C77" i="41"/>
  <c r="B46" i="41"/>
  <c r="B77" i="41"/>
  <c r="F150" i="40"/>
  <c r="C8" i="41"/>
  <c r="B68" i="41"/>
  <c r="B75" i="41"/>
  <c r="B45" i="41"/>
  <c r="K35" i="40"/>
  <c r="S35" i="40" s="1"/>
  <c r="S43" i="40"/>
  <c r="F11" i="40"/>
  <c r="C15" i="41"/>
  <c r="B42" i="41"/>
  <c r="F155" i="40"/>
  <c r="C12" i="41"/>
  <c r="C7" i="41"/>
  <c r="C9" i="41" s="1"/>
  <c r="S33" i="40"/>
  <c r="K158" i="40"/>
  <c r="L158" i="40" s="1"/>
  <c r="X114" i="40"/>
  <c r="D37" i="40"/>
  <c r="M116" i="40"/>
  <c r="M123" i="40"/>
  <c r="N123" i="40" s="1"/>
  <c r="N115" i="40"/>
  <c r="D146" i="40"/>
  <c r="K157" i="40"/>
  <c r="AD53" i="40"/>
  <c r="D57" i="40"/>
  <c r="E52" i="40" s="1"/>
  <c r="W116" i="40"/>
  <c r="W117" i="40" s="1"/>
  <c r="X115" i="40"/>
  <c r="R115" i="40"/>
  <c r="S114" i="40"/>
  <c r="E55" i="40"/>
  <c r="I155" i="36"/>
  <c r="AD60" i="36"/>
  <c r="X121" i="36"/>
  <c r="E18" i="36"/>
  <c r="Y17" i="36"/>
  <c r="AD17" i="36" s="1"/>
  <c r="E50" i="36"/>
  <c r="E52" i="36" s="1"/>
  <c r="E61" i="36"/>
  <c r="R122" i="36"/>
  <c r="S121" i="36"/>
  <c r="AD69" i="36"/>
  <c r="W123" i="36"/>
  <c r="X122" i="36"/>
  <c r="M122" i="36"/>
  <c r="N121" i="36"/>
  <c r="M127" i="36"/>
  <c r="N127" i="36" s="1"/>
  <c r="AD16" i="36"/>
  <c r="D50" i="36"/>
  <c r="AD50" i="36" s="1"/>
  <c r="D40" i="36"/>
  <c r="AD40" i="36" s="1"/>
  <c r="C13" i="36"/>
  <c r="C134" i="36" s="1"/>
  <c r="F149" i="32"/>
  <c r="I149" i="32" s="1"/>
  <c r="C6" i="35"/>
  <c r="C6" i="34"/>
  <c r="B6" i="34"/>
  <c r="B6" i="35"/>
  <c r="B41" i="33"/>
  <c r="H149" i="32"/>
  <c r="AC17" i="32"/>
  <c r="F18" i="32"/>
  <c r="C12" i="33"/>
  <c r="C6" i="33"/>
  <c r="C10" i="33"/>
  <c r="C13" i="33"/>
  <c r="E156" i="32"/>
  <c r="C11" i="34" s="1"/>
  <c r="B11" i="33"/>
  <c r="T62" i="32"/>
  <c r="T71" i="32" s="1"/>
  <c r="R52" i="32"/>
  <c r="R62" i="32" s="1"/>
  <c r="R71" i="32" s="1"/>
  <c r="L62" i="32"/>
  <c r="L71" i="32" s="1"/>
  <c r="J52" i="32"/>
  <c r="J62" i="32" s="1"/>
  <c r="J71" i="32" s="1"/>
  <c r="P52" i="32"/>
  <c r="P62" i="32" s="1"/>
  <c r="P71" i="32" s="1"/>
  <c r="AB62" i="32"/>
  <c r="AB71" i="32" s="1"/>
  <c r="Z52" i="32"/>
  <c r="Z62" i="32" s="1"/>
  <c r="Z71" i="32" s="1"/>
  <c r="H52" i="32"/>
  <c r="H62" i="32" s="1"/>
  <c r="H71" i="32" s="1"/>
  <c r="C82" i="1"/>
  <c r="D44" i="30"/>
  <c r="B45" i="31"/>
  <c r="B79" i="30"/>
  <c r="B83" i="31"/>
  <c r="X127" i="32"/>
  <c r="W128" i="32"/>
  <c r="X122" i="32"/>
  <c r="X121" i="32"/>
  <c r="X123" i="32"/>
  <c r="C18" i="1"/>
  <c r="C83" i="1" s="1"/>
  <c r="B82" i="30"/>
  <c r="B49" i="30"/>
  <c r="B46" i="31"/>
  <c r="B79" i="31"/>
  <c r="K152" i="25"/>
  <c r="C51" i="31"/>
  <c r="C84" i="31" s="1"/>
  <c r="C51" i="30"/>
  <c r="C84" i="30" s="1"/>
  <c r="B47" i="1"/>
  <c r="B80" i="1"/>
  <c r="M122" i="32"/>
  <c r="M128" i="32" s="1"/>
  <c r="M129" i="32" s="1"/>
  <c r="M130" i="32" s="1"/>
  <c r="M127" i="32"/>
  <c r="N121" i="32"/>
  <c r="L52" i="25"/>
  <c r="L62" i="25" s="1"/>
  <c r="L71" i="25" s="1"/>
  <c r="K52" i="25"/>
  <c r="K62" i="25" s="1"/>
  <c r="K71" i="25" s="1"/>
  <c r="R122" i="32"/>
  <c r="S121" i="32"/>
  <c r="C18" i="31"/>
  <c r="C17" i="31"/>
  <c r="C14" i="31"/>
  <c r="C16" i="31"/>
  <c r="C13" i="31"/>
  <c r="C15" i="30"/>
  <c r="C15" i="1"/>
  <c r="C16" i="1"/>
  <c r="C13" i="1"/>
  <c r="C18" i="30"/>
  <c r="C14" i="30"/>
  <c r="C16" i="30"/>
  <c r="C14" i="1"/>
  <c r="C17" i="30"/>
  <c r="C15" i="31"/>
  <c r="C13" i="30"/>
  <c r="O52" i="25"/>
  <c r="O62" i="25" s="1"/>
  <c r="O71" i="25" s="1"/>
  <c r="D77" i="31"/>
  <c r="B45" i="1"/>
  <c r="AC60" i="32"/>
  <c r="Q62" i="32"/>
  <c r="Q71" i="32" s="1"/>
  <c r="Y62" i="32"/>
  <c r="Y71" i="32" s="1"/>
  <c r="AC69" i="32"/>
  <c r="I62" i="32"/>
  <c r="I71" i="32" s="1"/>
  <c r="E61" i="32"/>
  <c r="AA62" i="32"/>
  <c r="AA71" i="32" s="1"/>
  <c r="G151" i="32"/>
  <c r="S62" i="32"/>
  <c r="S71" i="32" s="1"/>
  <c r="I162" i="32"/>
  <c r="G150" i="32"/>
  <c r="F155" i="32"/>
  <c r="X62" i="32"/>
  <c r="X71" i="32" s="1"/>
  <c r="W62" i="32"/>
  <c r="W71" i="32" s="1"/>
  <c r="E70" i="32"/>
  <c r="D54" i="32"/>
  <c r="E49" i="32" s="1"/>
  <c r="E51" i="32" s="1"/>
  <c r="AC50" i="32"/>
  <c r="D44" i="32"/>
  <c r="E39" i="32" s="1"/>
  <c r="E41" i="32" s="1"/>
  <c r="E43" i="32" s="1"/>
  <c r="AC40" i="32"/>
  <c r="N153" i="25"/>
  <c r="L152" i="25"/>
  <c r="G144" i="25"/>
  <c r="I144" i="25"/>
  <c r="J144" i="25" s="1"/>
  <c r="L144" i="25"/>
  <c r="N144" i="25"/>
  <c r="Q144" i="25" s="1"/>
  <c r="T144" i="25" s="1"/>
  <c r="W144" i="25" s="1"/>
  <c r="Z144" i="25" s="1"/>
  <c r="K158" i="25"/>
  <c r="K155" i="25"/>
  <c r="C50" i="1"/>
  <c r="Q153" i="25"/>
  <c r="R153" i="25" s="1"/>
  <c r="F145" i="25"/>
  <c r="F162" i="25"/>
  <c r="F159" i="25"/>
  <c r="F161" i="25"/>
  <c r="F160" i="25"/>
  <c r="F146" i="25"/>
  <c r="E54" i="25"/>
  <c r="F49" i="25" s="1"/>
  <c r="C51" i="1"/>
  <c r="C84" i="1" s="1"/>
  <c r="E73" i="25"/>
  <c r="F68" i="25" s="1"/>
  <c r="F70" i="25" s="1"/>
  <c r="F72" i="25" s="1"/>
  <c r="F73" i="25" s="1"/>
  <c r="G68" i="25" s="1"/>
  <c r="G70" i="25" s="1"/>
  <c r="M129" i="25"/>
  <c r="N128" i="25"/>
  <c r="R124" i="25"/>
  <c r="S123" i="25"/>
  <c r="M124" i="25"/>
  <c r="N124" i="25" s="1"/>
  <c r="N123" i="25"/>
  <c r="W124" i="25"/>
  <c r="X123" i="25"/>
  <c r="I52" i="25"/>
  <c r="I62" i="25" s="1"/>
  <c r="I71" i="25" s="1"/>
  <c r="AC50" i="25"/>
  <c r="H52" i="25"/>
  <c r="H62" i="25" s="1"/>
  <c r="H71" i="25" s="1"/>
  <c r="G52" i="25"/>
  <c r="G62" i="25" s="1"/>
  <c r="G71" i="25" s="1"/>
  <c r="J52" i="25"/>
  <c r="J62" i="25" s="1"/>
  <c r="J71" i="25" s="1"/>
  <c r="F18" i="25"/>
  <c r="C128" i="36" l="1"/>
  <c r="C121" i="36"/>
  <c r="Q113" i="36"/>
  <c r="Z113" i="36"/>
  <c r="K113" i="36"/>
  <c r="N113" i="36"/>
  <c r="T113" i="36"/>
  <c r="W113" i="36"/>
  <c r="E113" i="36"/>
  <c r="H113" i="36"/>
  <c r="AA106" i="40"/>
  <c r="R106" i="40"/>
  <c r="L106" i="40"/>
  <c r="F106" i="40"/>
  <c r="O106" i="40"/>
  <c r="I106" i="40"/>
  <c r="U106" i="40"/>
  <c r="X106" i="40"/>
  <c r="C62" i="48"/>
  <c r="C36" i="48"/>
  <c r="D15" i="41"/>
  <c r="D76" i="41" s="1"/>
  <c r="D15" i="43"/>
  <c r="D15" i="42"/>
  <c r="D14" i="43"/>
  <c r="D16" i="42"/>
  <c r="D16" i="41"/>
  <c r="D14" i="42"/>
  <c r="D16" i="43"/>
  <c r="C38" i="41"/>
  <c r="C69" i="41"/>
  <c r="D11" i="47"/>
  <c r="D11" i="48"/>
  <c r="B15" i="47"/>
  <c r="Z113" i="32"/>
  <c r="Q113" i="32"/>
  <c r="H113" i="32"/>
  <c r="K113" i="32"/>
  <c r="E113" i="32"/>
  <c r="N113" i="32"/>
  <c r="W113" i="32"/>
  <c r="T113" i="32"/>
  <c r="C62" i="47"/>
  <c r="C36" i="47"/>
  <c r="C65" i="37"/>
  <c r="C37" i="37"/>
  <c r="B13" i="47"/>
  <c r="H106" i="40"/>
  <c r="N106" i="40"/>
  <c r="T106" i="40"/>
  <c r="W106" i="40"/>
  <c r="K106" i="40"/>
  <c r="E106" i="40"/>
  <c r="Q106" i="40"/>
  <c r="Z106" i="40"/>
  <c r="C65" i="39"/>
  <c r="C37" i="39"/>
  <c r="B38" i="47"/>
  <c r="B40" i="47" s="1"/>
  <c r="B42" i="47" s="1"/>
  <c r="B48" i="47" s="1"/>
  <c r="C9" i="42"/>
  <c r="C38" i="42"/>
  <c r="C39" i="42" s="1"/>
  <c r="C69" i="42"/>
  <c r="C70" i="42" s="1"/>
  <c r="E62" i="36"/>
  <c r="AD52" i="36"/>
  <c r="B64" i="46"/>
  <c r="B66" i="46" s="1"/>
  <c r="W110" i="45"/>
  <c r="K110" i="45"/>
  <c r="N110" i="45"/>
  <c r="T110" i="45"/>
  <c r="Z110" i="45"/>
  <c r="Q110" i="45"/>
  <c r="E110" i="45"/>
  <c r="H110" i="45"/>
  <c r="C37" i="43"/>
  <c r="C39" i="43" s="1"/>
  <c r="C68" i="43"/>
  <c r="C70" i="43" s="1"/>
  <c r="C9" i="43"/>
  <c r="C73" i="42"/>
  <c r="C42" i="42"/>
  <c r="C45" i="42"/>
  <c r="C76" i="42"/>
  <c r="C65" i="38"/>
  <c r="C37" i="38"/>
  <c r="C38" i="43"/>
  <c r="C69" i="43"/>
  <c r="D8" i="43"/>
  <c r="D8" i="42"/>
  <c r="D12" i="42"/>
  <c r="D12" i="43"/>
  <c r="D7" i="42"/>
  <c r="D7" i="43"/>
  <c r="B40" i="48"/>
  <c r="B42" i="48" s="1"/>
  <c r="B48" i="48" s="1"/>
  <c r="C35" i="48"/>
  <c r="C61" i="48"/>
  <c r="C42" i="43"/>
  <c r="C73" i="43"/>
  <c r="C45" i="43"/>
  <c r="C76" i="43"/>
  <c r="L113" i="32"/>
  <c r="AA113" i="32"/>
  <c r="O113" i="32"/>
  <c r="R113" i="32"/>
  <c r="I113" i="32"/>
  <c r="F113" i="32"/>
  <c r="X113" i="32"/>
  <c r="U113" i="32"/>
  <c r="B64" i="48"/>
  <c r="B66" i="48" s="1"/>
  <c r="B68" i="48" s="1"/>
  <c r="B74" i="48" s="1"/>
  <c r="G153" i="36"/>
  <c r="D10" i="39"/>
  <c r="D10" i="38"/>
  <c r="D10" i="37"/>
  <c r="F18" i="36"/>
  <c r="C13" i="39"/>
  <c r="C12" i="39"/>
  <c r="C13" i="37"/>
  <c r="C12" i="37"/>
  <c r="C12" i="38"/>
  <c r="C13" i="38"/>
  <c r="D10" i="47"/>
  <c r="D10" i="48"/>
  <c r="B38" i="46"/>
  <c r="B13" i="46"/>
  <c r="C35" i="47"/>
  <c r="C61" i="47"/>
  <c r="X113" i="36"/>
  <c r="R113" i="36"/>
  <c r="I113" i="36"/>
  <c r="U113" i="36"/>
  <c r="F113" i="36"/>
  <c r="O113" i="36"/>
  <c r="L113" i="36"/>
  <c r="AA113" i="36"/>
  <c r="R110" i="45"/>
  <c r="AA110" i="45"/>
  <c r="U110" i="45"/>
  <c r="I110" i="45"/>
  <c r="X110" i="45"/>
  <c r="L110" i="45"/>
  <c r="O110" i="45"/>
  <c r="F110" i="45"/>
  <c r="B38" i="48"/>
  <c r="I135" i="45"/>
  <c r="J135" i="45" s="1"/>
  <c r="E6" i="47"/>
  <c r="E57" i="47" s="1"/>
  <c r="E58" i="47" s="1"/>
  <c r="B68" i="47"/>
  <c r="B74" i="47" s="1"/>
  <c r="D6" i="47"/>
  <c r="D6" i="48"/>
  <c r="B17" i="47"/>
  <c r="B23" i="47" s="1"/>
  <c r="C57" i="47"/>
  <c r="C58" i="47" s="1"/>
  <c r="C31" i="47"/>
  <c r="C32" i="47" s="1"/>
  <c r="C7" i="47"/>
  <c r="C57" i="48"/>
  <c r="C58" i="48" s="1"/>
  <c r="C31" i="48"/>
  <c r="C32" i="48" s="1"/>
  <c r="C7" i="48"/>
  <c r="E6" i="48"/>
  <c r="B15" i="46"/>
  <c r="B17" i="46" s="1"/>
  <c r="B23" i="46" s="1"/>
  <c r="B40" i="46"/>
  <c r="B42" i="46" s="1"/>
  <c r="B48" i="46" s="1"/>
  <c r="M122" i="45"/>
  <c r="N122" i="45" s="1"/>
  <c r="M121" i="45"/>
  <c r="N121" i="45" s="1"/>
  <c r="R125" i="45"/>
  <c r="R122" i="45"/>
  <c r="S122" i="45" s="1"/>
  <c r="G11" i="45"/>
  <c r="D6" i="46"/>
  <c r="D11" i="46"/>
  <c r="D10" i="46"/>
  <c r="H142" i="45"/>
  <c r="W125" i="45"/>
  <c r="W122" i="45"/>
  <c r="X122" i="45" s="1"/>
  <c r="C7" i="46"/>
  <c r="C31" i="46"/>
  <c r="C32" i="46" s="1"/>
  <c r="C57" i="46"/>
  <c r="C58" i="46" s="1"/>
  <c r="C61" i="46"/>
  <c r="C35" i="46"/>
  <c r="C36" i="46"/>
  <c r="C62" i="46"/>
  <c r="N120" i="45"/>
  <c r="M125" i="45"/>
  <c r="M126" i="45" s="1"/>
  <c r="M127" i="45" s="1"/>
  <c r="E38" i="45"/>
  <c r="E48" i="45"/>
  <c r="X120" i="45"/>
  <c r="S120" i="45"/>
  <c r="E68" i="45"/>
  <c r="AC68" i="45" s="1"/>
  <c r="AC59" i="45"/>
  <c r="E60" i="45"/>
  <c r="M135" i="45"/>
  <c r="L157" i="40"/>
  <c r="B6" i="42"/>
  <c r="B6" i="43"/>
  <c r="B9" i="43" s="1"/>
  <c r="D147" i="36"/>
  <c r="E147" i="36" s="1"/>
  <c r="L156" i="36"/>
  <c r="D71" i="35"/>
  <c r="D42" i="35"/>
  <c r="G159" i="32"/>
  <c r="C42" i="33"/>
  <c r="C71" i="33"/>
  <c r="M134" i="32"/>
  <c r="M131" i="32"/>
  <c r="B34" i="33"/>
  <c r="B7" i="33"/>
  <c r="B35" i="33" s="1"/>
  <c r="G149" i="32"/>
  <c r="C68" i="34"/>
  <c r="C39" i="34"/>
  <c r="C11" i="35"/>
  <c r="C15" i="33"/>
  <c r="C72" i="33" s="1"/>
  <c r="C15" i="35"/>
  <c r="C72" i="35" s="1"/>
  <c r="C15" i="34"/>
  <c r="C72" i="34" s="1"/>
  <c r="D13" i="34"/>
  <c r="D13" i="35"/>
  <c r="D10" i="34"/>
  <c r="D10" i="35"/>
  <c r="B16" i="34"/>
  <c r="B39" i="34"/>
  <c r="B44" i="34" s="1"/>
  <c r="B68" i="34"/>
  <c r="B73" i="34" s="1"/>
  <c r="C38" i="34"/>
  <c r="C67" i="34"/>
  <c r="B68" i="35"/>
  <c r="B73" i="35" s="1"/>
  <c r="B39" i="35"/>
  <c r="B44" i="35" s="1"/>
  <c r="B16" i="35"/>
  <c r="D154" i="36"/>
  <c r="C70" i="34"/>
  <c r="C41" i="34"/>
  <c r="C70" i="35"/>
  <c r="C41" i="35"/>
  <c r="C67" i="35"/>
  <c r="C38" i="35"/>
  <c r="R158" i="32"/>
  <c r="T158" i="32" s="1"/>
  <c r="C40" i="35"/>
  <c r="C69" i="35"/>
  <c r="C40" i="34"/>
  <c r="C69" i="34"/>
  <c r="H157" i="32"/>
  <c r="D12" i="34"/>
  <c r="D12" i="35"/>
  <c r="I159" i="40"/>
  <c r="G150" i="40"/>
  <c r="D8" i="41"/>
  <c r="D14" i="41"/>
  <c r="D44" i="41" s="1"/>
  <c r="G11" i="40"/>
  <c r="C76" i="41"/>
  <c r="C45" i="41"/>
  <c r="C75" i="41"/>
  <c r="C44" i="41"/>
  <c r="C37" i="41"/>
  <c r="C68" i="41"/>
  <c r="C73" i="41"/>
  <c r="C42" i="41"/>
  <c r="G155" i="40"/>
  <c r="D12" i="41"/>
  <c r="D7" i="41"/>
  <c r="E32" i="40"/>
  <c r="E146" i="40"/>
  <c r="B6" i="41"/>
  <c r="B9" i="41" s="1"/>
  <c r="D45" i="41"/>
  <c r="X117" i="40"/>
  <c r="W118" i="40"/>
  <c r="X118" i="40" s="1"/>
  <c r="N116" i="40"/>
  <c r="M117" i="40"/>
  <c r="R116" i="40"/>
  <c r="R117" i="40" s="1"/>
  <c r="S115" i="40"/>
  <c r="D156" i="40"/>
  <c r="E46" i="40"/>
  <c r="E54" i="40"/>
  <c r="E64" i="40"/>
  <c r="W122" i="40"/>
  <c r="X116" i="40"/>
  <c r="N157" i="40"/>
  <c r="M124" i="40"/>
  <c r="N158" i="40"/>
  <c r="O158" i="40" s="1"/>
  <c r="K155" i="36"/>
  <c r="L155" i="36" s="1"/>
  <c r="N156" i="36"/>
  <c r="S122" i="36"/>
  <c r="R123" i="36"/>
  <c r="D54" i="36"/>
  <c r="E49" i="36" s="1"/>
  <c r="D44" i="36"/>
  <c r="E39" i="36" s="1"/>
  <c r="M128" i="36"/>
  <c r="M123" i="36"/>
  <c r="N123" i="36" s="1"/>
  <c r="N122" i="36"/>
  <c r="X123" i="36"/>
  <c r="W127" i="36"/>
  <c r="E63" i="36"/>
  <c r="C34" i="35"/>
  <c r="C63" i="35"/>
  <c r="C7" i="35"/>
  <c r="K149" i="32"/>
  <c r="B7" i="35"/>
  <c r="B63" i="35"/>
  <c r="B34" i="35"/>
  <c r="D6" i="35"/>
  <c r="D6" i="34"/>
  <c r="C34" i="34"/>
  <c r="C63" i="34"/>
  <c r="C7" i="34"/>
  <c r="B63" i="34"/>
  <c r="B7" i="34"/>
  <c r="B34" i="34"/>
  <c r="C67" i="33"/>
  <c r="C38" i="33"/>
  <c r="C7" i="33"/>
  <c r="C63" i="33"/>
  <c r="C34" i="33"/>
  <c r="C40" i="33"/>
  <c r="C69" i="33"/>
  <c r="C70" i="33"/>
  <c r="C41" i="33"/>
  <c r="G18" i="32"/>
  <c r="D6" i="33"/>
  <c r="D10" i="33"/>
  <c r="D12" i="33"/>
  <c r="D13" i="33"/>
  <c r="B68" i="33"/>
  <c r="B73" i="33" s="1"/>
  <c r="B39" i="33"/>
  <c r="B44" i="33" s="1"/>
  <c r="B16" i="33"/>
  <c r="C11" i="33"/>
  <c r="F156" i="32"/>
  <c r="D11" i="35" s="1"/>
  <c r="J149" i="32"/>
  <c r="G18" i="25"/>
  <c r="D17" i="31"/>
  <c r="D16" i="31"/>
  <c r="D18" i="31"/>
  <c r="D13" i="31"/>
  <c r="D18" i="30"/>
  <c r="D14" i="30"/>
  <c r="D17" i="30"/>
  <c r="D13" i="30"/>
  <c r="D15" i="1"/>
  <c r="D16" i="1"/>
  <c r="D13" i="1"/>
  <c r="D15" i="31"/>
  <c r="D16" i="30"/>
  <c r="D14" i="1"/>
  <c r="D14" i="31"/>
  <c r="D15" i="30"/>
  <c r="D6" i="30"/>
  <c r="D6" i="31"/>
  <c r="D17" i="1"/>
  <c r="C83" i="31"/>
  <c r="C50" i="31"/>
  <c r="D18" i="1"/>
  <c r="D50" i="1" s="1"/>
  <c r="C78" i="30"/>
  <c r="C45" i="30"/>
  <c r="C48" i="1"/>
  <c r="C81" i="1"/>
  <c r="C80" i="31"/>
  <c r="C47" i="31"/>
  <c r="C79" i="30"/>
  <c r="C46" i="30"/>
  <c r="C47" i="1"/>
  <c r="C80" i="1"/>
  <c r="C79" i="31"/>
  <c r="C46" i="31"/>
  <c r="S122" i="32"/>
  <c r="R123" i="32"/>
  <c r="R127" i="32" s="1"/>
  <c r="R128" i="32" s="1"/>
  <c r="N127" i="32"/>
  <c r="C46" i="1"/>
  <c r="C79" i="1"/>
  <c r="C45" i="1"/>
  <c r="C78" i="1"/>
  <c r="C45" i="31"/>
  <c r="C78" i="31"/>
  <c r="F12" i="1"/>
  <c r="C81" i="30"/>
  <c r="C48" i="30"/>
  <c r="C48" i="31"/>
  <c r="C81" i="31"/>
  <c r="F12" i="31"/>
  <c r="C49" i="30"/>
  <c r="C82" i="30"/>
  <c r="C50" i="30"/>
  <c r="C83" i="30"/>
  <c r="C80" i="30"/>
  <c r="C47" i="30"/>
  <c r="C49" i="31"/>
  <c r="C82" i="31"/>
  <c r="M123" i="32"/>
  <c r="N122" i="32"/>
  <c r="F12" i="30"/>
  <c r="H151" i="32"/>
  <c r="E63" i="32"/>
  <c r="K62" i="32"/>
  <c r="AC52" i="32"/>
  <c r="E72" i="32"/>
  <c r="G155" i="32"/>
  <c r="H150" i="32"/>
  <c r="J162" i="32"/>
  <c r="AC42" i="32"/>
  <c r="N152" i="25"/>
  <c r="O144" i="25"/>
  <c r="M144" i="25"/>
  <c r="L158" i="25"/>
  <c r="L155" i="25"/>
  <c r="T153" i="25"/>
  <c r="U153" i="25" s="1"/>
  <c r="D6" i="1"/>
  <c r="G162" i="25"/>
  <c r="G160" i="25"/>
  <c r="G146" i="25"/>
  <c r="G161" i="25"/>
  <c r="G159" i="25"/>
  <c r="G145" i="25"/>
  <c r="G72" i="25"/>
  <c r="G73" i="25" s="1"/>
  <c r="H68" i="25" s="1"/>
  <c r="H70" i="25" s="1"/>
  <c r="H72" i="25" s="1"/>
  <c r="H73" i="25" s="1"/>
  <c r="I68" i="25" s="1"/>
  <c r="I70" i="25" s="1"/>
  <c r="X124" i="25"/>
  <c r="W128" i="25"/>
  <c r="S124" i="25"/>
  <c r="R128" i="25"/>
  <c r="N129" i="25"/>
  <c r="M152" i="25" s="1"/>
  <c r="M130" i="25"/>
  <c r="AC71" i="25"/>
  <c r="AC62" i="25"/>
  <c r="AC52" i="25"/>
  <c r="F51" i="25"/>
  <c r="F53" i="25" s="1"/>
  <c r="E63" i="25"/>
  <c r="E12" i="43" l="1"/>
  <c r="E12" i="42"/>
  <c r="E8" i="43"/>
  <c r="E8" i="42"/>
  <c r="D35" i="48"/>
  <c r="D61" i="48"/>
  <c r="D65" i="39"/>
  <c r="D37" i="39"/>
  <c r="D38" i="43"/>
  <c r="D69" i="43"/>
  <c r="D83" i="1"/>
  <c r="D35" i="47"/>
  <c r="D61" i="47"/>
  <c r="C39" i="39"/>
  <c r="C67" i="39"/>
  <c r="H153" i="36"/>
  <c r="E10" i="38"/>
  <c r="E10" i="39"/>
  <c r="E10" i="37"/>
  <c r="D68" i="43"/>
  <c r="D37" i="43"/>
  <c r="D36" i="48"/>
  <c r="D62" i="48"/>
  <c r="D46" i="41"/>
  <c r="D77" i="41"/>
  <c r="C68" i="37"/>
  <c r="C40" i="37"/>
  <c r="D75" i="42"/>
  <c r="D44" i="42"/>
  <c r="E6" i="30"/>
  <c r="C68" i="39"/>
  <c r="C40" i="39"/>
  <c r="D68" i="42"/>
  <c r="D37" i="42"/>
  <c r="D36" i="47"/>
  <c r="D62" i="47"/>
  <c r="D77" i="42"/>
  <c r="D46" i="42"/>
  <c r="H11" i="40"/>
  <c r="E16" i="42"/>
  <c r="E16" i="43"/>
  <c r="E16" i="41"/>
  <c r="C68" i="38"/>
  <c r="C40" i="38"/>
  <c r="G18" i="36"/>
  <c r="H18" i="36" s="1"/>
  <c r="D12" i="38"/>
  <c r="D13" i="37"/>
  <c r="D13" i="38"/>
  <c r="D13" i="39"/>
  <c r="D12" i="39"/>
  <c r="D12" i="37"/>
  <c r="D73" i="43"/>
  <c r="D42" i="43"/>
  <c r="B13" i="43"/>
  <c r="B13" i="42"/>
  <c r="E14" i="33"/>
  <c r="E14" i="35" s="1"/>
  <c r="E71" i="35" s="1"/>
  <c r="C39" i="38"/>
  <c r="C67" i="38"/>
  <c r="D65" i="37"/>
  <c r="D37" i="37"/>
  <c r="D73" i="42"/>
  <c r="D42" i="42"/>
  <c r="D76" i="42"/>
  <c r="D45" i="42"/>
  <c r="C47" i="41"/>
  <c r="C47" i="43"/>
  <c r="C47" i="42"/>
  <c r="D75" i="43"/>
  <c r="D44" i="43"/>
  <c r="D38" i="41"/>
  <c r="D69" i="41"/>
  <c r="C39" i="37"/>
  <c r="C67" i="37"/>
  <c r="D65" i="38"/>
  <c r="D37" i="38"/>
  <c r="D38" i="42"/>
  <c r="D69" i="42"/>
  <c r="E71" i="36"/>
  <c r="AD62" i="36"/>
  <c r="D77" i="43"/>
  <c r="D46" i="43"/>
  <c r="D76" i="43"/>
  <c r="D45" i="43"/>
  <c r="E31" i="47"/>
  <c r="E32" i="47" s="1"/>
  <c r="E7" i="47"/>
  <c r="K6" i="46"/>
  <c r="K31" i="46" s="1"/>
  <c r="K32" i="46" s="1"/>
  <c r="K6" i="47"/>
  <c r="D31" i="48"/>
  <c r="D32" i="48" s="1"/>
  <c r="D7" i="48"/>
  <c r="D57" i="48"/>
  <c r="D58" i="48" s="1"/>
  <c r="D31" i="47"/>
  <c r="D32" i="47" s="1"/>
  <c r="D7" i="47"/>
  <c r="D57" i="47"/>
  <c r="D58" i="47" s="1"/>
  <c r="K6" i="48"/>
  <c r="K31" i="48" s="1"/>
  <c r="K32" i="48" s="1"/>
  <c r="E7" i="48"/>
  <c r="E57" i="48"/>
  <c r="E58" i="48" s="1"/>
  <c r="E31" i="48"/>
  <c r="E32" i="48" s="1"/>
  <c r="B68" i="46"/>
  <c r="B74" i="46" s="1"/>
  <c r="D57" i="46"/>
  <c r="D58" i="46" s="1"/>
  <c r="D7" i="46"/>
  <c r="D31" i="46"/>
  <c r="D32" i="46" s="1"/>
  <c r="I142" i="45"/>
  <c r="H11" i="45"/>
  <c r="F10" i="48" s="1"/>
  <c r="E6" i="46"/>
  <c r="D35" i="46"/>
  <c r="D61" i="46"/>
  <c r="D62" i="46"/>
  <c r="D36" i="46"/>
  <c r="E69" i="45"/>
  <c r="E70" i="45" s="1"/>
  <c r="F65" i="45" s="1"/>
  <c r="E61" i="45"/>
  <c r="F56" i="45" s="1"/>
  <c r="E40" i="45"/>
  <c r="N125" i="45"/>
  <c r="E50" i="45"/>
  <c r="B6" i="38"/>
  <c r="B61" i="38" s="1"/>
  <c r="O157" i="40"/>
  <c r="Q157" i="40" s="1"/>
  <c r="B67" i="42"/>
  <c r="B9" i="42"/>
  <c r="B36" i="42"/>
  <c r="B39" i="42" s="1"/>
  <c r="B67" i="43"/>
  <c r="B36" i="43"/>
  <c r="B6" i="37"/>
  <c r="B61" i="37" s="1"/>
  <c r="B6" i="39"/>
  <c r="B61" i="39" s="1"/>
  <c r="O156" i="36"/>
  <c r="Q156" i="36" s="1"/>
  <c r="C71" i="34"/>
  <c r="C73" i="34" s="1"/>
  <c r="C14" i="34"/>
  <c r="C42" i="34" s="1"/>
  <c r="E42" i="35"/>
  <c r="D42" i="33"/>
  <c r="D71" i="33"/>
  <c r="H159" i="32"/>
  <c r="B18" i="33"/>
  <c r="B20" i="33" s="1"/>
  <c r="B26" i="33" s="1"/>
  <c r="N131" i="32"/>
  <c r="M132" i="32"/>
  <c r="B46" i="33"/>
  <c r="B48" i="33" s="1"/>
  <c r="B54" i="33" s="1"/>
  <c r="B64" i="33"/>
  <c r="C16" i="35"/>
  <c r="C18" i="35" s="1"/>
  <c r="C20" i="35" s="1"/>
  <c r="D68" i="35"/>
  <c r="D39" i="35"/>
  <c r="D70" i="35"/>
  <c r="D41" i="35"/>
  <c r="E10" i="34"/>
  <c r="E10" i="35"/>
  <c r="B11" i="38"/>
  <c r="B11" i="39"/>
  <c r="E154" i="36"/>
  <c r="B11" i="37"/>
  <c r="D67" i="35"/>
  <c r="D38" i="35"/>
  <c r="D11" i="34"/>
  <c r="E6" i="34"/>
  <c r="E34" i="34" s="1"/>
  <c r="B33" i="38"/>
  <c r="D70" i="34"/>
  <c r="D41" i="34"/>
  <c r="C68" i="35"/>
  <c r="C73" i="35" s="1"/>
  <c r="C39" i="35"/>
  <c r="E6" i="35"/>
  <c r="E7" i="35" s="1"/>
  <c r="H147" i="36"/>
  <c r="C6" i="38"/>
  <c r="C6" i="39"/>
  <c r="F147" i="36"/>
  <c r="C6" i="37"/>
  <c r="D67" i="34"/>
  <c r="D38" i="34"/>
  <c r="U158" i="32"/>
  <c r="W158" i="32" s="1"/>
  <c r="D40" i="34"/>
  <c r="D69" i="34"/>
  <c r="I157" i="32"/>
  <c r="D40" i="35"/>
  <c r="D69" i="35"/>
  <c r="J159" i="40"/>
  <c r="H150" i="40"/>
  <c r="E8" i="41"/>
  <c r="D75" i="41"/>
  <c r="H146" i="40"/>
  <c r="E156" i="40"/>
  <c r="B13" i="41"/>
  <c r="F146" i="40"/>
  <c r="D68" i="41"/>
  <c r="D37" i="41"/>
  <c r="H155" i="40"/>
  <c r="E12" i="41"/>
  <c r="D73" i="41"/>
  <c r="D42" i="41"/>
  <c r="B67" i="41"/>
  <c r="B70" i="41" s="1"/>
  <c r="B36" i="41"/>
  <c r="B39" i="41" s="1"/>
  <c r="C67" i="41"/>
  <c r="C70" i="41" s="1"/>
  <c r="C36" i="41"/>
  <c r="C39" i="41" s="1"/>
  <c r="I11" i="40"/>
  <c r="G16" i="43" s="1"/>
  <c r="F14" i="41"/>
  <c r="F15" i="41"/>
  <c r="M118" i="40"/>
  <c r="N118" i="40" s="1"/>
  <c r="N117" i="40"/>
  <c r="G149" i="40" s="1"/>
  <c r="S117" i="40"/>
  <c r="R118" i="40"/>
  <c r="S118" i="40" s="1"/>
  <c r="N124" i="40"/>
  <c r="M125" i="40"/>
  <c r="E65" i="40"/>
  <c r="E47" i="40"/>
  <c r="Q158" i="40"/>
  <c r="R158" i="40" s="1"/>
  <c r="E36" i="40"/>
  <c r="X122" i="40"/>
  <c r="W123" i="40"/>
  <c r="E56" i="40"/>
  <c r="R122" i="40"/>
  <c r="S116" i="40"/>
  <c r="N155" i="36"/>
  <c r="O155" i="36" s="1"/>
  <c r="E64" i="36"/>
  <c r="F59" i="36" s="1"/>
  <c r="E51" i="36"/>
  <c r="W128" i="36"/>
  <c r="X127" i="36"/>
  <c r="N128" i="36"/>
  <c r="M129" i="36"/>
  <c r="E41" i="36"/>
  <c r="R127" i="36"/>
  <c r="S123" i="36"/>
  <c r="D63" i="35"/>
  <c r="D34" i="35"/>
  <c r="D7" i="35"/>
  <c r="C35" i="35"/>
  <c r="C64" i="35"/>
  <c r="C64" i="34"/>
  <c r="C35" i="34"/>
  <c r="D63" i="34"/>
  <c r="D34" i="34"/>
  <c r="D7" i="34"/>
  <c r="B35" i="35"/>
  <c r="B46" i="35" s="1"/>
  <c r="B48" i="35" s="1"/>
  <c r="B54" i="35" s="1"/>
  <c r="B64" i="35"/>
  <c r="B75" i="35" s="1"/>
  <c r="B77" i="35" s="1"/>
  <c r="B83" i="35" s="1"/>
  <c r="B18" i="35"/>
  <c r="B20" i="35" s="1"/>
  <c r="B26" i="35" s="1"/>
  <c r="L149" i="32"/>
  <c r="N149" i="32"/>
  <c r="B35" i="34"/>
  <c r="B46" i="34" s="1"/>
  <c r="B48" i="34" s="1"/>
  <c r="B54" i="34" s="1"/>
  <c r="B64" i="34"/>
  <c r="B75" i="34" s="1"/>
  <c r="B77" i="34" s="1"/>
  <c r="B83" i="34" s="1"/>
  <c r="B18" i="34"/>
  <c r="B20" i="34" s="1"/>
  <c r="B26" i="34" s="1"/>
  <c r="B75" i="33"/>
  <c r="B77" i="33" s="1"/>
  <c r="B83" i="33" s="1"/>
  <c r="D67" i="33"/>
  <c r="D38" i="33"/>
  <c r="D7" i="33"/>
  <c r="D63" i="33"/>
  <c r="D34" i="33"/>
  <c r="C35" i="33"/>
  <c r="C64" i="33"/>
  <c r="D70" i="33"/>
  <c r="D41" i="33"/>
  <c r="H18" i="32"/>
  <c r="E10" i="33"/>
  <c r="E6" i="33"/>
  <c r="D69" i="33"/>
  <c r="D40" i="33"/>
  <c r="D11" i="33"/>
  <c r="G156" i="32"/>
  <c r="E11" i="34" s="1"/>
  <c r="C68" i="33"/>
  <c r="C73" i="33" s="1"/>
  <c r="C39" i="33"/>
  <c r="C16" i="33"/>
  <c r="C18" i="33" s="1"/>
  <c r="C20" i="33" s="1"/>
  <c r="E71" i="30"/>
  <c r="E38" i="30"/>
  <c r="F77" i="30"/>
  <c r="F44" i="30"/>
  <c r="D49" i="1"/>
  <c r="D82" i="1"/>
  <c r="D79" i="31"/>
  <c r="D46" i="31"/>
  <c r="D78" i="1"/>
  <c r="D45" i="1"/>
  <c r="D49" i="30"/>
  <c r="D82" i="30"/>
  <c r="D51" i="31"/>
  <c r="D84" i="31" s="1"/>
  <c r="D51" i="30"/>
  <c r="D84" i="30" s="1"/>
  <c r="D71" i="31"/>
  <c r="D38" i="31"/>
  <c r="D79" i="1"/>
  <c r="D46" i="1"/>
  <c r="D81" i="1"/>
  <c r="D48" i="1"/>
  <c r="D48" i="31"/>
  <c r="D81" i="31"/>
  <c r="N123" i="32"/>
  <c r="F44" i="1"/>
  <c r="F77" i="1"/>
  <c r="D71" i="30"/>
  <c r="D38" i="30"/>
  <c r="D48" i="30"/>
  <c r="D81" i="30"/>
  <c r="D47" i="1"/>
  <c r="D80" i="1"/>
  <c r="D83" i="30"/>
  <c r="D50" i="30"/>
  <c r="D82" i="31"/>
  <c r="D49" i="31"/>
  <c r="D83" i="31"/>
  <c r="D50" i="31"/>
  <c r="F77" i="31"/>
  <c r="F44" i="31"/>
  <c r="D79" i="30"/>
  <c r="D46" i="30"/>
  <c r="E18" i="1"/>
  <c r="E83" i="1" s="1"/>
  <c r="S123" i="32"/>
  <c r="D80" i="30"/>
  <c r="D47" i="30"/>
  <c r="D47" i="31"/>
  <c r="D80" i="31"/>
  <c r="D78" i="30"/>
  <c r="D45" i="30"/>
  <c r="D78" i="31"/>
  <c r="D45" i="31"/>
  <c r="H18" i="25"/>
  <c r="E13" i="30"/>
  <c r="E18" i="31"/>
  <c r="E13" i="31"/>
  <c r="E18" i="30"/>
  <c r="E13" i="1"/>
  <c r="G12" i="31"/>
  <c r="E6" i="31"/>
  <c r="G12" i="1"/>
  <c r="G12" i="30"/>
  <c r="I150" i="32"/>
  <c r="X128" i="32"/>
  <c r="W129" i="32"/>
  <c r="E64" i="32"/>
  <c r="F59" i="32" s="1"/>
  <c r="E73" i="32"/>
  <c r="F68" i="32" s="1"/>
  <c r="E53" i="32"/>
  <c r="K71" i="32"/>
  <c r="AC71" i="32" s="1"/>
  <c r="AC62" i="32"/>
  <c r="K162" i="32"/>
  <c r="H155" i="32"/>
  <c r="I151" i="32"/>
  <c r="G152" i="25"/>
  <c r="J152" i="25"/>
  <c r="O152" i="25"/>
  <c r="P144" i="25"/>
  <c r="R144" i="25"/>
  <c r="N158" i="25"/>
  <c r="E6" i="1"/>
  <c r="E38" i="1" s="1"/>
  <c r="W153" i="25"/>
  <c r="X153" i="25" s="1"/>
  <c r="N155" i="25"/>
  <c r="E50" i="1"/>
  <c r="D71" i="1"/>
  <c r="D38" i="1"/>
  <c r="H160" i="25"/>
  <c r="H145" i="25"/>
  <c r="H161" i="25"/>
  <c r="H159" i="25"/>
  <c r="H146" i="25"/>
  <c r="H162" i="25"/>
  <c r="F54" i="25"/>
  <c r="G49" i="25" s="1"/>
  <c r="G51" i="25" s="1"/>
  <c r="G53" i="25" s="1"/>
  <c r="D51" i="1"/>
  <c r="D84" i="1" s="1"/>
  <c r="R129" i="25"/>
  <c r="S128" i="25"/>
  <c r="M131" i="25"/>
  <c r="N130" i="25"/>
  <c r="W129" i="25"/>
  <c r="X128" i="25"/>
  <c r="I72" i="25"/>
  <c r="I73" i="25" s="1"/>
  <c r="J68" i="25" s="1"/>
  <c r="J70" i="25" s="1"/>
  <c r="E64" i="25"/>
  <c r="F59" i="25" s="1"/>
  <c r="F61" i="25" s="1"/>
  <c r="F61" i="48" l="1"/>
  <c r="F35" i="48"/>
  <c r="F12" i="43"/>
  <c r="F12" i="42"/>
  <c r="F7" i="43"/>
  <c r="F7" i="42"/>
  <c r="F14" i="33"/>
  <c r="F14" i="35" s="1"/>
  <c r="F71" i="35" s="1"/>
  <c r="C37" i="46"/>
  <c r="C38" i="46" s="1"/>
  <c r="C40" i="46" s="1"/>
  <c r="C42" i="46" s="1"/>
  <c r="C48" i="46" s="1"/>
  <c r="C37" i="47"/>
  <c r="C38" i="47" s="1"/>
  <c r="C40" i="47" s="1"/>
  <c r="C42" i="47" s="1"/>
  <c r="C48" i="47" s="1"/>
  <c r="C37" i="48"/>
  <c r="C38" i="48" s="1"/>
  <c r="C40" i="48" s="1"/>
  <c r="C42" i="48" s="1"/>
  <c r="C48" i="48" s="1"/>
  <c r="D67" i="39"/>
  <c r="D39" i="39"/>
  <c r="E77" i="42"/>
  <c r="E46" i="42"/>
  <c r="D68" i="39"/>
  <c r="D40" i="39"/>
  <c r="F15" i="42"/>
  <c r="F15" i="43"/>
  <c r="F14" i="43"/>
  <c r="F14" i="42"/>
  <c r="F16" i="43"/>
  <c r="F16" i="42"/>
  <c r="F16" i="41"/>
  <c r="E69" i="41"/>
  <c r="E38" i="41"/>
  <c r="G16" i="42"/>
  <c r="C12" i="46"/>
  <c r="C12" i="47"/>
  <c r="C12" i="48"/>
  <c r="F10" i="47"/>
  <c r="D40" i="38"/>
  <c r="D68" i="38"/>
  <c r="E65" i="37"/>
  <c r="E37" i="37"/>
  <c r="E69" i="42"/>
  <c r="E38" i="42"/>
  <c r="B70" i="43"/>
  <c r="B81" i="43" s="1"/>
  <c r="B83" i="43" s="1"/>
  <c r="B89" i="43" s="1"/>
  <c r="B43" i="43"/>
  <c r="B48" i="43" s="1"/>
  <c r="B74" i="43"/>
  <c r="B79" i="43" s="1"/>
  <c r="B18" i="43"/>
  <c r="B20" i="43" s="1"/>
  <c r="B22" i="43" s="1"/>
  <c r="B28" i="43" s="1"/>
  <c r="F8" i="42"/>
  <c r="F8" i="43"/>
  <c r="B70" i="42"/>
  <c r="B81" i="42" s="1"/>
  <c r="B83" i="42" s="1"/>
  <c r="B89" i="42" s="1"/>
  <c r="D68" i="37"/>
  <c r="D40" i="37"/>
  <c r="E65" i="39"/>
  <c r="E37" i="39"/>
  <c r="E69" i="43"/>
  <c r="E38" i="43"/>
  <c r="C17" i="41"/>
  <c r="C78" i="41" s="1"/>
  <c r="C17" i="43"/>
  <c r="C78" i="43" s="1"/>
  <c r="C17" i="42"/>
  <c r="C78" i="42" s="1"/>
  <c r="G15" i="43"/>
  <c r="G15" i="42"/>
  <c r="G14" i="43"/>
  <c r="G14" i="42"/>
  <c r="G16" i="41"/>
  <c r="B50" i="43"/>
  <c r="B52" i="43" s="1"/>
  <c r="B58" i="43" s="1"/>
  <c r="B39" i="43"/>
  <c r="F11" i="47"/>
  <c r="F11" i="48"/>
  <c r="F6" i="48"/>
  <c r="F6" i="47"/>
  <c r="D67" i="38"/>
  <c r="D39" i="38"/>
  <c r="E46" i="41"/>
  <c r="E77" i="41"/>
  <c r="E65" i="38"/>
  <c r="E37" i="38"/>
  <c r="E73" i="42"/>
  <c r="E42" i="42"/>
  <c r="P15" i="41"/>
  <c r="P15" i="43"/>
  <c r="P15" i="42"/>
  <c r="C13" i="43"/>
  <c r="C13" i="42"/>
  <c r="AD71" i="36"/>
  <c r="E72" i="36"/>
  <c r="E73" i="36" s="1"/>
  <c r="F68" i="36" s="1"/>
  <c r="F70" i="36" s="1"/>
  <c r="B43" i="42"/>
  <c r="B48" i="42" s="1"/>
  <c r="B50" i="42" s="1"/>
  <c r="B52" i="42" s="1"/>
  <c r="B58" i="42" s="1"/>
  <c r="B74" i="42"/>
  <c r="B79" i="42" s="1"/>
  <c r="B18" i="42"/>
  <c r="B20" i="42" s="1"/>
  <c r="B22" i="42" s="1"/>
  <c r="B28" i="42" s="1"/>
  <c r="D39" i="37"/>
  <c r="D67" i="37"/>
  <c r="I18" i="36"/>
  <c r="F13" i="38"/>
  <c r="F13" i="37"/>
  <c r="F12" i="39"/>
  <c r="F12" i="37"/>
  <c r="F12" i="38"/>
  <c r="F13" i="39"/>
  <c r="E46" i="43"/>
  <c r="E77" i="43"/>
  <c r="I153" i="36"/>
  <c r="F10" i="39"/>
  <c r="F10" i="38"/>
  <c r="F10" i="37"/>
  <c r="E73" i="43"/>
  <c r="E42" i="43"/>
  <c r="K7" i="46"/>
  <c r="K57" i="46"/>
  <c r="K58" i="46" s="1"/>
  <c r="K7" i="48"/>
  <c r="K57" i="48"/>
  <c r="K58" i="48" s="1"/>
  <c r="K31" i="47"/>
  <c r="K32" i="47" s="1"/>
  <c r="K57" i="47"/>
  <c r="K58" i="47" s="1"/>
  <c r="K7" i="47"/>
  <c r="K142" i="45"/>
  <c r="C63" i="46"/>
  <c r="C64" i="46" s="1"/>
  <c r="C66" i="46" s="1"/>
  <c r="C13" i="46"/>
  <c r="C15" i="46" s="1"/>
  <c r="E57" i="46"/>
  <c r="E58" i="46" s="1"/>
  <c r="E31" i="46"/>
  <c r="E32" i="46" s="1"/>
  <c r="E7" i="46"/>
  <c r="I11" i="45"/>
  <c r="G10" i="47" s="1"/>
  <c r="F11" i="46"/>
  <c r="F6" i="46"/>
  <c r="F10" i="46"/>
  <c r="E51" i="45"/>
  <c r="F46" i="45" s="1"/>
  <c r="N126" i="45"/>
  <c r="N127" i="45"/>
  <c r="F58" i="45"/>
  <c r="F67" i="45"/>
  <c r="E41" i="45"/>
  <c r="F36" i="45" s="1"/>
  <c r="G142" i="45"/>
  <c r="J142" i="45"/>
  <c r="B7" i="38"/>
  <c r="B33" i="37"/>
  <c r="B7" i="37"/>
  <c r="B34" i="37" s="1"/>
  <c r="B7" i="39"/>
  <c r="B62" i="39" s="1"/>
  <c r="P157" i="40"/>
  <c r="R157" i="40"/>
  <c r="D6" i="41"/>
  <c r="D36" i="41" s="1"/>
  <c r="D39" i="41" s="1"/>
  <c r="D6" i="43"/>
  <c r="D6" i="42"/>
  <c r="K146" i="40"/>
  <c r="L146" i="40" s="1"/>
  <c r="F6" i="43"/>
  <c r="F6" i="42"/>
  <c r="F6" i="41"/>
  <c r="F67" i="41" s="1"/>
  <c r="E34" i="35"/>
  <c r="B33" i="39"/>
  <c r="R156" i="36"/>
  <c r="C16" i="34"/>
  <c r="C18" i="34" s="1"/>
  <c r="C20" i="34" s="1"/>
  <c r="C26" i="34" s="1"/>
  <c r="F42" i="35"/>
  <c r="D71" i="34"/>
  <c r="D14" i="34"/>
  <c r="D42" i="34" s="1"/>
  <c r="E42" i="33"/>
  <c r="E71" i="33"/>
  <c r="I159" i="32"/>
  <c r="G14" i="33" s="1"/>
  <c r="G14" i="35" s="1"/>
  <c r="C26" i="33"/>
  <c r="M133" i="32"/>
  <c r="N133" i="32" s="1"/>
  <c r="N132" i="32"/>
  <c r="E63" i="35"/>
  <c r="E63" i="34"/>
  <c r="C75" i="34"/>
  <c r="C77" i="34" s="1"/>
  <c r="C83" i="34" s="1"/>
  <c r="E7" i="34"/>
  <c r="E35" i="34" s="1"/>
  <c r="C26" i="35"/>
  <c r="E39" i="34"/>
  <c r="E68" i="34"/>
  <c r="F10" i="35"/>
  <c r="F10" i="34"/>
  <c r="F13" i="35"/>
  <c r="F13" i="34"/>
  <c r="F12" i="34"/>
  <c r="F40" i="34" s="1"/>
  <c r="D6" i="37"/>
  <c r="D6" i="39"/>
  <c r="D6" i="38"/>
  <c r="I147" i="36"/>
  <c r="G147" i="36"/>
  <c r="B38" i="37"/>
  <c r="B42" i="37" s="1"/>
  <c r="B15" i="37"/>
  <c r="B66" i="37"/>
  <c r="B70" i="37" s="1"/>
  <c r="E11" i="35"/>
  <c r="C75" i="35"/>
  <c r="C77" i="35" s="1"/>
  <c r="C83" i="35" s="1"/>
  <c r="C33" i="39"/>
  <c r="C7" i="39"/>
  <c r="C61" i="39"/>
  <c r="B62" i="38"/>
  <c r="B34" i="38"/>
  <c r="D39" i="34"/>
  <c r="D68" i="34"/>
  <c r="C11" i="39"/>
  <c r="C11" i="38"/>
  <c r="F154" i="36"/>
  <c r="C11" i="37"/>
  <c r="E67" i="34"/>
  <c r="E38" i="34"/>
  <c r="F6" i="35"/>
  <c r="F12" i="35"/>
  <c r="F69" i="35" s="1"/>
  <c r="C61" i="38"/>
  <c r="C7" i="38"/>
  <c r="C33" i="38"/>
  <c r="B15" i="39"/>
  <c r="B38" i="39"/>
  <c r="B42" i="39" s="1"/>
  <c r="B66" i="39"/>
  <c r="B70" i="39" s="1"/>
  <c r="F6" i="34"/>
  <c r="C43" i="33"/>
  <c r="C44" i="33" s="1"/>
  <c r="C46" i="33" s="1"/>
  <c r="C48" i="33" s="1"/>
  <c r="C54" i="33" s="1"/>
  <c r="C43" i="35"/>
  <c r="C44" i="35" s="1"/>
  <c r="C46" i="35" s="1"/>
  <c r="C48" i="35" s="1"/>
  <c r="C54" i="35" s="1"/>
  <c r="C43" i="34"/>
  <c r="C44" i="34" s="1"/>
  <c r="C46" i="34" s="1"/>
  <c r="C48" i="34" s="1"/>
  <c r="C54" i="34" s="1"/>
  <c r="C61" i="37"/>
  <c r="C7" i="37"/>
  <c r="C33" i="37"/>
  <c r="K147" i="36"/>
  <c r="F6" i="39"/>
  <c r="F6" i="38"/>
  <c r="F6" i="37"/>
  <c r="B66" i="38"/>
  <c r="B70" i="38" s="1"/>
  <c r="B38" i="38"/>
  <c r="B42" i="38" s="1"/>
  <c r="B15" i="38"/>
  <c r="E67" i="35"/>
  <c r="E38" i="35"/>
  <c r="X158" i="32"/>
  <c r="Z158" i="32" s="1"/>
  <c r="K157" i="32"/>
  <c r="G46" i="43"/>
  <c r="G77" i="43"/>
  <c r="G46" i="42"/>
  <c r="G77" i="42"/>
  <c r="E7" i="43"/>
  <c r="E7" i="42"/>
  <c r="G46" i="41"/>
  <c r="G77" i="41"/>
  <c r="K159" i="40"/>
  <c r="I150" i="40"/>
  <c r="F8" i="41"/>
  <c r="I146" i="40"/>
  <c r="P45" i="41"/>
  <c r="P76" i="41"/>
  <c r="B74" i="41"/>
  <c r="B79" i="41" s="1"/>
  <c r="B81" i="41" s="1"/>
  <c r="B83" i="41" s="1"/>
  <c r="B89" i="41" s="1"/>
  <c r="B43" i="41"/>
  <c r="B48" i="41" s="1"/>
  <c r="B50" i="41" s="1"/>
  <c r="B52" i="41" s="1"/>
  <c r="B58" i="41" s="1"/>
  <c r="B18" i="41"/>
  <c r="B20" i="41" s="1"/>
  <c r="B22" i="41" s="1"/>
  <c r="B28" i="41" s="1"/>
  <c r="F156" i="40"/>
  <c r="C13" i="41"/>
  <c r="G146" i="40"/>
  <c r="F42" i="40"/>
  <c r="E73" i="41"/>
  <c r="E42" i="41"/>
  <c r="I155" i="40"/>
  <c r="F12" i="41"/>
  <c r="E7" i="41"/>
  <c r="F75" i="41"/>
  <c r="F44" i="41"/>
  <c r="J11" i="40"/>
  <c r="H16" i="43" s="1"/>
  <c r="G15" i="41"/>
  <c r="G14" i="41"/>
  <c r="F76" i="41"/>
  <c r="F45" i="41"/>
  <c r="E57" i="40"/>
  <c r="F52" i="40" s="1"/>
  <c r="E37" i="40"/>
  <c r="X123" i="40"/>
  <c r="W124" i="40"/>
  <c r="E66" i="40"/>
  <c r="F61" i="40" s="1"/>
  <c r="N125" i="40"/>
  <c r="M126" i="40"/>
  <c r="S122" i="40"/>
  <c r="R123" i="40"/>
  <c r="G157" i="40"/>
  <c r="E14" i="41" s="1"/>
  <c r="J157" i="40"/>
  <c r="M157" i="40"/>
  <c r="Q155" i="36"/>
  <c r="T156" i="36"/>
  <c r="F72" i="36"/>
  <c r="M130" i="36"/>
  <c r="N129" i="36"/>
  <c r="E53" i="36"/>
  <c r="F61" i="36"/>
  <c r="E43" i="36"/>
  <c r="X128" i="36"/>
  <c r="W129" i="36"/>
  <c r="S127" i="36"/>
  <c r="R128" i="36"/>
  <c r="E64" i="35"/>
  <c r="E35" i="35"/>
  <c r="D64" i="35"/>
  <c r="D35" i="35"/>
  <c r="Q149" i="32"/>
  <c r="O149" i="32"/>
  <c r="M149" i="32"/>
  <c r="D35" i="34"/>
  <c r="D64" i="34"/>
  <c r="C75" i="33"/>
  <c r="C77" i="33" s="1"/>
  <c r="C83" i="33" s="1"/>
  <c r="E67" i="33"/>
  <c r="E38" i="33"/>
  <c r="D35" i="33"/>
  <c r="D64" i="33"/>
  <c r="E63" i="33"/>
  <c r="E7" i="33"/>
  <c r="E34" i="33"/>
  <c r="I18" i="32"/>
  <c r="G12" i="35" s="1"/>
  <c r="F6" i="33"/>
  <c r="F10" i="33"/>
  <c r="F12" i="33"/>
  <c r="F13" i="33"/>
  <c r="E11" i="33"/>
  <c r="H156" i="32"/>
  <c r="F11" i="35" s="1"/>
  <c r="D68" i="33"/>
  <c r="D39" i="33"/>
  <c r="E51" i="30"/>
  <c r="E84" i="30" s="1"/>
  <c r="E51" i="31"/>
  <c r="E84" i="31" s="1"/>
  <c r="G77" i="30"/>
  <c r="G44" i="30"/>
  <c r="E78" i="1"/>
  <c r="E45" i="1"/>
  <c r="E78" i="30"/>
  <c r="E45" i="30"/>
  <c r="F18" i="1"/>
  <c r="F83" i="1" s="1"/>
  <c r="G77" i="1"/>
  <c r="G44" i="1"/>
  <c r="E83" i="30"/>
  <c r="E50" i="30"/>
  <c r="I18" i="25"/>
  <c r="F16" i="31"/>
  <c r="F18" i="31"/>
  <c r="F17" i="31"/>
  <c r="F15" i="31"/>
  <c r="F6" i="31"/>
  <c r="F17" i="30"/>
  <c r="F16" i="30"/>
  <c r="F14" i="31"/>
  <c r="F15" i="30"/>
  <c r="F6" i="30"/>
  <c r="F15" i="1"/>
  <c r="F16" i="1"/>
  <c r="F13" i="1"/>
  <c r="F13" i="31"/>
  <c r="F18" i="30"/>
  <c r="F14" i="30"/>
  <c r="F13" i="30"/>
  <c r="F17" i="1"/>
  <c r="F14" i="1"/>
  <c r="E38" i="31"/>
  <c r="E71" i="31"/>
  <c r="E78" i="31"/>
  <c r="E45" i="31"/>
  <c r="G44" i="31"/>
  <c r="G77" i="31"/>
  <c r="E83" i="31"/>
  <c r="E50" i="31"/>
  <c r="L162" i="32"/>
  <c r="F70" i="32"/>
  <c r="J151" i="32"/>
  <c r="I155" i="32"/>
  <c r="X129" i="32"/>
  <c r="W130" i="32"/>
  <c r="E54" i="32"/>
  <c r="F49" i="32" s="1"/>
  <c r="F51" i="32" s="1"/>
  <c r="F61" i="32"/>
  <c r="J150" i="32"/>
  <c r="E44" i="32"/>
  <c r="F39" i="32" s="1"/>
  <c r="F41" i="32" s="1"/>
  <c r="G153" i="25"/>
  <c r="E12" i="1" s="1"/>
  <c r="J153" i="25"/>
  <c r="H12" i="1" s="1"/>
  <c r="M153" i="25"/>
  <c r="P153" i="25"/>
  <c r="S153" i="25"/>
  <c r="V153" i="25"/>
  <c r="P152" i="25"/>
  <c r="Q152" i="25"/>
  <c r="U144" i="25"/>
  <c r="S144" i="25"/>
  <c r="O158" i="25"/>
  <c r="F50" i="1"/>
  <c r="F6" i="1"/>
  <c r="F71" i="1" s="1"/>
  <c r="E71" i="1"/>
  <c r="AA153" i="25"/>
  <c r="AB153" i="25" s="1"/>
  <c r="Z153" i="25"/>
  <c r="Y153" i="25"/>
  <c r="O155" i="25"/>
  <c r="I162" i="25"/>
  <c r="I159" i="25"/>
  <c r="I145" i="25"/>
  <c r="I146" i="25"/>
  <c r="I161" i="25"/>
  <c r="I160" i="25"/>
  <c r="G54" i="25"/>
  <c r="H49" i="25" s="1"/>
  <c r="H51" i="25" s="1"/>
  <c r="H53" i="25" s="1"/>
  <c r="E51" i="1"/>
  <c r="N131" i="25"/>
  <c r="M132" i="25"/>
  <c r="W130" i="25"/>
  <c r="X129" i="25"/>
  <c r="S129" i="25"/>
  <c r="R130" i="25"/>
  <c r="J72" i="25"/>
  <c r="J73" i="25" s="1"/>
  <c r="K68" i="25" s="1"/>
  <c r="K70" i="25" s="1"/>
  <c r="G35" i="47" l="1"/>
  <c r="G61" i="47"/>
  <c r="F65" i="38"/>
  <c r="F37" i="38"/>
  <c r="F46" i="42"/>
  <c r="F77" i="42"/>
  <c r="D13" i="42"/>
  <c r="D13" i="43"/>
  <c r="F65" i="39"/>
  <c r="F37" i="39"/>
  <c r="F67" i="37"/>
  <c r="F39" i="37"/>
  <c r="F7" i="47"/>
  <c r="F31" i="47"/>
  <c r="F32" i="47" s="1"/>
  <c r="F57" i="47"/>
  <c r="F58" i="47" s="1"/>
  <c r="G8" i="43"/>
  <c r="G8" i="42"/>
  <c r="E10" i="46"/>
  <c r="E10" i="48"/>
  <c r="E10" i="47"/>
  <c r="F40" i="37"/>
  <c r="F68" i="37"/>
  <c r="F62" i="48"/>
  <c r="F36" i="48"/>
  <c r="G44" i="43"/>
  <c r="G75" i="43"/>
  <c r="F69" i="42"/>
  <c r="F38" i="42"/>
  <c r="F44" i="43"/>
  <c r="F75" i="43"/>
  <c r="F68" i="43"/>
  <c r="F37" i="43"/>
  <c r="G11" i="48"/>
  <c r="G11" i="47"/>
  <c r="G6" i="47"/>
  <c r="G6" i="48"/>
  <c r="P76" i="43"/>
  <c r="P45" i="43"/>
  <c r="C14" i="39"/>
  <c r="C69" i="39" s="1"/>
  <c r="C14" i="38"/>
  <c r="C69" i="38" s="1"/>
  <c r="C14" i="37"/>
  <c r="C69" i="37" s="1"/>
  <c r="C41" i="38"/>
  <c r="C41" i="39"/>
  <c r="C41" i="37"/>
  <c r="H16" i="41"/>
  <c r="H16" i="42"/>
  <c r="B17" i="38"/>
  <c r="B17" i="37"/>
  <c r="B19" i="37" s="1"/>
  <c r="B25" i="37" s="1"/>
  <c r="F68" i="38"/>
  <c r="F40" i="38"/>
  <c r="C74" i="42"/>
  <c r="C79" i="42" s="1"/>
  <c r="C81" i="42" s="1"/>
  <c r="C83" i="42" s="1"/>
  <c r="C89" i="42" s="1"/>
  <c r="C43" i="42"/>
  <c r="C48" i="42" s="1"/>
  <c r="C50" i="42" s="1"/>
  <c r="C52" i="42" s="1"/>
  <c r="C58" i="42" s="1"/>
  <c r="C18" i="42"/>
  <c r="C20" i="42" s="1"/>
  <c r="C22" i="42" s="1"/>
  <c r="C28" i="42" s="1"/>
  <c r="F36" i="47"/>
  <c r="F62" i="47"/>
  <c r="G45" i="42"/>
  <c r="G76" i="42"/>
  <c r="F45" i="43"/>
  <c r="F76" i="43"/>
  <c r="F42" i="42"/>
  <c r="F73" i="42"/>
  <c r="F39" i="38"/>
  <c r="F67" i="38"/>
  <c r="F65" i="37"/>
  <c r="F37" i="37"/>
  <c r="F40" i="39"/>
  <c r="F68" i="39"/>
  <c r="J18" i="36"/>
  <c r="K18" i="36" s="1"/>
  <c r="G13" i="37"/>
  <c r="G12" i="39"/>
  <c r="G13" i="38"/>
  <c r="G13" i="39"/>
  <c r="G12" i="38"/>
  <c r="G12" i="37"/>
  <c r="C43" i="43"/>
  <c r="C48" i="43" s="1"/>
  <c r="C50" i="43" s="1"/>
  <c r="C52" i="43" s="1"/>
  <c r="C58" i="43" s="1"/>
  <c r="C74" i="43"/>
  <c r="C79" i="43" s="1"/>
  <c r="C81" i="43" s="1"/>
  <c r="C83" i="43" s="1"/>
  <c r="C89" i="43" s="1"/>
  <c r="C18" i="43"/>
  <c r="C20" i="43" s="1"/>
  <c r="C22" i="43" s="1"/>
  <c r="C28" i="43" s="1"/>
  <c r="G45" i="43"/>
  <c r="G76" i="43"/>
  <c r="F61" i="47"/>
  <c r="F35" i="47"/>
  <c r="F46" i="41"/>
  <c r="F77" i="41"/>
  <c r="F45" i="42"/>
  <c r="F76" i="42"/>
  <c r="F42" i="43"/>
  <c r="F73" i="43"/>
  <c r="P76" i="42"/>
  <c r="P45" i="42"/>
  <c r="G12" i="43"/>
  <c r="G12" i="42"/>
  <c r="G7" i="42"/>
  <c r="G7" i="43"/>
  <c r="C63" i="48"/>
  <c r="C64" i="48" s="1"/>
  <c r="C66" i="48" s="1"/>
  <c r="C68" i="48" s="1"/>
  <c r="C74" i="48" s="1"/>
  <c r="C13" i="48"/>
  <c r="C15" i="48" s="1"/>
  <c r="C17" i="48" s="1"/>
  <c r="C23" i="48" s="1"/>
  <c r="F46" i="43"/>
  <c r="F77" i="43"/>
  <c r="F69" i="41"/>
  <c r="F38" i="41"/>
  <c r="H10" i="48"/>
  <c r="J153" i="36"/>
  <c r="G10" i="38"/>
  <c r="G10" i="39"/>
  <c r="G10" i="37"/>
  <c r="F67" i="39"/>
  <c r="F39" i="39"/>
  <c r="G10" i="48"/>
  <c r="F7" i="48"/>
  <c r="F57" i="48"/>
  <c r="F58" i="48" s="1"/>
  <c r="F31" i="48"/>
  <c r="F32" i="48" s="1"/>
  <c r="G44" i="42"/>
  <c r="G75" i="42"/>
  <c r="F69" i="43"/>
  <c r="F38" i="43"/>
  <c r="C63" i="47"/>
  <c r="C64" i="47" s="1"/>
  <c r="C66" i="47" s="1"/>
  <c r="C68" i="47" s="1"/>
  <c r="C74" i="47" s="1"/>
  <c r="C13" i="47"/>
  <c r="C15" i="47" s="1"/>
  <c r="C17" i="47" s="1"/>
  <c r="C23" i="47" s="1"/>
  <c r="F75" i="42"/>
  <c r="F44" i="42"/>
  <c r="F68" i="42"/>
  <c r="F37" i="42"/>
  <c r="C17" i="46"/>
  <c r="C23" i="46" s="1"/>
  <c r="F7" i="46"/>
  <c r="F57" i="46"/>
  <c r="F58" i="46" s="1"/>
  <c r="F31" i="46"/>
  <c r="F32" i="46" s="1"/>
  <c r="C68" i="46"/>
  <c r="C74" i="46" s="1"/>
  <c r="F35" i="46"/>
  <c r="F61" i="46"/>
  <c r="F36" i="46"/>
  <c r="F62" i="46"/>
  <c r="L142" i="45"/>
  <c r="E35" i="46"/>
  <c r="E61" i="46"/>
  <c r="J11" i="45"/>
  <c r="G11" i="46"/>
  <c r="G6" i="46"/>
  <c r="G10" i="46"/>
  <c r="F48" i="45"/>
  <c r="X125" i="45"/>
  <c r="W126" i="45"/>
  <c r="F69" i="45"/>
  <c r="S125" i="45"/>
  <c r="R126" i="45"/>
  <c r="F38" i="45"/>
  <c r="F60" i="45"/>
  <c r="G143" i="45"/>
  <c r="E11" i="46" s="1"/>
  <c r="M143" i="45"/>
  <c r="K11" i="46" s="1"/>
  <c r="J143" i="45"/>
  <c r="B62" i="37"/>
  <c r="B72" i="37" s="1"/>
  <c r="B74" i="37" s="1"/>
  <c r="B80" i="37" s="1"/>
  <c r="B34" i="39"/>
  <c r="B17" i="39"/>
  <c r="B44" i="37"/>
  <c r="B46" i="37" s="1"/>
  <c r="B52" i="37" s="1"/>
  <c r="D9" i="41"/>
  <c r="D67" i="41"/>
  <c r="D70" i="41" s="1"/>
  <c r="P14" i="41"/>
  <c r="P14" i="43"/>
  <c r="P14" i="42"/>
  <c r="F36" i="42"/>
  <c r="F39" i="42" s="1"/>
  <c r="F9" i="42"/>
  <c r="F67" i="42"/>
  <c r="D67" i="42"/>
  <c r="D9" i="42"/>
  <c r="D36" i="42"/>
  <c r="D39" i="42" s="1"/>
  <c r="M146" i="40"/>
  <c r="F36" i="43"/>
  <c r="F39" i="43" s="1"/>
  <c r="F67" i="43"/>
  <c r="F9" i="43"/>
  <c r="D67" i="43"/>
  <c r="D36" i="43"/>
  <c r="D39" i="43" s="1"/>
  <c r="D9" i="43"/>
  <c r="J146" i="40"/>
  <c r="H6" i="42" s="1"/>
  <c r="G6" i="41"/>
  <c r="G36" i="41" s="1"/>
  <c r="G6" i="43"/>
  <c r="G6" i="42"/>
  <c r="N146" i="40"/>
  <c r="U156" i="36"/>
  <c r="G71" i="35"/>
  <c r="G42" i="35"/>
  <c r="E14" i="34"/>
  <c r="E42" i="34" s="1"/>
  <c r="E71" i="34"/>
  <c r="F71" i="33"/>
  <c r="F42" i="33"/>
  <c r="J159" i="32"/>
  <c r="H14" i="33" s="1"/>
  <c r="H14" i="35" s="1"/>
  <c r="W134" i="32"/>
  <c r="W131" i="32"/>
  <c r="F69" i="34"/>
  <c r="E64" i="34"/>
  <c r="F40" i="35"/>
  <c r="B72" i="39"/>
  <c r="F68" i="35"/>
  <c r="F39" i="35"/>
  <c r="B19" i="38"/>
  <c r="B25" i="38" s="1"/>
  <c r="G6" i="35"/>
  <c r="G34" i="35" s="1"/>
  <c r="F33" i="39"/>
  <c r="F61" i="39"/>
  <c r="F7" i="39"/>
  <c r="F34" i="34"/>
  <c r="F7" i="34"/>
  <c r="F63" i="34"/>
  <c r="C62" i="38"/>
  <c r="C34" i="38"/>
  <c r="F7" i="35"/>
  <c r="F34" i="35"/>
  <c r="F63" i="35"/>
  <c r="C66" i="39"/>
  <c r="C70" i="39" s="1"/>
  <c r="C15" i="39"/>
  <c r="C17" i="39" s="1"/>
  <c r="C19" i="39" s="1"/>
  <c r="C38" i="39"/>
  <c r="C42" i="39" s="1"/>
  <c r="D33" i="38"/>
  <c r="D61" i="38"/>
  <c r="D7" i="38"/>
  <c r="F11" i="34"/>
  <c r="G13" i="35"/>
  <c r="G10" i="35"/>
  <c r="G13" i="34"/>
  <c r="G10" i="34"/>
  <c r="L147" i="36"/>
  <c r="I6" i="38"/>
  <c r="I6" i="39"/>
  <c r="N147" i="36"/>
  <c r="I6" i="37"/>
  <c r="B19" i="39"/>
  <c r="B25" i="39" s="1"/>
  <c r="C38" i="37"/>
  <c r="C42" i="37" s="1"/>
  <c r="C66" i="37"/>
  <c r="C70" i="37" s="1"/>
  <c r="C15" i="37"/>
  <c r="C17" i="37" s="1"/>
  <c r="C19" i="37" s="1"/>
  <c r="C25" i="37" s="1"/>
  <c r="D61" i="39"/>
  <c r="D7" i="39"/>
  <c r="D33" i="39"/>
  <c r="F41" i="34"/>
  <c r="F70" i="34"/>
  <c r="F67" i="35"/>
  <c r="F38" i="35"/>
  <c r="F61" i="37"/>
  <c r="F33" i="37"/>
  <c r="F7" i="37"/>
  <c r="B44" i="39"/>
  <c r="D11" i="39"/>
  <c r="D11" i="38"/>
  <c r="G154" i="36"/>
  <c r="D11" i="37"/>
  <c r="B44" i="38"/>
  <c r="E68" i="35"/>
  <c r="E39" i="35"/>
  <c r="E6" i="37"/>
  <c r="E6" i="38"/>
  <c r="E6" i="39"/>
  <c r="D61" i="37"/>
  <c r="D33" i="37"/>
  <c r="D7" i="37"/>
  <c r="F41" i="35"/>
  <c r="F70" i="35"/>
  <c r="G6" i="34"/>
  <c r="G63" i="34" s="1"/>
  <c r="R155" i="36"/>
  <c r="T155" i="36" s="1"/>
  <c r="U155" i="36" s="1"/>
  <c r="G12" i="34"/>
  <c r="G40" i="34" s="1"/>
  <c r="F7" i="38"/>
  <c r="F61" i="38"/>
  <c r="F33" i="38"/>
  <c r="C34" i="37"/>
  <c r="C62" i="37"/>
  <c r="B74" i="39"/>
  <c r="B80" i="39" s="1"/>
  <c r="C66" i="38"/>
  <c r="C70" i="38" s="1"/>
  <c r="C38" i="38"/>
  <c r="C42" i="38" s="1"/>
  <c r="C15" i="38"/>
  <c r="C17" i="38" s="1"/>
  <c r="B72" i="38"/>
  <c r="C34" i="39"/>
  <c r="C62" i="39"/>
  <c r="G6" i="37"/>
  <c r="G6" i="38"/>
  <c r="G6" i="39"/>
  <c r="J147" i="36"/>
  <c r="F38" i="34"/>
  <c r="F67" i="34"/>
  <c r="AA158" i="32"/>
  <c r="L157" i="32"/>
  <c r="G69" i="35"/>
  <c r="G40" i="35"/>
  <c r="H77" i="42"/>
  <c r="H46" i="42"/>
  <c r="I16" i="43"/>
  <c r="I16" i="42"/>
  <c r="H77" i="43"/>
  <c r="H46" i="43"/>
  <c r="H6" i="41"/>
  <c r="E6" i="41"/>
  <c r="E67" i="41" s="1"/>
  <c r="E70" i="41" s="1"/>
  <c r="E6" i="43"/>
  <c r="E6" i="42"/>
  <c r="E37" i="42"/>
  <c r="E68" i="42"/>
  <c r="E68" i="43"/>
  <c r="E37" i="43"/>
  <c r="H46" i="41"/>
  <c r="H77" i="41"/>
  <c r="L159" i="40"/>
  <c r="I16" i="41"/>
  <c r="N126" i="40"/>
  <c r="M127" i="40"/>
  <c r="O146" i="40"/>
  <c r="P146" i="40" s="1"/>
  <c r="J150" i="40"/>
  <c r="G8" i="41"/>
  <c r="F36" i="41"/>
  <c r="F45" i="40"/>
  <c r="F55" i="40" s="1"/>
  <c r="F64" i="40" s="1"/>
  <c r="F44" i="40"/>
  <c r="G156" i="40"/>
  <c r="D13" i="41"/>
  <c r="E75" i="41"/>
  <c r="E44" i="41"/>
  <c r="C74" i="41"/>
  <c r="C79" i="41" s="1"/>
  <c r="C81" i="41" s="1"/>
  <c r="C83" i="41" s="1"/>
  <c r="C89" i="41" s="1"/>
  <c r="C43" i="41"/>
  <c r="C48" i="41" s="1"/>
  <c r="C50" i="41" s="1"/>
  <c r="C52" i="41" s="1"/>
  <c r="C58" i="41" s="1"/>
  <c r="C18" i="41"/>
  <c r="C20" i="41" s="1"/>
  <c r="C22" i="41" s="1"/>
  <c r="C28" i="41" s="1"/>
  <c r="F73" i="41"/>
  <c r="F42" i="41"/>
  <c r="J155" i="40"/>
  <c r="G12" i="41"/>
  <c r="F32" i="40"/>
  <c r="F34" i="40" s="1"/>
  <c r="J149" i="40"/>
  <c r="F7" i="41"/>
  <c r="F9" i="41" s="1"/>
  <c r="E68" i="41"/>
  <c r="E37" i="41"/>
  <c r="G44" i="41"/>
  <c r="G75" i="41"/>
  <c r="G45" i="41"/>
  <c r="G76" i="41"/>
  <c r="K11" i="40"/>
  <c r="I6" i="43" s="1"/>
  <c r="H14" i="41"/>
  <c r="S123" i="40"/>
  <c r="R124" i="40"/>
  <c r="F54" i="40"/>
  <c r="F63" i="40"/>
  <c r="W125" i="40"/>
  <c r="X124" i="40"/>
  <c r="G158" i="40"/>
  <c r="E15" i="41" s="1"/>
  <c r="J158" i="40"/>
  <c r="H15" i="41" s="1"/>
  <c r="M158" i="40"/>
  <c r="P158" i="40"/>
  <c r="E44" i="36"/>
  <c r="F39" i="36" s="1"/>
  <c r="E54" i="36"/>
  <c r="F49" i="36" s="1"/>
  <c r="W130" i="36"/>
  <c r="X129" i="36"/>
  <c r="F63" i="36"/>
  <c r="G155" i="36"/>
  <c r="J155" i="36"/>
  <c r="M155" i="36"/>
  <c r="P155" i="36"/>
  <c r="W156" i="36"/>
  <c r="R129" i="36"/>
  <c r="S128" i="36"/>
  <c r="F73" i="36"/>
  <c r="G68" i="36" s="1"/>
  <c r="N130" i="36"/>
  <c r="V156" i="36" s="1"/>
  <c r="M131" i="36"/>
  <c r="N131" i="36" s="1"/>
  <c r="G7" i="35"/>
  <c r="P149" i="32"/>
  <c r="R149" i="32"/>
  <c r="T149" i="32"/>
  <c r="F41" i="33"/>
  <c r="F70" i="33"/>
  <c r="J18" i="32"/>
  <c r="G10" i="33"/>
  <c r="G13" i="33"/>
  <c r="G6" i="33"/>
  <c r="G12" i="33"/>
  <c r="F69" i="33"/>
  <c r="F40" i="33"/>
  <c r="F67" i="33"/>
  <c r="F38" i="33"/>
  <c r="E35" i="33"/>
  <c r="E64" i="33"/>
  <c r="F63" i="33"/>
  <c r="F7" i="33"/>
  <c r="F34" i="33"/>
  <c r="F11" i="33"/>
  <c r="I156" i="32"/>
  <c r="G11" i="34" s="1"/>
  <c r="E68" i="33"/>
  <c r="E39" i="33"/>
  <c r="F79" i="1"/>
  <c r="F46" i="1"/>
  <c r="F83" i="30"/>
  <c r="F50" i="30"/>
  <c r="F80" i="1"/>
  <c r="F47" i="1"/>
  <c r="F81" i="30"/>
  <c r="F48" i="30"/>
  <c r="F82" i="31"/>
  <c r="F49" i="31"/>
  <c r="F51" i="31"/>
  <c r="F84" i="31" s="1"/>
  <c r="F51" i="30"/>
  <c r="F84" i="30" s="1"/>
  <c r="F82" i="1"/>
  <c r="F49" i="1"/>
  <c r="F45" i="31"/>
  <c r="F78" i="31"/>
  <c r="F71" i="30"/>
  <c r="F38" i="30"/>
  <c r="F82" i="30"/>
  <c r="F49" i="30"/>
  <c r="F50" i="31"/>
  <c r="F83" i="31"/>
  <c r="H12" i="31"/>
  <c r="H44" i="31" s="1"/>
  <c r="F78" i="30"/>
  <c r="F45" i="30"/>
  <c r="F78" i="1"/>
  <c r="F45" i="1"/>
  <c r="F47" i="30"/>
  <c r="F80" i="30"/>
  <c r="F38" i="31"/>
  <c r="F71" i="31"/>
  <c r="F81" i="31"/>
  <c r="F48" i="31"/>
  <c r="G18" i="1"/>
  <c r="G83" i="1" s="1"/>
  <c r="S127" i="32"/>
  <c r="N128" i="32"/>
  <c r="F46" i="30"/>
  <c r="F79" i="30"/>
  <c r="F81" i="1"/>
  <c r="F48" i="1"/>
  <c r="F46" i="31"/>
  <c r="F79" i="31"/>
  <c r="F80" i="31"/>
  <c r="F47" i="31"/>
  <c r="J18" i="25"/>
  <c r="G18" i="31"/>
  <c r="G15" i="31"/>
  <c r="G16" i="31"/>
  <c r="G6" i="31"/>
  <c r="G14" i="31"/>
  <c r="G13" i="31"/>
  <c r="G16" i="30"/>
  <c r="G13" i="1"/>
  <c r="G17" i="31"/>
  <c r="G18" i="30"/>
  <c r="G15" i="30"/>
  <c r="G6" i="30"/>
  <c r="G14" i="30"/>
  <c r="G13" i="30"/>
  <c r="G15" i="1"/>
  <c r="G16" i="1"/>
  <c r="G17" i="30"/>
  <c r="G17" i="1"/>
  <c r="G14" i="1"/>
  <c r="I12" i="30"/>
  <c r="I12" i="31"/>
  <c r="I12" i="1"/>
  <c r="X130" i="32"/>
  <c r="J155" i="32"/>
  <c r="K151" i="32"/>
  <c r="F63" i="32"/>
  <c r="F72" i="32"/>
  <c r="M162" i="32"/>
  <c r="K150" i="32"/>
  <c r="E12" i="31"/>
  <c r="E44" i="31" s="1"/>
  <c r="H44" i="1"/>
  <c r="H77" i="1"/>
  <c r="E44" i="1"/>
  <c r="E77" i="1"/>
  <c r="H12" i="30"/>
  <c r="E12" i="30"/>
  <c r="G6" i="1"/>
  <c r="G38" i="1" s="1"/>
  <c r="R152" i="25"/>
  <c r="V144" i="25"/>
  <c r="X144" i="25"/>
  <c r="Q158" i="25"/>
  <c r="F38" i="1"/>
  <c r="Q155" i="25"/>
  <c r="G71" i="1"/>
  <c r="J159" i="25"/>
  <c r="J161" i="25"/>
  <c r="J160" i="25"/>
  <c r="J146" i="25"/>
  <c r="J145" i="25"/>
  <c r="J162" i="25"/>
  <c r="E84" i="1"/>
  <c r="H54" i="25"/>
  <c r="I49" i="25" s="1"/>
  <c r="I51" i="25" s="1"/>
  <c r="I53" i="25" s="1"/>
  <c r="F51" i="1"/>
  <c r="F84" i="1" s="1"/>
  <c r="X130" i="25"/>
  <c r="W131" i="25"/>
  <c r="S130" i="25"/>
  <c r="R131" i="25"/>
  <c r="N132" i="25"/>
  <c r="M133" i="25"/>
  <c r="K72" i="25"/>
  <c r="K73" i="25" s="1"/>
  <c r="L68" i="25" s="1"/>
  <c r="L70" i="25" s="1"/>
  <c r="F63" i="25"/>
  <c r="I6" i="41" l="1"/>
  <c r="F70" i="43"/>
  <c r="G65" i="37"/>
  <c r="G37" i="37"/>
  <c r="H35" i="48"/>
  <c r="H61" i="48"/>
  <c r="G67" i="38"/>
  <c r="G39" i="38"/>
  <c r="G38" i="43"/>
  <c r="G69" i="43"/>
  <c r="D74" i="42"/>
  <c r="D43" i="42"/>
  <c r="D70" i="43"/>
  <c r="H12" i="42"/>
  <c r="H12" i="43"/>
  <c r="H6" i="48"/>
  <c r="H6" i="47"/>
  <c r="G37" i="39"/>
  <c r="G65" i="39"/>
  <c r="H10" i="47"/>
  <c r="G68" i="39"/>
  <c r="G40" i="39"/>
  <c r="G57" i="48"/>
  <c r="G58" i="48" s="1"/>
  <c r="G31" i="48"/>
  <c r="G32" i="48" s="1"/>
  <c r="G7" i="48"/>
  <c r="E35" i="47"/>
  <c r="E61" i="47"/>
  <c r="I15" i="42"/>
  <c r="I15" i="43"/>
  <c r="I14" i="42"/>
  <c r="I14" i="43"/>
  <c r="G69" i="41"/>
  <c r="G38" i="41"/>
  <c r="I6" i="42"/>
  <c r="D70" i="42"/>
  <c r="G65" i="38"/>
  <c r="G37" i="38"/>
  <c r="G68" i="43"/>
  <c r="G37" i="43"/>
  <c r="G68" i="38"/>
  <c r="G40" i="38"/>
  <c r="G7" i="47"/>
  <c r="G57" i="47"/>
  <c r="G58" i="47" s="1"/>
  <c r="G31" i="47"/>
  <c r="G32" i="47" s="1"/>
  <c r="E35" i="48"/>
  <c r="E61" i="48"/>
  <c r="E13" i="43"/>
  <c r="E13" i="42"/>
  <c r="H8" i="43"/>
  <c r="H8" i="42"/>
  <c r="F70" i="42"/>
  <c r="G61" i="48"/>
  <c r="G35" i="48"/>
  <c r="K153" i="36"/>
  <c r="H10" i="39"/>
  <c r="H10" i="37"/>
  <c r="H10" i="38"/>
  <c r="G68" i="42"/>
  <c r="G37" i="42"/>
  <c r="G67" i="39"/>
  <c r="G39" i="39"/>
  <c r="G62" i="47"/>
  <c r="G36" i="47"/>
  <c r="G42" i="42"/>
  <c r="G73" i="42"/>
  <c r="G68" i="37"/>
  <c r="G40" i="37"/>
  <c r="G62" i="48"/>
  <c r="G36" i="48"/>
  <c r="G73" i="43"/>
  <c r="G42" i="43"/>
  <c r="G67" i="37"/>
  <c r="G39" i="37"/>
  <c r="L18" i="36"/>
  <c r="I13" i="39"/>
  <c r="I13" i="38"/>
  <c r="I13" i="37"/>
  <c r="I12" i="37"/>
  <c r="I12" i="39"/>
  <c r="I12" i="38"/>
  <c r="G38" i="42"/>
  <c r="G69" i="42"/>
  <c r="D74" i="43"/>
  <c r="D43" i="43"/>
  <c r="E36" i="46"/>
  <c r="E62" i="46"/>
  <c r="K11" i="45"/>
  <c r="H11" i="46"/>
  <c r="H6" i="46"/>
  <c r="H10" i="46"/>
  <c r="G61" i="46"/>
  <c r="G35" i="46"/>
  <c r="M142" i="45"/>
  <c r="G7" i="46"/>
  <c r="G31" i="46"/>
  <c r="G32" i="46" s="1"/>
  <c r="G57" i="46"/>
  <c r="G58" i="46" s="1"/>
  <c r="K62" i="46"/>
  <c r="K36" i="46"/>
  <c r="G36" i="46"/>
  <c r="G62" i="46"/>
  <c r="F50" i="45"/>
  <c r="S126" i="45"/>
  <c r="R127" i="45"/>
  <c r="S127" i="45" s="1"/>
  <c r="F70" i="45"/>
  <c r="G65" i="45" s="1"/>
  <c r="F61" i="45"/>
  <c r="G56" i="45" s="1"/>
  <c r="X126" i="45"/>
  <c r="W127" i="45"/>
  <c r="X127" i="45" s="1"/>
  <c r="F40" i="45"/>
  <c r="H6" i="43"/>
  <c r="P75" i="42"/>
  <c r="P44" i="42"/>
  <c r="P75" i="43"/>
  <c r="P44" i="43"/>
  <c r="P75" i="41"/>
  <c r="P44" i="41"/>
  <c r="G67" i="41"/>
  <c r="I67" i="42"/>
  <c r="I36" i="42"/>
  <c r="G9" i="42"/>
  <c r="G67" i="42"/>
  <c r="G36" i="42"/>
  <c r="G39" i="42" s="1"/>
  <c r="Q146" i="40"/>
  <c r="G36" i="43"/>
  <c r="G39" i="43" s="1"/>
  <c r="G9" i="43"/>
  <c r="G67" i="43"/>
  <c r="R146" i="40"/>
  <c r="I67" i="43"/>
  <c r="I36" i="43"/>
  <c r="X156" i="36"/>
  <c r="H71" i="35"/>
  <c r="H42" i="35"/>
  <c r="F14" i="34"/>
  <c r="F42" i="34" s="1"/>
  <c r="F71" i="34"/>
  <c r="K159" i="32"/>
  <c r="G71" i="33"/>
  <c r="G42" i="33"/>
  <c r="W132" i="32"/>
  <c r="X131" i="32"/>
  <c r="C72" i="39"/>
  <c r="C74" i="39" s="1"/>
  <c r="C80" i="39" s="1"/>
  <c r="G63" i="35"/>
  <c r="G7" i="34"/>
  <c r="G64" i="34" s="1"/>
  <c r="G69" i="34"/>
  <c r="C44" i="39"/>
  <c r="C46" i="39" s="1"/>
  <c r="S155" i="36"/>
  <c r="G34" i="34"/>
  <c r="C19" i="38"/>
  <c r="C25" i="38" s="1"/>
  <c r="G68" i="34"/>
  <c r="G39" i="34"/>
  <c r="H10" i="34"/>
  <c r="H10" i="35"/>
  <c r="H6" i="34"/>
  <c r="H7" i="34" s="1"/>
  <c r="E12" i="37"/>
  <c r="E39" i="37" s="1"/>
  <c r="E12" i="38"/>
  <c r="G61" i="37"/>
  <c r="G33" i="37"/>
  <c r="G7" i="37"/>
  <c r="B74" i="38"/>
  <c r="B80" i="38" s="1"/>
  <c r="E61" i="37"/>
  <c r="E7" i="37"/>
  <c r="E33" i="37"/>
  <c r="D38" i="37"/>
  <c r="D66" i="37"/>
  <c r="B46" i="39"/>
  <c r="B52" i="39" s="1"/>
  <c r="I61" i="39"/>
  <c r="I33" i="39"/>
  <c r="I7" i="39"/>
  <c r="G11" i="35"/>
  <c r="G70" i="35"/>
  <c r="G41" i="35"/>
  <c r="C44" i="38"/>
  <c r="C46" i="38" s="1"/>
  <c r="H6" i="37"/>
  <c r="H6" i="39"/>
  <c r="H6" i="38"/>
  <c r="F34" i="38"/>
  <c r="F62" i="38"/>
  <c r="E11" i="38"/>
  <c r="E11" i="39"/>
  <c r="H154" i="36"/>
  <c r="E11" i="37"/>
  <c r="C72" i="37"/>
  <c r="C74" i="37" s="1"/>
  <c r="C80" i="37" s="1"/>
  <c r="C25" i="39"/>
  <c r="I7" i="38"/>
  <c r="I61" i="38"/>
  <c r="I33" i="38"/>
  <c r="G70" i="34"/>
  <c r="G41" i="34"/>
  <c r="F68" i="34"/>
  <c r="F39" i="34"/>
  <c r="C72" i="38"/>
  <c r="C74" i="38" s="1"/>
  <c r="F62" i="39"/>
  <c r="F34" i="39"/>
  <c r="H6" i="35"/>
  <c r="H7" i="35" s="1"/>
  <c r="G61" i="39"/>
  <c r="G33" i="39"/>
  <c r="G7" i="39"/>
  <c r="E33" i="39"/>
  <c r="E61" i="39"/>
  <c r="E7" i="39"/>
  <c r="D38" i="38"/>
  <c r="D66" i="38"/>
  <c r="D34" i="39"/>
  <c r="D62" i="39"/>
  <c r="C44" i="37"/>
  <c r="C46" i="37" s="1"/>
  <c r="C52" i="37" s="1"/>
  <c r="I61" i="37"/>
  <c r="I33" i="37"/>
  <c r="I7" i="37"/>
  <c r="J6" i="37"/>
  <c r="J6" i="39"/>
  <c r="J6" i="38"/>
  <c r="O147" i="36"/>
  <c r="M147" i="36"/>
  <c r="D62" i="38"/>
  <c r="D34" i="38"/>
  <c r="F64" i="35"/>
  <c r="F35" i="35"/>
  <c r="H12" i="37"/>
  <c r="H39" i="37" s="1"/>
  <c r="H12" i="38"/>
  <c r="G33" i="38"/>
  <c r="G61" i="38"/>
  <c r="G7" i="38"/>
  <c r="D62" i="37"/>
  <c r="D34" i="37"/>
  <c r="E7" i="38"/>
  <c r="E33" i="38"/>
  <c r="E61" i="38"/>
  <c r="B46" i="38"/>
  <c r="B52" i="38" s="1"/>
  <c r="D38" i="39"/>
  <c r="D66" i="39"/>
  <c r="F62" i="37"/>
  <c r="F34" i="37"/>
  <c r="Q147" i="36"/>
  <c r="G67" i="34"/>
  <c r="G38" i="34"/>
  <c r="G67" i="35"/>
  <c r="G38" i="35"/>
  <c r="F35" i="34"/>
  <c r="F64" i="34"/>
  <c r="N157" i="32"/>
  <c r="I77" i="43"/>
  <c r="I46" i="43"/>
  <c r="I46" i="42"/>
  <c r="I77" i="42"/>
  <c r="J16" i="42"/>
  <c r="E36" i="41"/>
  <c r="E39" i="41" s="1"/>
  <c r="H36" i="42"/>
  <c r="H67" i="42"/>
  <c r="H7" i="43"/>
  <c r="H7" i="42"/>
  <c r="H9" i="42" s="1"/>
  <c r="E9" i="41"/>
  <c r="E9" i="42"/>
  <c r="E67" i="42"/>
  <c r="E70" i="42" s="1"/>
  <c r="E36" i="42"/>
  <c r="E39" i="42" s="1"/>
  <c r="H36" i="43"/>
  <c r="H67" i="43"/>
  <c r="E36" i="43"/>
  <c r="E39" i="43" s="1"/>
  <c r="E67" i="43"/>
  <c r="E70" i="43" s="1"/>
  <c r="E9" i="43"/>
  <c r="H14" i="42"/>
  <c r="E14" i="42"/>
  <c r="H77" i="31"/>
  <c r="I46" i="41"/>
  <c r="I77" i="41"/>
  <c r="M159" i="40"/>
  <c r="M128" i="40"/>
  <c r="N127" i="40"/>
  <c r="K150" i="40"/>
  <c r="H8" i="41"/>
  <c r="F46" i="40"/>
  <c r="D74" i="41"/>
  <c r="D43" i="41"/>
  <c r="H156" i="40"/>
  <c r="E13" i="41"/>
  <c r="E45" i="41"/>
  <c r="E76" i="41"/>
  <c r="G73" i="41"/>
  <c r="G42" i="41"/>
  <c r="K155" i="40"/>
  <c r="H12" i="41"/>
  <c r="F68" i="41"/>
  <c r="F70" i="41" s="1"/>
  <c r="F37" i="41"/>
  <c r="F39" i="41" s="1"/>
  <c r="G7" i="41"/>
  <c r="G9" i="41" s="1"/>
  <c r="H67" i="41"/>
  <c r="H36" i="41"/>
  <c r="L11" i="40"/>
  <c r="J16" i="41" s="1"/>
  <c r="I14" i="41"/>
  <c r="I15" i="41"/>
  <c r="H44" i="41"/>
  <c r="H75" i="41"/>
  <c r="H45" i="41"/>
  <c r="H76" i="41"/>
  <c r="X125" i="40"/>
  <c r="W126" i="40"/>
  <c r="F65" i="40"/>
  <c r="F56" i="40"/>
  <c r="F36" i="40"/>
  <c r="S124" i="40"/>
  <c r="R125" i="40"/>
  <c r="W155" i="36"/>
  <c r="V155" i="36"/>
  <c r="R130" i="36"/>
  <c r="S129" i="36"/>
  <c r="E12" i="39" s="1"/>
  <c r="F64" i="36"/>
  <c r="G59" i="36" s="1"/>
  <c r="Z156" i="36"/>
  <c r="Y156" i="36"/>
  <c r="F41" i="36"/>
  <c r="G156" i="36"/>
  <c r="J156" i="36"/>
  <c r="M156" i="36"/>
  <c r="P156" i="36"/>
  <c r="S156" i="36"/>
  <c r="F51" i="36"/>
  <c r="G70" i="36"/>
  <c r="X130" i="36"/>
  <c r="W131" i="36"/>
  <c r="X131" i="36" s="1"/>
  <c r="G64" i="35"/>
  <c r="G35" i="35"/>
  <c r="S149" i="32"/>
  <c r="U149" i="32"/>
  <c r="W149" i="32"/>
  <c r="G38" i="33"/>
  <c r="G67" i="33"/>
  <c r="F35" i="33"/>
  <c r="F64" i="33"/>
  <c r="K18" i="32"/>
  <c r="H6" i="33"/>
  <c r="H10" i="33"/>
  <c r="G34" i="33"/>
  <c r="G63" i="33"/>
  <c r="G7" i="33"/>
  <c r="G40" i="33"/>
  <c r="G69" i="33"/>
  <c r="G70" i="33"/>
  <c r="G41" i="33"/>
  <c r="G11" i="33"/>
  <c r="J156" i="32"/>
  <c r="H11" i="34" s="1"/>
  <c r="F68" i="33"/>
  <c r="F39" i="33"/>
  <c r="G50" i="1"/>
  <c r="E77" i="31"/>
  <c r="I44" i="1"/>
  <c r="I77" i="1"/>
  <c r="G49" i="1"/>
  <c r="G82" i="1"/>
  <c r="G45" i="30"/>
  <c r="G78" i="30"/>
  <c r="G83" i="30"/>
  <c r="G50" i="30"/>
  <c r="G45" i="31"/>
  <c r="G78" i="31"/>
  <c r="G80" i="31"/>
  <c r="G47" i="31"/>
  <c r="I77" i="31"/>
  <c r="I44" i="31"/>
  <c r="G82" i="30"/>
  <c r="G49" i="30"/>
  <c r="G79" i="30"/>
  <c r="G46" i="30"/>
  <c r="G49" i="31"/>
  <c r="G82" i="31"/>
  <c r="G79" i="31"/>
  <c r="G46" i="31"/>
  <c r="G83" i="31"/>
  <c r="G50" i="31"/>
  <c r="G51" i="31"/>
  <c r="G84" i="31" s="1"/>
  <c r="G51" i="30"/>
  <c r="G84" i="30" s="1"/>
  <c r="H18" i="1"/>
  <c r="H50" i="1" s="1"/>
  <c r="I77" i="30"/>
  <c r="I44" i="30"/>
  <c r="G48" i="1"/>
  <c r="G81" i="1"/>
  <c r="G71" i="30"/>
  <c r="G38" i="30"/>
  <c r="G45" i="1"/>
  <c r="G78" i="1"/>
  <c r="G71" i="31"/>
  <c r="G38" i="31"/>
  <c r="K18" i="25"/>
  <c r="H13" i="31"/>
  <c r="H18" i="31"/>
  <c r="H18" i="30"/>
  <c r="H13" i="30"/>
  <c r="H13" i="1"/>
  <c r="H6" i="30"/>
  <c r="J12" i="1"/>
  <c r="J12" i="31"/>
  <c r="H6" i="31"/>
  <c r="J12" i="30"/>
  <c r="G46" i="1"/>
  <c r="G79" i="1"/>
  <c r="G80" i="1"/>
  <c r="G47" i="1"/>
  <c r="G80" i="30"/>
  <c r="G47" i="30"/>
  <c r="G81" i="30"/>
  <c r="G48" i="30"/>
  <c r="G81" i="31"/>
  <c r="G48" i="31"/>
  <c r="N129" i="32"/>
  <c r="L151" i="32"/>
  <c r="N162" i="32"/>
  <c r="F73" i="32"/>
  <c r="G68" i="32" s="1"/>
  <c r="F53" i="32"/>
  <c r="F43" i="32"/>
  <c r="K155" i="32"/>
  <c r="L150" i="32"/>
  <c r="F64" i="32"/>
  <c r="G59" i="32" s="1"/>
  <c r="G155" i="25"/>
  <c r="E14" i="1" s="1"/>
  <c r="J155" i="25"/>
  <c r="H14" i="1" s="1"/>
  <c r="M155" i="25"/>
  <c r="P155" i="25"/>
  <c r="H77" i="30"/>
  <c r="H44" i="30"/>
  <c r="E77" i="30"/>
  <c r="E44" i="30"/>
  <c r="T152" i="25"/>
  <c r="S152" i="25"/>
  <c r="Y144" i="25"/>
  <c r="AA144" i="25"/>
  <c r="AB144" i="25" s="1"/>
  <c r="R158" i="25"/>
  <c r="R155" i="25"/>
  <c r="H83" i="1"/>
  <c r="H6" i="1"/>
  <c r="K162" i="25"/>
  <c r="K161" i="25"/>
  <c r="K146" i="25"/>
  <c r="K145" i="25"/>
  <c r="K160" i="25"/>
  <c r="K159" i="25"/>
  <c r="I54" i="25"/>
  <c r="J49" i="25" s="1"/>
  <c r="J51" i="25" s="1"/>
  <c r="G51" i="1"/>
  <c r="G84" i="1" s="1"/>
  <c r="M134" i="25"/>
  <c r="N133" i="25"/>
  <c r="R132" i="25"/>
  <c r="S131" i="25"/>
  <c r="W132" i="25"/>
  <c r="X131" i="25"/>
  <c r="L72" i="25"/>
  <c r="L73" i="25" s="1"/>
  <c r="M68" i="25" s="1"/>
  <c r="M70" i="25" s="1"/>
  <c r="F64" i="25"/>
  <c r="G59" i="25" s="1"/>
  <c r="G61" i="25" s="1"/>
  <c r="G70" i="41" l="1"/>
  <c r="J16" i="43"/>
  <c r="K10" i="46"/>
  <c r="K10" i="48"/>
  <c r="K10" i="47"/>
  <c r="I39" i="37"/>
  <c r="I67" i="37"/>
  <c r="D17" i="41"/>
  <c r="D78" i="41" s="1"/>
  <c r="D17" i="43"/>
  <c r="D17" i="42"/>
  <c r="I12" i="43"/>
  <c r="I12" i="42"/>
  <c r="I7" i="43"/>
  <c r="I7" i="42"/>
  <c r="F13" i="42"/>
  <c r="F13" i="43"/>
  <c r="I68" i="37"/>
  <c r="I40" i="37"/>
  <c r="L153" i="36"/>
  <c r="I10" i="38"/>
  <c r="I10" i="39"/>
  <c r="I10" i="37"/>
  <c r="I75" i="43"/>
  <c r="I44" i="43"/>
  <c r="H73" i="42"/>
  <c r="H42" i="42"/>
  <c r="H38" i="41"/>
  <c r="H69" i="41"/>
  <c r="I39" i="39"/>
  <c r="I67" i="39"/>
  <c r="I8" i="43"/>
  <c r="I8" i="42"/>
  <c r="I68" i="38"/>
  <c r="I40" i="38"/>
  <c r="H38" i="42"/>
  <c r="H69" i="42"/>
  <c r="I44" i="42"/>
  <c r="I75" i="42"/>
  <c r="H31" i="47"/>
  <c r="H32" i="47" s="1"/>
  <c r="H7" i="47"/>
  <c r="H57" i="47"/>
  <c r="H58" i="47" s="1"/>
  <c r="H65" i="37"/>
  <c r="H37" i="37"/>
  <c r="E74" i="43"/>
  <c r="E43" i="43"/>
  <c r="H65" i="39"/>
  <c r="H37" i="39"/>
  <c r="I14" i="33"/>
  <c r="I14" i="35" s="1"/>
  <c r="D12" i="46"/>
  <c r="D13" i="46" s="1"/>
  <c r="D15" i="46" s="1"/>
  <c r="D12" i="47"/>
  <c r="D12" i="48"/>
  <c r="I68" i="39"/>
  <c r="I40" i="39"/>
  <c r="H38" i="43"/>
  <c r="H69" i="43"/>
  <c r="I76" i="43"/>
  <c r="I45" i="43"/>
  <c r="H57" i="48"/>
  <c r="H58" i="48" s="1"/>
  <c r="H7" i="48"/>
  <c r="H31" i="48"/>
  <c r="H32" i="48" s="1"/>
  <c r="J15" i="43"/>
  <c r="J15" i="42"/>
  <c r="J14" i="43"/>
  <c r="J14" i="42"/>
  <c r="J6" i="42"/>
  <c r="J6" i="43"/>
  <c r="J6" i="41"/>
  <c r="H70" i="43"/>
  <c r="G70" i="42"/>
  <c r="I11" i="48"/>
  <c r="I11" i="47"/>
  <c r="I6" i="47"/>
  <c r="I6" i="48"/>
  <c r="I10" i="47"/>
  <c r="I10" i="48"/>
  <c r="H73" i="43"/>
  <c r="H42" i="43"/>
  <c r="D47" i="41"/>
  <c r="D47" i="42"/>
  <c r="D48" i="42" s="1"/>
  <c r="D50" i="42" s="1"/>
  <c r="D52" i="42" s="1"/>
  <c r="D58" i="42" s="1"/>
  <c r="D47" i="43"/>
  <c r="D48" i="43" s="1"/>
  <c r="D50" i="43" s="1"/>
  <c r="D52" i="43" s="1"/>
  <c r="D58" i="43" s="1"/>
  <c r="G70" i="43"/>
  <c r="D37" i="46"/>
  <c r="D38" i="46" s="1"/>
  <c r="D40" i="46" s="1"/>
  <c r="D37" i="47"/>
  <c r="D38" i="47" s="1"/>
  <c r="D40" i="47" s="1"/>
  <c r="D42" i="47" s="1"/>
  <c r="D48" i="47" s="1"/>
  <c r="D37" i="48"/>
  <c r="D38" i="48" s="1"/>
  <c r="D40" i="48" s="1"/>
  <c r="D42" i="48" s="1"/>
  <c r="D48" i="48" s="1"/>
  <c r="I67" i="38"/>
  <c r="I39" i="38"/>
  <c r="M18" i="36"/>
  <c r="J12" i="38"/>
  <c r="J13" i="39"/>
  <c r="J13" i="38"/>
  <c r="J13" i="37"/>
  <c r="J12" i="37"/>
  <c r="J12" i="39"/>
  <c r="H37" i="38"/>
  <c r="H65" i="38"/>
  <c r="E74" i="42"/>
  <c r="E43" i="42"/>
  <c r="I76" i="42"/>
  <c r="I45" i="42"/>
  <c r="H35" i="47"/>
  <c r="H61" i="47"/>
  <c r="E11" i="47"/>
  <c r="K11" i="47"/>
  <c r="H11" i="47"/>
  <c r="K11" i="48"/>
  <c r="H11" i="48"/>
  <c r="E11" i="48"/>
  <c r="D42" i="46"/>
  <c r="D48" i="46" s="1"/>
  <c r="D63" i="46"/>
  <c r="D64" i="46" s="1"/>
  <c r="D66" i="46" s="1"/>
  <c r="H62" i="46"/>
  <c r="H36" i="46"/>
  <c r="L11" i="45"/>
  <c r="I11" i="46"/>
  <c r="I6" i="46"/>
  <c r="I10" i="46"/>
  <c r="K61" i="46"/>
  <c r="K35" i="46"/>
  <c r="H35" i="46"/>
  <c r="H61" i="46"/>
  <c r="H31" i="46"/>
  <c r="H32" i="46" s="1"/>
  <c r="H57" i="46"/>
  <c r="H58" i="46" s="1"/>
  <c r="H7" i="46"/>
  <c r="F41" i="45"/>
  <c r="G36" i="45" s="1"/>
  <c r="G58" i="45"/>
  <c r="F51" i="45"/>
  <c r="G46" i="45" s="1"/>
  <c r="G67" i="45"/>
  <c r="H34" i="35"/>
  <c r="H9" i="43"/>
  <c r="P6" i="41"/>
  <c r="P6" i="43"/>
  <c r="P6" i="42"/>
  <c r="H12" i="39"/>
  <c r="H67" i="39" s="1"/>
  <c r="K12" i="39"/>
  <c r="K39" i="39" s="1"/>
  <c r="AA156" i="36"/>
  <c r="C52" i="38"/>
  <c r="G71" i="34"/>
  <c r="G14" i="34"/>
  <c r="G42" i="34" s="1"/>
  <c r="I42" i="35"/>
  <c r="I71" i="35"/>
  <c r="G35" i="34"/>
  <c r="H63" i="35"/>
  <c r="H42" i="33"/>
  <c r="H71" i="33"/>
  <c r="L159" i="32"/>
  <c r="J14" i="33" s="1"/>
  <c r="J14" i="35" s="1"/>
  <c r="W133" i="32"/>
  <c r="X133" i="32" s="1"/>
  <c r="X132" i="32"/>
  <c r="H34" i="34"/>
  <c r="C52" i="39"/>
  <c r="X155" i="36"/>
  <c r="Z155" i="36" s="1"/>
  <c r="E67" i="37"/>
  <c r="H67" i="37"/>
  <c r="H63" i="34"/>
  <c r="H68" i="34"/>
  <c r="H39" i="34"/>
  <c r="H67" i="38"/>
  <c r="H39" i="38"/>
  <c r="R147" i="36"/>
  <c r="P147" i="36"/>
  <c r="I34" i="37"/>
  <c r="I62" i="37"/>
  <c r="G62" i="39"/>
  <c r="G34" i="39"/>
  <c r="E38" i="39"/>
  <c r="E66" i="39"/>
  <c r="H33" i="39"/>
  <c r="H7" i="39"/>
  <c r="H61" i="39"/>
  <c r="G68" i="35"/>
  <c r="G39" i="35"/>
  <c r="E34" i="37"/>
  <c r="E62" i="37"/>
  <c r="G62" i="37"/>
  <c r="G34" i="37"/>
  <c r="E39" i="39"/>
  <c r="E67" i="39"/>
  <c r="H11" i="35"/>
  <c r="I10" i="34"/>
  <c r="I10" i="35"/>
  <c r="I13" i="34"/>
  <c r="I13" i="35"/>
  <c r="I12" i="35"/>
  <c r="I12" i="34"/>
  <c r="I6" i="35"/>
  <c r="I63" i="35" s="1"/>
  <c r="E62" i="38"/>
  <c r="E34" i="38"/>
  <c r="J7" i="38"/>
  <c r="J33" i="38"/>
  <c r="J61" i="38"/>
  <c r="E62" i="39"/>
  <c r="E34" i="39"/>
  <c r="E38" i="38"/>
  <c r="E66" i="38"/>
  <c r="H7" i="37"/>
  <c r="H33" i="37"/>
  <c r="H61" i="37"/>
  <c r="I34" i="39"/>
  <c r="I62" i="39"/>
  <c r="E39" i="38"/>
  <c r="E67" i="38"/>
  <c r="H67" i="34"/>
  <c r="H38" i="34"/>
  <c r="D15" i="33"/>
  <c r="D72" i="33" s="1"/>
  <c r="D73" i="33" s="1"/>
  <c r="D75" i="33" s="1"/>
  <c r="D15" i="34"/>
  <c r="D15" i="35"/>
  <c r="I6" i="34"/>
  <c r="I63" i="34" s="1"/>
  <c r="H13" i="37"/>
  <c r="H40" i="37" s="1"/>
  <c r="H13" i="38"/>
  <c r="G62" i="38"/>
  <c r="G34" i="38"/>
  <c r="J7" i="39"/>
  <c r="J33" i="39"/>
  <c r="J61" i="39"/>
  <c r="I62" i="38"/>
  <c r="I34" i="38"/>
  <c r="E38" i="37"/>
  <c r="E66" i="37"/>
  <c r="D43" i="33"/>
  <c r="D44" i="33" s="1"/>
  <c r="D46" i="33" s="1"/>
  <c r="D48" i="33" s="1"/>
  <c r="D54" i="33" s="1"/>
  <c r="D43" i="34"/>
  <c r="D44" i="34" s="1"/>
  <c r="D46" i="34" s="1"/>
  <c r="D48" i="34" s="1"/>
  <c r="D54" i="34" s="1"/>
  <c r="D43" i="35"/>
  <c r="D44" i="35" s="1"/>
  <c r="D46" i="35" s="1"/>
  <c r="D48" i="35" s="1"/>
  <c r="D54" i="35" s="1"/>
  <c r="E13" i="37"/>
  <c r="E40" i="37" s="1"/>
  <c r="E13" i="38"/>
  <c r="T147" i="36"/>
  <c r="K6" i="37"/>
  <c r="J61" i="37"/>
  <c r="J7" i="37"/>
  <c r="J33" i="37"/>
  <c r="F11" i="38"/>
  <c r="F11" i="39"/>
  <c r="I154" i="36"/>
  <c r="F11" i="37"/>
  <c r="H61" i="38"/>
  <c r="H7" i="38"/>
  <c r="H33" i="38"/>
  <c r="C80" i="38"/>
  <c r="H67" i="35"/>
  <c r="H38" i="35"/>
  <c r="O157" i="32"/>
  <c r="J46" i="42"/>
  <c r="J77" i="42"/>
  <c r="J46" i="43"/>
  <c r="J77" i="43"/>
  <c r="K16" i="43"/>
  <c r="K16" i="42"/>
  <c r="H68" i="43"/>
  <c r="H37" i="43"/>
  <c r="H39" i="43" s="1"/>
  <c r="H68" i="42"/>
  <c r="H70" i="42" s="1"/>
  <c r="H37" i="42"/>
  <c r="H39" i="42" s="1"/>
  <c r="K14" i="43"/>
  <c r="E14" i="43"/>
  <c r="H14" i="43"/>
  <c r="E75" i="42"/>
  <c r="E44" i="42"/>
  <c r="X126" i="40"/>
  <c r="W127" i="40"/>
  <c r="K15" i="42"/>
  <c r="E15" i="42"/>
  <c r="H15" i="42"/>
  <c r="H75" i="42"/>
  <c r="H44" i="42"/>
  <c r="N159" i="40"/>
  <c r="K16" i="41"/>
  <c r="J46" i="41"/>
  <c r="J77" i="41"/>
  <c r="M129" i="40"/>
  <c r="N129" i="40" s="1"/>
  <c r="N128" i="40"/>
  <c r="D18" i="41"/>
  <c r="D20" i="41" s="1"/>
  <c r="D22" i="41" s="1"/>
  <c r="D28" i="41" s="1"/>
  <c r="F47" i="40"/>
  <c r="G42" i="40" s="1"/>
  <c r="D48" i="41"/>
  <c r="D50" i="41" s="1"/>
  <c r="D52" i="41" s="1"/>
  <c r="D58" i="41" s="1"/>
  <c r="D79" i="41"/>
  <c r="D81" i="41" s="1"/>
  <c r="D83" i="41" s="1"/>
  <c r="D89" i="41" s="1"/>
  <c r="L150" i="40"/>
  <c r="I8" i="41"/>
  <c r="E74" i="41"/>
  <c r="E43" i="41"/>
  <c r="I156" i="40"/>
  <c r="F13" i="41"/>
  <c r="L155" i="40"/>
  <c r="I12" i="41"/>
  <c r="H42" i="41"/>
  <c r="H73" i="41"/>
  <c r="H7" i="41"/>
  <c r="H9" i="41" s="1"/>
  <c r="G68" i="41"/>
  <c r="G37" i="41"/>
  <c r="G39" i="41" s="1"/>
  <c r="I76" i="41"/>
  <c r="I45" i="41"/>
  <c r="I36" i="41"/>
  <c r="I67" i="41"/>
  <c r="I44" i="41"/>
  <c r="I75" i="41"/>
  <c r="M11" i="40"/>
  <c r="J14" i="41"/>
  <c r="J15" i="41"/>
  <c r="R126" i="40"/>
  <c r="S125" i="40"/>
  <c r="F57" i="40"/>
  <c r="G52" i="40" s="1"/>
  <c r="F66" i="40"/>
  <c r="G61" i="40" s="1"/>
  <c r="F37" i="40"/>
  <c r="G72" i="36"/>
  <c r="F43" i="36"/>
  <c r="G61" i="36"/>
  <c r="F53" i="36"/>
  <c r="R131" i="36"/>
  <c r="S131" i="36" s="1"/>
  <c r="S130" i="36"/>
  <c r="H64" i="34"/>
  <c r="H35" i="34"/>
  <c r="H35" i="35"/>
  <c r="H64" i="35"/>
  <c r="Z149" i="32"/>
  <c r="V149" i="32"/>
  <c r="X149" i="32"/>
  <c r="G35" i="33"/>
  <c r="G64" i="33"/>
  <c r="H67" i="33"/>
  <c r="H38" i="33"/>
  <c r="H7" i="33"/>
  <c r="H34" i="33"/>
  <c r="H63" i="33"/>
  <c r="L18" i="32"/>
  <c r="J6" i="34" s="1"/>
  <c r="I10" i="33"/>
  <c r="I12" i="33"/>
  <c r="I13" i="33"/>
  <c r="I6" i="33"/>
  <c r="H11" i="33"/>
  <c r="K156" i="32"/>
  <c r="I11" i="35" s="1"/>
  <c r="G39" i="33"/>
  <c r="G68" i="33"/>
  <c r="J77" i="31"/>
  <c r="J44" i="31"/>
  <c r="H45" i="30"/>
  <c r="H78" i="30"/>
  <c r="L18" i="25"/>
  <c r="I17" i="31"/>
  <c r="I15" i="31"/>
  <c r="I14" i="31"/>
  <c r="I18" i="31"/>
  <c r="I15" i="30"/>
  <c r="I13" i="30"/>
  <c r="I6" i="30"/>
  <c r="I15" i="1"/>
  <c r="I16" i="1"/>
  <c r="I16" i="31"/>
  <c r="I13" i="31"/>
  <c r="I6" i="31"/>
  <c r="I14" i="30"/>
  <c r="I18" i="30"/>
  <c r="I17" i="30"/>
  <c r="I13" i="1"/>
  <c r="I16" i="30"/>
  <c r="I14" i="1"/>
  <c r="I17" i="1"/>
  <c r="K12" i="30"/>
  <c r="K12" i="1"/>
  <c r="K12" i="31"/>
  <c r="J44" i="1"/>
  <c r="J77" i="1"/>
  <c r="H83" i="30"/>
  <c r="H50" i="30"/>
  <c r="N130" i="32"/>
  <c r="J77" i="30"/>
  <c r="J44" i="30"/>
  <c r="H71" i="30"/>
  <c r="H38" i="30"/>
  <c r="H83" i="31"/>
  <c r="H50" i="31"/>
  <c r="I18" i="1"/>
  <c r="I50" i="1" s="1"/>
  <c r="M157" i="32"/>
  <c r="G157" i="32"/>
  <c r="E12" i="34" s="1"/>
  <c r="J157" i="32"/>
  <c r="H12" i="34" s="1"/>
  <c r="H71" i="31"/>
  <c r="H38" i="31"/>
  <c r="H78" i="1"/>
  <c r="H45" i="1"/>
  <c r="H78" i="31"/>
  <c r="H45" i="31"/>
  <c r="G61" i="32"/>
  <c r="L155" i="32"/>
  <c r="G70" i="32"/>
  <c r="M151" i="32"/>
  <c r="M150" i="32"/>
  <c r="O162" i="32"/>
  <c r="F44" i="32"/>
  <c r="G39" i="32" s="1"/>
  <c r="G41" i="32" s="1"/>
  <c r="F54" i="32"/>
  <c r="G49" i="32" s="1"/>
  <c r="G51" i="32" s="1"/>
  <c r="H79" i="1"/>
  <c r="H46" i="1"/>
  <c r="S156" i="25"/>
  <c r="G156" i="25"/>
  <c r="E15" i="1" s="1"/>
  <c r="AB156" i="25"/>
  <c r="V156" i="25"/>
  <c r="P156" i="25"/>
  <c r="J156" i="25"/>
  <c r="H15" i="1" s="1"/>
  <c r="Y156" i="25"/>
  <c r="M156" i="25"/>
  <c r="E46" i="1"/>
  <c r="E79" i="1"/>
  <c r="U152" i="25"/>
  <c r="I6" i="1"/>
  <c r="I38" i="1" s="1"/>
  <c r="T158" i="25"/>
  <c r="T155" i="25"/>
  <c r="S155" i="25"/>
  <c r="H71" i="1"/>
  <c r="H38" i="1"/>
  <c r="L161" i="25"/>
  <c r="L159" i="25"/>
  <c r="L145" i="25"/>
  <c r="L160" i="25"/>
  <c r="L146" i="25"/>
  <c r="L162" i="25"/>
  <c r="R133" i="25"/>
  <c r="S132" i="25"/>
  <c r="W133" i="25"/>
  <c r="X132" i="25"/>
  <c r="N134" i="25"/>
  <c r="M135" i="25"/>
  <c r="M72" i="25"/>
  <c r="M73" i="25" s="1"/>
  <c r="N68" i="25" s="1"/>
  <c r="N70" i="25" s="1"/>
  <c r="G63" i="25"/>
  <c r="J53" i="25"/>
  <c r="I70" i="14"/>
  <c r="I69" i="14"/>
  <c r="I67" i="14"/>
  <c r="J70" i="14"/>
  <c r="J69" i="14"/>
  <c r="J67" i="14"/>
  <c r="K70" i="14"/>
  <c r="K69" i="14"/>
  <c r="K67" i="14"/>
  <c r="I48" i="14"/>
  <c r="I49" i="14"/>
  <c r="I47" i="14"/>
  <c r="J48" i="14"/>
  <c r="J49" i="14"/>
  <c r="J47" i="14"/>
  <c r="K48" i="14"/>
  <c r="K49" i="14"/>
  <c r="K47" i="14"/>
  <c r="J8" i="43" l="1"/>
  <c r="J8" i="42"/>
  <c r="J67" i="37"/>
  <c r="J39" i="37"/>
  <c r="I31" i="47"/>
  <c r="I32" i="47" s="1"/>
  <c r="I7" i="47"/>
  <c r="I57" i="47"/>
  <c r="I58" i="47" s="1"/>
  <c r="J45" i="43"/>
  <c r="J76" i="43"/>
  <c r="I65" i="38"/>
  <c r="I37" i="38"/>
  <c r="F43" i="43"/>
  <c r="F74" i="43"/>
  <c r="D78" i="42"/>
  <c r="D79" i="42" s="1"/>
  <c r="D81" i="42" s="1"/>
  <c r="D83" i="42" s="1"/>
  <c r="D89" i="42" s="1"/>
  <c r="D18" i="42"/>
  <c r="D20" i="42" s="1"/>
  <c r="D22" i="42" s="1"/>
  <c r="D28" i="42" s="1"/>
  <c r="K61" i="48"/>
  <c r="K35" i="48"/>
  <c r="G13" i="43"/>
  <c r="G13" i="42"/>
  <c r="J11" i="47"/>
  <c r="J11" i="48"/>
  <c r="J6" i="48"/>
  <c r="J6" i="47"/>
  <c r="J10" i="47"/>
  <c r="J10" i="48"/>
  <c r="J68" i="37"/>
  <c r="J40" i="37"/>
  <c r="I36" i="47"/>
  <c r="I62" i="47"/>
  <c r="J36" i="43"/>
  <c r="J67" i="43"/>
  <c r="M153" i="36"/>
  <c r="J10" i="39"/>
  <c r="J10" i="38"/>
  <c r="J10" i="37"/>
  <c r="F43" i="42"/>
  <c r="F74" i="42"/>
  <c r="D78" i="43"/>
  <c r="D79" i="43" s="1"/>
  <c r="D81" i="43" s="1"/>
  <c r="D83" i="43" s="1"/>
  <c r="D89" i="43" s="1"/>
  <c r="D18" i="43"/>
  <c r="D20" i="43" s="1"/>
  <c r="D22" i="43" s="1"/>
  <c r="D28" i="43" s="1"/>
  <c r="D14" i="38"/>
  <c r="D14" i="37"/>
  <c r="D14" i="39"/>
  <c r="I65" i="39"/>
  <c r="I37" i="39"/>
  <c r="J40" i="38"/>
  <c r="J68" i="38"/>
  <c r="I36" i="48"/>
  <c r="I62" i="48"/>
  <c r="J67" i="42"/>
  <c r="J36" i="42"/>
  <c r="J9" i="42"/>
  <c r="I38" i="42"/>
  <c r="I69" i="42"/>
  <c r="I37" i="42"/>
  <c r="I68" i="42"/>
  <c r="I70" i="42" s="1"/>
  <c r="I9" i="42"/>
  <c r="N18" i="36"/>
  <c r="K12" i="37"/>
  <c r="K12" i="38"/>
  <c r="I73" i="43"/>
  <c r="I42" i="43"/>
  <c r="J18" i="1"/>
  <c r="J83" i="1" s="1"/>
  <c r="I83" i="1"/>
  <c r="D41" i="39"/>
  <c r="D42" i="39" s="1"/>
  <c r="D44" i="39" s="1"/>
  <c r="D41" i="37"/>
  <c r="D42" i="37" s="1"/>
  <c r="D44" i="37" s="1"/>
  <c r="D46" i="37" s="1"/>
  <c r="D52" i="37" s="1"/>
  <c r="D41" i="38"/>
  <c r="D42" i="38" s="1"/>
  <c r="D44" i="38" s="1"/>
  <c r="D46" i="38" s="1"/>
  <c r="K6" i="39"/>
  <c r="K13" i="38"/>
  <c r="J68" i="39"/>
  <c r="J40" i="39"/>
  <c r="I35" i="48"/>
  <c r="I61" i="48"/>
  <c r="J44" i="42"/>
  <c r="J75" i="42"/>
  <c r="D63" i="48"/>
  <c r="D64" i="48" s="1"/>
  <c r="D66" i="48" s="1"/>
  <c r="D68" i="48" s="1"/>
  <c r="D74" i="48" s="1"/>
  <c r="D13" i="48"/>
  <c r="D15" i="48" s="1"/>
  <c r="D17" i="48" s="1"/>
  <c r="D23" i="48" s="1"/>
  <c r="I38" i="43"/>
  <c r="I69" i="43"/>
  <c r="I68" i="43"/>
  <c r="I70" i="43" s="1"/>
  <c r="I37" i="43"/>
  <c r="I39" i="43" s="1"/>
  <c r="I9" i="43"/>
  <c r="J12" i="42"/>
  <c r="J12" i="43"/>
  <c r="J7" i="42"/>
  <c r="J7" i="43"/>
  <c r="J39" i="39"/>
  <c r="J67" i="39"/>
  <c r="I31" i="48"/>
  <c r="I32" i="48" s="1"/>
  <c r="I7" i="48"/>
  <c r="I57" i="48"/>
  <c r="I58" i="48" s="1"/>
  <c r="J45" i="42"/>
  <c r="J76" i="42"/>
  <c r="K35" i="47"/>
  <c r="K61" i="47"/>
  <c r="K14" i="42"/>
  <c r="K6" i="41"/>
  <c r="K6" i="42"/>
  <c r="K6" i="43"/>
  <c r="I38" i="41"/>
  <c r="I69" i="41"/>
  <c r="K6" i="38"/>
  <c r="K13" i="37"/>
  <c r="K68" i="37" s="1"/>
  <c r="J67" i="38"/>
  <c r="J39" i="38"/>
  <c r="I35" i="47"/>
  <c r="I61" i="47"/>
  <c r="J44" i="43"/>
  <c r="J75" i="43"/>
  <c r="D63" i="47"/>
  <c r="D64" i="47" s="1"/>
  <c r="D66" i="47" s="1"/>
  <c r="D68" i="47" s="1"/>
  <c r="D74" i="47" s="1"/>
  <c r="D13" i="47"/>
  <c r="D15" i="47" s="1"/>
  <c r="D17" i="47" s="1"/>
  <c r="D23" i="47" s="1"/>
  <c r="I65" i="37"/>
  <c r="I37" i="37"/>
  <c r="I73" i="42"/>
  <c r="I42" i="42"/>
  <c r="H62" i="47"/>
  <c r="H36" i="47"/>
  <c r="K36" i="47"/>
  <c r="K62" i="47"/>
  <c r="E36" i="47"/>
  <c r="E62" i="47"/>
  <c r="E62" i="48"/>
  <c r="E36" i="48"/>
  <c r="H36" i="48"/>
  <c r="H62" i="48"/>
  <c r="K36" i="48"/>
  <c r="K62" i="48"/>
  <c r="J11" i="46"/>
  <c r="J6" i="46"/>
  <c r="J10" i="46"/>
  <c r="I36" i="46"/>
  <c r="I62" i="46"/>
  <c r="I35" i="46"/>
  <c r="I61" i="46"/>
  <c r="D17" i="46"/>
  <c r="D23" i="46" s="1"/>
  <c r="I57" i="46"/>
  <c r="I58" i="46" s="1"/>
  <c r="I7" i="46"/>
  <c r="I31" i="46"/>
  <c r="I32" i="46" s="1"/>
  <c r="D68" i="46"/>
  <c r="D74" i="46" s="1"/>
  <c r="G60" i="45"/>
  <c r="G69" i="45"/>
  <c r="G48" i="45"/>
  <c r="G38" i="45"/>
  <c r="H13" i="39"/>
  <c r="K13" i="39"/>
  <c r="K67" i="39"/>
  <c r="H39" i="39"/>
  <c r="I7" i="35"/>
  <c r="I35" i="35" s="1"/>
  <c r="P67" i="42"/>
  <c r="P36" i="42"/>
  <c r="P67" i="43"/>
  <c r="P36" i="43"/>
  <c r="P36" i="41"/>
  <c r="P67" i="41"/>
  <c r="E13" i="39"/>
  <c r="AB156" i="36"/>
  <c r="D52" i="38"/>
  <c r="H71" i="34"/>
  <c r="H14" i="34"/>
  <c r="H42" i="34" s="1"/>
  <c r="J71" i="35"/>
  <c r="J42" i="35"/>
  <c r="I42" i="33"/>
  <c r="I71" i="33"/>
  <c r="M159" i="32"/>
  <c r="E68" i="37"/>
  <c r="AA155" i="36"/>
  <c r="AB155" i="36" s="1"/>
  <c r="Y155" i="36"/>
  <c r="H68" i="37"/>
  <c r="K40" i="37"/>
  <c r="D16" i="33"/>
  <c r="D18" i="33" s="1"/>
  <c r="D20" i="33" s="1"/>
  <c r="D26" i="33" s="1"/>
  <c r="I34" i="34"/>
  <c r="I34" i="35"/>
  <c r="I68" i="35"/>
  <c r="I39" i="35"/>
  <c r="H62" i="38"/>
  <c r="H34" i="38"/>
  <c r="F38" i="37"/>
  <c r="F66" i="37"/>
  <c r="J62" i="37"/>
  <c r="J34" i="37"/>
  <c r="K61" i="37"/>
  <c r="K7" i="37"/>
  <c r="K33" i="37"/>
  <c r="J62" i="39"/>
  <c r="J34" i="39"/>
  <c r="H68" i="38"/>
  <c r="H40" i="38"/>
  <c r="J62" i="38"/>
  <c r="J34" i="38"/>
  <c r="K68" i="38"/>
  <c r="K40" i="38"/>
  <c r="I40" i="34"/>
  <c r="I69" i="34"/>
  <c r="I38" i="35"/>
  <c r="I67" i="35"/>
  <c r="I7" i="34"/>
  <c r="I35" i="34" s="1"/>
  <c r="G11" i="39"/>
  <c r="G11" i="38"/>
  <c r="G11" i="37"/>
  <c r="J154" i="36"/>
  <c r="D72" i="35"/>
  <c r="D73" i="35" s="1"/>
  <c r="D75" i="35" s="1"/>
  <c r="D77" i="35" s="1"/>
  <c r="D83" i="35" s="1"/>
  <c r="D16" i="35"/>
  <c r="D18" i="35" s="1"/>
  <c r="D20" i="35" s="1"/>
  <c r="D26" i="35" s="1"/>
  <c r="D46" i="39"/>
  <c r="D52" i="39" s="1"/>
  <c r="I40" i="35"/>
  <c r="I69" i="35"/>
  <c r="I11" i="34"/>
  <c r="H34" i="39"/>
  <c r="H62" i="39"/>
  <c r="J10" i="35"/>
  <c r="J10" i="34"/>
  <c r="J13" i="34"/>
  <c r="J13" i="35"/>
  <c r="J12" i="34"/>
  <c r="J12" i="35"/>
  <c r="F66" i="39"/>
  <c r="F38" i="39"/>
  <c r="K61" i="39"/>
  <c r="K33" i="39"/>
  <c r="K7" i="39"/>
  <c r="W147" i="36"/>
  <c r="E68" i="38"/>
  <c r="E40" i="38"/>
  <c r="D72" i="34"/>
  <c r="D73" i="34" s="1"/>
  <c r="D75" i="34" s="1"/>
  <c r="D77" i="34" s="1"/>
  <c r="D83" i="34" s="1"/>
  <c r="D16" i="34"/>
  <c r="D18" i="34" s="1"/>
  <c r="D20" i="34" s="1"/>
  <c r="D26" i="34" s="1"/>
  <c r="H62" i="37"/>
  <c r="H34" i="37"/>
  <c r="I70" i="35"/>
  <c r="I41" i="35"/>
  <c r="H68" i="35"/>
  <c r="H39" i="35"/>
  <c r="U147" i="36"/>
  <c r="S147" i="36"/>
  <c r="J6" i="35"/>
  <c r="J7" i="35" s="1"/>
  <c r="F38" i="38"/>
  <c r="F66" i="38"/>
  <c r="K7" i="38"/>
  <c r="K33" i="38"/>
  <c r="K61" i="38"/>
  <c r="H40" i="39"/>
  <c r="H68" i="39"/>
  <c r="K40" i="39"/>
  <c r="K68" i="39"/>
  <c r="I70" i="34"/>
  <c r="I41" i="34"/>
  <c r="I67" i="34"/>
  <c r="I38" i="34"/>
  <c r="Q157" i="32"/>
  <c r="P157" i="32"/>
  <c r="K46" i="42"/>
  <c r="K77" i="42"/>
  <c r="L16" i="43"/>
  <c r="L16" i="42"/>
  <c r="K46" i="43"/>
  <c r="K77" i="43"/>
  <c r="S126" i="40"/>
  <c r="R127" i="40"/>
  <c r="H75" i="43"/>
  <c r="H44" i="43"/>
  <c r="E75" i="43"/>
  <c r="E44" i="43"/>
  <c r="K44" i="43"/>
  <c r="K75" i="43"/>
  <c r="K15" i="43"/>
  <c r="E15" i="43"/>
  <c r="H15" i="43"/>
  <c r="H76" i="42"/>
  <c r="H45" i="42"/>
  <c r="K45" i="42"/>
  <c r="K76" i="42"/>
  <c r="E76" i="42"/>
  <c r="E45" i="42"/>
  <c r="X127" i="40"/>
  <c r="W128" i="40"/>
  <c r="K46" i="41"/>
  <c r="K77" i="41"/>
  <c r="O159" i="40"/>
  <c r="M150" i="40"/>
  <c r="J8" i="41"/>
  <c r="F74" i="41"/>
  <c r="F43" i="41"/>
  <c r="J156" i="40"/>
  <c r="G13" i="41"/>
  <c r="G44" i="40"/>
  <c r="G45" i="40"/>
  <c r="G55" i="40" s="1"/>
  <c r="G64" i="40" s="1"/>
  <c r="I42" i="41"/>
  <c r="I73" i="41"/>
  <c r="M155" i="40"/>
  <c r="J12" i="41"/>
  <c r="G32" i="40"/>
  <c r="G34" i="40" s="1"/>
  <c r="H68" i="41"/>
  <c r="H70" i="41" s="1"/>
  <c r="H37" i="41"/>
  <c r="H39" i="41" s="1"/>
  <c r="M149" i="40"/>
  <c r="I7" i="41"/>
  <c r="I9" i="41" s="1"/>
  <c r="J36" i="41"/>
  <c r="J67" i="41"/>
  <c r="J44" i="41"/>
  <c r="J75" i="41"/>
  <c r="J45" i="41"/>
  <c r="J76" i="41"/>
  <c r="N11" i="40"/>
  <c r="K15" i="41"/>
  <c r="K14" i="41"/>
  <c r="G63" i="40"/>
  <c r="G54" i="40"/>
  <c r="F44" i="36"/>
  <c r="G39" i="36" s="1"/>
  <c r="G63" i="36"/>
  <c r="F54" i="36"/>
  <c r="G49" i="36" s="1"/>
  <c r="G73" i="36"/>
  <c r="H68" i="36" s="1"/>
  <c r="J63" i="34"/>
  <c r="J7" i="34"/>
  <c r="J34" i="34"/>
  <c r="I64" i="35"/>
  <c r="Y149" i="32"/>
  <c r="AA149" i="32"/>
  <c r="H12" i="33"/>
  <c r="H40" i="33" s="1"/>
  <c r="E12" i="33"/>
  <c r="E40" i="33" s="1"/>
  <c r="I7" i="33"/>
  <c r="I63" i="33"/>
  <c r="I34" i="33"/>
  <c r="M18" i="32"/>
  <c r="K6" i="35" s="1"/>
  <c r="J6" i="33"/>
  <c r="J10" i="33"/>
  <c r="J12" i="33"/>
  <c r="J13" i="33"/>
  <c r="I41" i="33"/>
  <c r="I70" i="33"/>
  <c r="I69" i="33"/>
  <c r="I40" i="33"/>
  <c r="I67" i="33"/>
  <c r="I38" i="33"/>
  <c r="H35" i="33"/>
  <c r="H64" i="33"/>
  <c r="I11" i="33"/>
  <c r="L156" i="32"/>
  <c r="J11" i="35" s="1"/>
  <c r="H39" i="33"/>
  <c r="H68" i="33"/>
  <c r="D77" i="33"/>
  <c r="D83" i="33" s="1"/>
  <c r="H51" i="30"/>
  <c r="H84" i="30" s="1"/>
  <c r="H51" i="31"/>
  <c r="H84" i="31" s="1"/>
  <c r="K44" i="31"/>
  <c r="K77" i="31"/>
  <c r="I79" i="1"/>
  <c r="I46" i="1"/>
  <c r="I83" i="30"/>
  <c r="I50" i="30"/>
  <c r="I81" i="31"/>
  <c r="I48" i="31"/>
  <c r="I78" i="30"/>
  <c r="I45" i="30"/>
  <c r="I47" i="31"/>
  <c r="I80" i="31"/>
  <c r="AB158" i="32"/>
  <c r="G158" i="32"/>
  <c r="E13" i="35" s="1"/>
  <c r="S158" i="32"/>
  <c r="J158" i="32"/>
  <c r="V158" i="32"/>
  <c r="M158" i="32"/>
  <c r="Y158" i="32"/>
  <c r="P158" i="32"/>
  <c r="K77" i="1"/>
  <c r="K44" i="1"/>
  <c r="I48" i="30"/>
  <c r="I81" i="30"/>
  <c r="I79" i="30"/>
  <c r="I46" i="30"/>
  <c r="I81" i="1"/>
  <c r="I48" i="1"/>
  <c r="I47" i="30"/>
  <c r="I80" i="30"/>
  <c r="I82" i="31"/>
  <c r="I49" i="31"/>
  <c r="K77" i="30"/>
  <c r="K44" i="30"/>
  <c r="I78" i="1"/>
  <c r="I45" i="1"/>
  <c r="I38" i="31"/>
  <c r="I71" i="31"/>
  <c r="I80" i="1"/>
  <c r="I47" i="1"/>
  <c r="I50" i="31"/>
  <c r="I83" i="31"/>
  <c r="M18" i="25"/>
  <c r="K14" i="30" s="1"/>
  <c r="J17" i="31"/>
  <c r="J18" i="31"/>
  <c r="J16" i="31"/>
  <c r="J13" i="31"/>
  <c r="J6" i="31"/>
  <c r="J14" i="30"/>
  <c r="J15" i="31"/>
  <c r="J14" i="31"/>
  <c r="J17" i="30"/>
  <c r="J15" i="1"/>
  <c r="J16" i="1"/>
  <c r="J13" i="1"/>
  <c r="J15" i="30"/>
  <c r="J13" i="30"/>
  <c r="J6" i="30"/>
  <c r="J16" i="30"/>
  <c r="J18" i="30"/>
  <c r="L12" i="31"/>
  <c r="J14" i="1"/>
  <c r="L12" i="1"/>
  <c r="J17" i="1"/>
  <c r="L12" i="30"/>
  <c r="I82" i="1"/>
  <c r="I49" i="1"/>
  <c r="I82" i="30"/>
  <c r="I49" i="30"/>
  <c r="I78" i="31"/>
  <c r="I45" i="31"/>
  <c r="I71" i="30"/>
  <c r="I38" i="30"/>
  <c r="I46" i="31"/>
  <c r="I79" i="31"/>
  <c r="S128" i="32"/>
  <c r="R129" i="32"/>
  <c r="P162" i="32"/>
  <c r="G72" i="32"/>
  <c r="M155" i="32"/>
  <c r="N150" i="32"/>
  <c r="N151" i="32"/>
  <c r="G63" i="32"/>
  <c r="Y157" i="25"/>
  <c r="S157" i="25"/>
  <c r="M157" i="25"/>
  <c r="G157" i="25"/>
  <c r="E16" i="1" s="1"/>
  <c r="AB157" i="25"/>
  <c r="V157" i="25"/>
  <c r="P157" i="25"/>
  <c r="J157" i="25"/>
  <c r="H16" i="1" s="1"/>
  <c r="H80" i="1"/>
  <c r="H47" i="1"/>
  <c r="E80" i="1"/>
  <c r="E47" i="1"/>
  <c r="H14" i="31"/>
  <c r="E14" i="31"/>
  <c r="H14" i="30"/>
  <c r="E14" i="30"/>
  <c r="I71" i="1"/>
  <c r="V152" i="25"/>
  <c r="W152" i="25"/>
  <c r="U158" i="25"/>
  <c r="U155" i="25"/>
  <c r="J6" i="1"/>
  <c r="M162" i="25"/>
  <c r="M160" i="25"/>
  <c r="M159" i="25"/>
  <c r="M146" i="25"/>
  <c r="M145" i="25"/>
  <c r="M161" i="25"/>
  <c r="J54" i="25"/>
  <c r="K49" i="25" s="1"/>
  <c r="K51" i="25" s="1"/>
  <c r="K53" i="25" s="1"/>
  <c r="H51" i="1"/>
  <c r="H84" i="1" s="1"/>
  <c r="W134" i="25"/>
  <c r="X133" i="25"/>
  <c r="N135" i="25"/>
  <c r="M136" i="25"/>
  <c r="R134" i="25"/>
  <c r="S133" i="25"/>
  <c r="G64" i="25"/>
  <c r="H59" i="25" s="1"/>
  <c r="H61" i="25" s="1"/>
  <c r="O18" i="36" l="1"/>
  <c r="L13" i="38"/>
  <c r="L13" i="37"/>
  <c r="L13" i="39"/>
  <c r="L12" i="37"/>
  <c r="L12" i="39"/>
  <c r="L12" i="38"/>
  <c r="L6" i="38"/>
  <c r="L6" i="39"/>
  <c r="L6" i="37"/>
  <c r="J65" i="38"/>
  <c r="J37" i="38"/>
  <c r="J7" i="47"/>
  <c r="J31" i="47"/>
  <c r="J32" i="47" s="1"/>
  <c r="J57" i="47"/>
  <c r="J58" i="47" s="1"/>
  <c r="J50" i="1"/>
  <c r="K14" i="33"/>
  <c r="K14" i="35" s="1"/>
  <c r="J65" i="39"/>
  <c r="J37" i="39"/>
  <c r="J31" i="48"/>
  <c r="J32" i="48" s="1"/>
  <c r="J57" i="48"/>
  <c r="J58" i="48" s="1"/>
  <c r="J7" i="48"/>
  <c r="K14" i="31"/>
  <c r="J38" i="41"/>
  <c r="J69" i="41"/>
  <c r="K36" i="43"/>
  <c r="K67" i="43"/>
  <c r="N153" i="36"/>
  <c r="K10" i="38"/>
  <c r="K10" i="37"/>
  <c r="K10" i="39"/>
  <c r="J36" i="48"/>
  <c r="J62" i="48"/>
  <c r="J38" i="42"/>
  <c r="J69" i="42"/>
  <c r="J42" i="42"/>
  <c r="J73" i="42"/>
  <c r="K8" i="43"/>
  <c r="K8" i="42"/>
  <c r="K67" i="42"/>
  <c r="K36" i="42"/>
  <c r="J37" i="43"/>
  <c r="J39" i="43" s="1"/>
  <c r="J68" i="43"/>
  <c r="D69" i="39"/>
  <c r="D70" i="39" s="1"/>
  <c r="D72" i="39" s="1"/>
  <c r="D74" i="39" s="1"/>
  <c r="D80" i="39" s="1"/>
  <c r="D15" i="39"/>
  <c r="D17" i="39" s="1"/>
  <c r="D19" i="39" s="1"/>
  <c r="D25" i="39" s="1"/>
  <c r="J9" i="43"/>
  <c r="J36" i="47"/>
  <c r="J62" i="47"/>
  <c r="J38" i="43"/>
  <c r="J69" i="43"/>
  <c r="L15" i="43"/>
  <c r="L15" i="42"/>
  <c r="L14" i="42"/>
  <c r="L14" i="43"/>
  <c r="L6" i="42"/>
  <c r="L6" i="43"/>
  <c r="L6" i="41"/>
  <c r="L16" i="41"/>
  <c r="J37" i="42"/>
  <c r="J39" i="42" s="1"/>
  <c r="J68" i="42"/>
  <c r="J70" i="42" s="1"/>
  <c r="K67" i="38"/>
  <c r="K39" i="38"/>
  <c r="I39" i="42"/>
  <c r="D69" i="37"/>
  <c r="D70" i="37" s="1"/>
  <c r="D72" i="37" s="1"/>
  <c r="D74" i="37" s="1"/>
  <c r="D80" i="37" s="1"/>
  <c r="D15" i="37"/>
  <c r="D17" i="37" s="1"/>
  <c r="D19" i="37" s="1"/>
  <c r="D25" i="37" s="1"/>
  <c r="J70" i="43"/>
  <c r="J61" i="48"/>
  <c r="J35" i="48"/>
  <c r="G43" i="43"/>
  <c r="G74" i="43"/>
  <c r="K16" i="1"/>
  <c r="K12" i="43"/>
  <c r="K12" i="42"/>
  <c r="H13" i="43"/>
  <c r="H13" i="42"/>
  <c r="K75" i="42"/>
  <c r="K44" i="42"/>
  <c r="J42" i="43"/>
  <c r="J73" i="43"/>
  <c r="K39" i="37"/>
  <c r="K67" i="37"/>
  <c r="D69" i="38"/>
  <c r="D70" i="38" s="1"/>
  <c r="D72" i="38" s="1"/>
  <c r="D74" i="38" s="1"/>
  <c r="D80" i="38" s="1"/>
  <c r="D15" i="38"/>
  <c r="D17" i="38" s="1"/>
  <c r="D19" i="38" s="1"/>
  <c r="D25" i="38" s="1"/>
  <c r="J65" i="37"/>
  <c r="J37" i="37"/>
  <c r="J61" i="47"/>
  <c r="J35" i="47"/>
  <c r="G43" i="42"/>
  <c r="G74" i="42"/>
  <c r="J62" i="46"/>
  <c r="J36" i="46"/>
  <c r="J35" i="46"/>
  <c r="J61" i="46"/>
  <c r="J7" i="46"/>
  <c r="J57" i="46"/>
  <c r="J58" i="46" s="1"/>
  <c r="J31" i="46"/>
  <c r="J32" i="46" s="1"/>
  <c r="G50" i="45"/>
  <c r="G61" i="45"/>
  <c r="H56" i="45" s="1"/>
  <c r="G40" i="45"/>
  <c r="G70" i="45"/>
  <c r="H65" i="45" s="1"/>
  <c r="E68" i="39"/>
  <c r="E40" i="39"/>
  <c r="AC156" i="36"/>
  <c r="K71" i="35"/>
  <c r="K42" i="35"/>
  <c r="I14" i="34"/>
  <c r="I42" i="34" s="1"/>
  <c r="I71" i="34"/>
  <c r="J71" i="33"/>
  <c r="J42" i="33"/>
  <c r="N159" i="32"/>
  <c r="J34" i="35"/>
  <c r="H69" i="33"/>
  <c r="E69" i="33"/>
  <c r="I64" i="34"/>
  <c r="J68" i="35"/>
  <c r="J39" i="35"/>
  <c r="J69" i="35"/>
  <c r="J40" i="35"/>
  <c r="J11" i="34"/>
  <c r="H11" i="39"/>
  <c r="H11" i="38"/>
  <c r="K154" i="36"/>
  <c r="H11" i="37"/>
  <c r="J63" i="35"/>
  <c r="J69" i="34"/>
  <c r="J40" i="34"/>
  <c r="J67" i="34"/>
  <c r="J38" i="34"/>
  <c r="G66" i="37"/>
  <c r="G38" i="37"/>
  <c r="K34" i="38"/>
  <c r="K62" i="38"/>
  <c r="K10" i="35"/>
  <c r="K10" i="34"/>
  <c r="K6" i="34"/>
  <c r="K34" i="34" s="1"/>
  <c r="K12" i="34"/>
  <c r="X147" i="36"/>
  <c r="V147" i="36"/>
  <c r="J41" i="35"/>
  <c r="J70" i="35"/>
  <c r="J67" i="35"/>
  <c r="J38" i="35"/>
  <c r="I68" i="34"/>
  <c r="I39" i="34"/>
  <c r="G66" i="38"/>
  <c r="G38" i="38"/>
  <c r="Z147" i="36"/>
  <c r="K62" i="39"/>
  <c r="K34" i="39"/>
  <c r="J41" i="34"/>
  <c r="J70" i="34"/>
  <c r="G66" i="39"/>
  <c r="G38" i="39"/>
  <c r="K62" i="37"/>
  <c r="K34" i="37"/>
  <c r="R157" i="32"/>
  <c r="L77" i="42"/>
  <c r="L46" i="42"/>
  <c r="L77" i="43"/>
  <c r="L46" i="43"/>
  <c r="K7" i="43"/>
  <c r="K7" i="42"/>
  <c r="K45" i="43"/>
  <c r="K76" i="43"/>
  <c r="H45" i="43"/>
  <c r="H76" i="43"/>
  <c r="R128" i="40"/>
  <c r="S127" i="40"/>
  <c r="E76" i="43"/>
  <c r="E45" i="43"/>
  <c r="W129" i="40"/>
  <c r="X129" i="40" s="1"/>
  <c r="X128" i="40"/>
  <c r="L46" i="41"/>
  <c r="L77" i="41"/>
  <c r="P159" i="40"/>
  <c r="N150" i="40"/>
  <c r="K8" i="41"/>
  <c r="G46" i="40"/>
  <c r="K156" i="40"/>
  <c r="H13" i="41"/>
  <c r="G74" i="41"/>
  <c r="G43" i="41"/>
  <c r="J73" i="41"/>
  <c r="J42" i="41"/>
  <c r="N155" i="40"/>
  <c r="K12" i="41"/>
  <c r="I68" i="41"/>
  <c r="I70" i="41" s="1"/>
  <c r="I37" i="41"/>
  <c r="I39" i="41" s="1"/>
  <c r="J7" i="41"/>
  <c r="J9" i="41" s="1"/>
  <c r="O11" i="40"/>
  <c r="M16" i="43" s="1"/>
  <c r="L15" i="41"/>
  <c r="L14" i="41"/>
  <c r="K75" i="41"/>
  <c r="K44" i="41"/>
  <c r="K36" i="41"/>
  <c r="K67" i="41"/>
  <c r="K45" i="41"/>
  <c r="K76" i="41"/>
  <c r="G56" i="40"/>
  <c r="G36" i="40"/>
  <c r="G65" i="40"/>
  <c r="G47" i="40"/>
  <c r="AC155" i="36"/>
  <c r="G64" i="36"/>
  <c r="H59" i="36" s="1"/>
  <c r="G51" i="36"/>
  <c r="G41" i="36"/>
  <c r="H70" i="36"/>
  <c r="J35" i="35"/>
  <c r="J64" i="35"/>
  <c r="J64" i="34"/>
  <c r="J35" i="34"/>
  <c r="K7" i="35"/>
  <c r="K34" i="35"/>
  <c r="K63" i="35"/>
  <c r="AB149" i="32"/>
  <c r="K13" i="34"/>
  <c r="E13" i="33"/>
  <c r="E70" i="33" s="1"/>
  <c r="E13" i="34"/>
  <c r="H13" i="33"/>
  <c r="H41" i="33" s="1"/>
  <c r="H13" i="34"/>
  <c r="E69" i="34"/>
  <c r="E40" i="34"/>
  <c r="H69" i="34"/>
  <c r="H40" i="34"/>
  <c r="J38" i="33"/>
  <c r="J67" i="33"/>
  <c r="J63" i="33"/>
  <c r="J34" i="33"/>
  <c r="J7" i="33"/>
  <c r="I35" i="33"/>
  <c r="I64" i="33"/>
  <c r="J41" i="33"/>
  <c r="J70" i="33"/>
  <c r="N18" i="32"/>
  <c r="K10" i="33"/>
  <c r="K12" i="33"/>
  <c r="K6" i="33"/>
  <c r="K13" i="33"/>
  <c r="J69" i="33"/>
  <c r="J40" i="33"/>
  <c r="J11" i="33"/>
  <c r="M156" i="32"/>
  <c r="K11" i="34" s="1"/>
  <c r="I68" i="33"/>
  <c r="I39" i="33"/>
  <c r="J50" i="30"/>
  <c r="J83" i="30"/>
  <c r="S129" i="32"/>
  <c r="R130" i="32"/>
  <c r="L44" i="1"/>
  <c r="L77" i="1"/>
  <c r="J81" i="30"/>
  <c r="J48" i="30"/>
  <c r="J78" i="1"/>
  <c r="J45" i="1"/>
  <c r="J46" i="31"/>
  <c r="J79" i="31"/>
  <c r="J78" i="31"/>
  <c r="J45" i="31"/>
  <c r="N18" i="25"/>
  <c r="K18" i="31"/>
  <c r="K13" i="31"/>
  <c r="K13" i="1"/>
  <c r="K18" i="30"/>
  <c r="K13" i="30"/>
  <c r="K6" i="31"/>
  <c r="K6" i="30"/>
  <c r="M12" i="31"/>
  <c r="M12" i="30"/>
  <c r="M12" i="1"/>
  <c r="K14" i="1"/>
  <c r="J80" i="30"/>
  <c r="J47" i="30"/>
  <c r="J82" i="30"/>
  <c r="J49" i="30"/>
  <c r="J49" i="31"/>
  <c r="J82" i="31"/>
  <c r="I51" i="30"/>
  <c r="I84" i="30" s="1"/>
  <c r="I51" i="31"/>
  <c r="I84" i="31" s="1"/>
  <c r="K18" i="1"/>
  <c r="K83" i="1" s="1"/>
  <c r="J79" i="1"/>
  <c r="J46" i="1"/>
  <c r="J71" i="30"/>
  <c r="J38" i="30"/>
  <c r="J81" i="1"/>
  <c r="J48" i="1"/>
  <c r="J80" i="31"/>
  <c r="J47" i="31"/>
  <c r="J81" i="31"/>
  <c r="J48" i="31"/>
  <c r="J49" i="1"/>
  <c r="J82" i="1"/>
  <c r="J71" i="31"/>
  <c r="J38" i="31"/>
  <c r="L44" i="30"/>
  <c r="L77" i="30"/>
  <c r="L77" i="31"/>
  <c r="L44" i="31"/>
  <c r="J78" i="30"/>
  <c r="J45" i="30"/>
  <c r="J80" i="1"/>
  <c r="J47" i="1"/>
  <c r="J79" i="30"/>
  <c r="J46" i="30"/>
  <c r="J50" i="31"/>
  <c r="J83" i="31"/>
  <c r="K15" i="1"/>
  <c r="O151" i="32"/>
  <c r="O150" i="32"/>
  <c r="G53" i="32"/>
  <c r="Q162" i="32"/>
  <c r="G73" i="32"/>
  <c r="H68" i="32" s="1"/>
  <c r="N155" i="32"/>
  <c r="G43" i="32"/>
  <c r="G64" i="32"/>
  <c r="H59" i="32" s="1"/>
  <c r="H81" i="1"/>
  <c r="H48" i="1"/>
  <c r="E81" i="1"/>
  <c r="E48" i="1"/>
  <c r="K81" i="1"/>
  <c r="K48" i="1"/>
  <c r="G158" i="25"/>
  <c r="E17" i="1" s="1"/>
  <c r="J158" i="25"/>
  <c r="H17" i="1" s="1"/>
  <c r="M158" i="25"/>
  <c r="K17" i="1" s="1"/>
  <c r="P158" i="25"/>
  <c r="S158" i="25"/>
  <c r="K15" i="31"/>
  <c r="E15" i="31"/>
  <c r="H15" i="31"/>
  <c r="E46" i="31"/>
  <c r="E79" i="31"/>
  <c r="H79" i="31"/>
  <c r="H46" i="31"/>
  <c r="K79" i="31"/>
  <c r="K46" i="31"/>
  <c r="H15" i="30"/>
  <c r="K15" i="30"/>
  <c r="E15" i="30"/>
  <c r="H79" i="30"/>
  <c r="H46" i="30"/>
  <c r="E79" i="30"/>
  <c r="E46" i="30"/>
  <c r="K79" i="30"/>
  <c r="K46" i="30"/>
  <c r="X152" i="25"/>
  <c r="W158" i="25"/>
  <c r="V158" i="25"/>
  <c r="V155" i="25"/>
  <c r="W155" i="25"/>
  <c r="K6" i="1"/>
  <c r="J71" i="1"/>
  <c r="J38" i="1"/>
  <c r="N161" i="25"/>
  <c r="N146" i="25"/>
  <c r="N160" i="25"/>
  <c r="N145" i="25"/>
  <c r="N159" i="25"/>
  <c r="N162" i="25"/>
  <c r="I51" i="1"/>
  <c r="N136" i="25"/>
  <c r="M137" i="25"/>
  <c r="R135" i="25"/>
  <c r="S134" i="25"/>
  <c r="W135" i="25"/>
  <c r="X134" i="25"/>
  <c r="N72" i="25"/>
  <c r="H63" i="25"/>
  <c r="K54" i="25"/>
  <c r="L49" i="25" s="1"/>
  <c r="L51" i="25" s="1"/>
  <c r="L53" i="25" s="1"/>
  <c r="H74" i="43" l="1"/>
  <c r="H43" i="43"/>
  <c r="O153" i="36"/>
  <c r="L10" i="39"/>
  <c r="L10" i="38"/>
  <c r="L10" i="37"/>
  <c r="L68" i="39"/>
  <c r="L40" i="39"/>
  <c r="K69" i="41"/>
  <c r="K38" i="41"/>
  <c r="K73" i="42"/>
  <c r="K42" i="42"/>
  <c r="L76" i="42"/>
  <c r="L45" i="42"/>
  <c r="K69" i="42"/>
  <c r="K38" i="42"/>
  <c r="L33" i="39"/>
  <c r="L7" i="39"/>
  <c r="L61" i="39"/>
  <c r="L68" i="37"/>
  <c r="L40" i="37"/>
  <c r="E17" i="41"/>
  <c r="E17" i="43"/>
  <c r="E17" i="42"/>
  <c r="L8" i="43"/>
  <c r="L8" i="42"/>
  <c r="M16" i="42"/>
  <c r="L14" i="33"/>
  <c r="L14" i="35" s="1"/>
  <c r="E12" i="46"/>
  <c r="E12" i="48"/>
  <c r="E12" i="47"/>
  <c r="K42" i="43"/>
  <c r="K73" i="43"/>
  <c r="L76" i="43"/>
  <c r="L45" i="43"/>
  <c r="K69" i="43"/>
  <c r="K38" i="43"/>
  <c r="L33" i="38"/>
  <c r="L61" i="38"/>
  <c r="L7" i="38"/>
  <c r="L40" i="38"/>
  <c r="L68" i="38"/>
  <c r="M16" i="41"/>
  <c r="L67" i="43"/>
  <c r="L9" i="43"/>
  <c r="L36" i="43"/>
  <c r="K65" i="39"/>
  <c r="K37" i="39"/>
  <c r="L67" i="38"/>
  <c r="L39" i="38"/>
  <c r="P18" i="36"/>
  <c r="M12" i="37"/>
  <c r="M13" i="39"/>
  <c r="M12" i="39"/>
  <c r="M13" i="38"/>
  <c r="M12" i="38"/>
  <c r="M13" i="37"/>
  <c r="M6" i="37"/>
  <c r="M6" i="39"/>
  <c r="M6" i="38"/>
  <c r="M15" i="43"/>
  <c r="M15" i="42"/>
  <c r="M14" i="43"/>
  <c r="M14" i="42"/>
  <c r="M6" i="42"/>
  <c r="M6" i="43"/>
  <c r="M6" i="41"/>
  <c r="E47" i="41"/>
  <c r="E48" i="41" s="1"/>
  <c r="E50" i="41" s="1"/>
  <c r="E52" i="41" s="1"/>
  <c r="E58" i="41" s="1"/>
  <c r="E47" i="43"/>
  <c r="E48" i="43" s="1"/>
  <c r="E50" i="43" s="1"/>
  <c r="E52" i="43" s="1"/>
  <c r="E58" i="43" s="1"/>
  <c r="E47" i="42"/>
  <c r="E48" i="42" s="1"/>
  <c r="E50" i="42" s="1"/>
  <c r="E52" i="42" s="1"/>
  <c r="E58" i="42" s="1"/>
  <c r="L44" i="42"/>
  <c r="L75" i="42"/>
  <c r="E37" i="46"/>
  <c r="E38" i="46" s="1"/>
  <c r="E40" i="46" s="1"/>
  <c r="E37" i="47"/>
  <c r="E38" i="47" s="1"/>
  <c r="E40" i="47" s="1"/>
  <c r="E37" i="48"/>
  <c r="E38" i="48" s="1"/>
  <c r="E40" i="48" s="1"/>
  <c r="L36" i="42"/>
  <c r="L67" i="42"/>
  <c r="K65" i="37"/>
  <c r="K37" i="37"/>
  <c r="L67" i="39"/>
  <c r="L39" i="39"/>
  <c r="L61" i="37"/>
  <c r="L33" i="37"/>
  <c r="L7" i="37"/>
  <c r="L12" i="43"/>
  <c r="L12" i="42"/>
  <c r="L7" i="43"/>
  <c r="L7" i="42"/>
  <c r="I13" i="43"/>
  <c r="I13" i="42"/>
  <c r="H74" i="42"/>
  <c r="H43" i="42"/>
  <c r="L44" i="43"/>
  <c r="L75" i="43"/>
  <c r="K65" i="38"/>
  <c r="K37" i="38"/>
  <c r="L67" i="37"/>
  <c r="L39" i="37"/>
  <c r="E42" i="46"/>
  <c r="E48" i="46" s="1"/>
  <c r="E63" i="46"/>
  <c r="E64" i="46" s="1"/>
  <c r="E66" i="46" s="1"/>
  <c r="E13" i="46"/>
  <c r="E15" i="46" s="1"/>
  <c r="H67" i="45"/>
  <c r="H58" i="45"/>
  <c r="G41" i="45"/>
  <c r="H36" i="45" s="1"/>
  <c r="G51" i="45"/>
  <c r="H46" i="45" s="1"/>
  <c r="L71" i="35"/>
  <c r="L42" i="35"/>
  <c r="J14" i="34"/>
  <c r="J42" i="34" s="1"/>
  <c r="J71" i="34"/>
  <c r="K42" i="33"/>
  <c r="K71" i="33"/>
  <c r="O159" i="32"/>
  <c r="M14" i="33" s="1"/>
  <c r="M14" i="35" s="1"/>
  <c r="R134" i="32"/>
  <c r="R131" i="32"/>
  <c r="K63" i="34"/>
  <c r="K7" i="34"/>
  <c r="K64" i="34" s="1"/>
  <c r="K11" i="35"/>
  <c r="K39" i="35" s="1"/>
  <c r="K68" i="34"/>
  <c r="K39" i="34"/>
  <c r="K68" i="35"/>
  <c r="H38" i="38"/>
  <c r="H66" i="38"/>
  <c r="L10" i="34"/>
  <c r="L10" i="35"/>
  <c r="L13" i="35"/>
  <c r="L13" i="34"/>
  <c r="L12" i="34"/>
  <c r="L12" i="35"/>
  <c r="L6" i="34"/>
  <c r="L34" i="34" s="1"/>
  <c r="AA147" i="36"/>
  <c r="Y147" i="36"/>
  <c r="K69" i="34"/>
  <c r="K40" i="34"/>
  <c r="K67" i="34"/>
  <c r="K38" i="34"/>
  <c r="H66" i="39"/>
  <c r="H38" i="39"/>
  <c r="E15" i="33"/>
  <c r="E72" i="33" s="1"/>
  <c r="E73" i="33" s="1"/>
  <c r="E75" i="33" s="1"/>
  <c r="E15" i="35"/>
  <c r="E72" i="35" s="1"/>
  <c r="E15" i="34"/>
  <c r="E72" i="34" s="1"/>
  <c r="E43" i="33"/>
  <c r="E43" i="35"/>
  <c r="E43" i="34"/>
  <c r="L6" i="35"/>
  <c r="L63" i="35" s="1"/>
  <c r="H66" i="37"/>
  <c r="H38" i="37"/>
  <c r="J39" i="34"/>
  <c r="J68" i="34"/>
  <c r="K67" i="35"/>
  <c r="K38" i="35"/>
  <c r="I11" i="38"/>
  <c r="I11" i="39"/>
  <c r="L154" i="36"/>
  <c r="I11" i="37"/>
  <c r="T157" i="32"/>
  <c r="S157" i="32"/>
  <c r="M77" i="42"/>
  <c r="M46" i="42"/>
  <c r="M77" i="43"/>
  <c r="M46" i="43"/>
  <c r="K37" i="43"/>
  <c r="K39" i="43" s="1"/>
  <c r="K68" i="43"/>
  <c r="K9" i="43"/>
  <c r="K37" i="42"/>
  <c r="K68" i="42"/>
  <c r="K70" i="42" s="1"/>
  <c r="K9" i="42"/>
  <c r="R129" i="40"/>
  <c r="S129" i="40" s="1"/>
  <c r="S128" i="40"/>
  <c r="M46" i="41"/>
  <c r="M77" i="41"/>
  <c r="Q159" i="40"/>
  <c r="O150" i="40"/>
  <c r="L8" i="41"/>
  <c r="E78" i="41"/>
  <c r="E79" i="41" s="1"/>
  <c r="E81" i="41" s="1"/>
  <c r="E83" i="41" s="1"/>
  <c r="E89" i="41" s="1"/>
  <c r="E18" i="41"/>
  <c r="E20" i="41" s="1"/>
  <c r="E22" i="41" s="1"/>
  <c r="E28" i="41" s="1"/>
  <c r="H74" i="41"/>
  <c r="H43" i="41"/>
  <c r="L156" i="40"/>
  <c r="I13" i="41"/>
  <c r="H42" i="40"/>
  <c r="O155" i="40"/>
  <c r="L12" i="41"/>
  <c r="K42" i="41"/>
  <c r="K73" i="41"/>
  <c r="K7" i="41"/>
  <c r="K9" i="41" s="1"/>
  <c r="J68" i="41"/>
  <c r="J70" i="41" s="1"/>
  <c r="J37" i="41"/>
  <c r="J39" i="41" s="1"/>
  <c r="P11" i="40"/>
  <c r="N16" i="43" s="1"/>
  <c r="M14" i="41"/>
  <c r="M15" i="41"/>
  <c r="L75" i="41"/>
  <c r="L44" i="41"/>
  <c r="L45" i="41"/>
  <c r="L76" i="41"/>
  <c r="L67" i="41"/>
  <c r="L36" i="41"/>
  <c r="G37" i="40"/>
  <c r="G66" i="40"/>
  <c r="H61" i="40" s="1"/>
  <c r="G57" i="40"/>
  <c r="H52" i="40" s="1"/>
  <c r="G53" i="36"/>
  <c r="H61" i="36"/>
  <c r="H72" i="36"/>
  <c r="G43" i="36"/>
  <c r="K35" i="35"/>
  <c r="K64" i="35"/>
  <c r="E41" i="33"/>
  <c r="H70" i="33"/>
  <c r="E70" i="34"/>
  <c r="E41" i="34"/>
  <c r="K41" i="34"/>
  <c r="K70" i="34"/>
  <c r="H70" i="34"/>
  <c r="H41" i="34"/>
  <c r="H12" i="35"/>
  <c r="K12" i="35"/>
  <c r="E12" i="35"/>
  <c r="K69" i="33"/>
  <c r="K40" i="33"/>
  <c r="K38" i="33"/>
  <c r="K67" i="33"/>
  <c r="J35" i="33"/>
  <c r="J64" i="33"/>
  <c r="K41" i="33"/>
  <c r="K70" i="33"/>
  <c r="O18" i="32"/>
  <c r="M6" i="34" s="1"/>
  <c r="L10" i="33"/>
  <c r="L6" i="33"/>
  <c r="L12" i="33"/>
  <c r="L13" i="33"/>
  <c r="K63" i="33"/>
  <c r="K7" i="33"/>
  <c r="K34" i="33"/>
  <c r="K11" i="33"/>
  <c r="N156" i="32"/>
  <c r="L11" i="34" s="1"/>
  <c r="J68" i="33"/>
  <c r="J39" i="33"/>
  <c r="K38" i="30"/>
  <c r="K71" i="30"/>
  <c r="K50" i="1"/>
  <c r="M77" i="1"/>
  <c r="M44" i="1"/>
  <c r="K71" i="31"/>
  <c r="K38" i="31"/>
  <c r="K45" i="31"/>
  <c r="K78" i="31"/>
  <c r="S130" i="32"/>
  <c r="H13" i="35" s="1"/>
  <c r="K47" i="1"/>
  <c r="K80" i="1"/>
  <c r="M44" i="30"/>
  <c r="M77" i="30"/>
  <c r="K78" i="30"/>
  <c r="K45" i="30"/>
  <c r="K83" i="31"/>
  <c r="K50" i="31"/>
  <c r="K46" i="1"/>
  <c r="K79" i="1"/>
  <c r="K45" i="1"/>
  <c r="K78" i="1"/>
  <c r="J51" i="31"/>
  <c r="J84" i="31" s="1"/>
  <c r="J51" i="30"/>
  <c r="J84" i="30" s="1"/>
  <c r="L18" i="1"/>
  <c r="L83" i="1" s="1"/>
  <c r="M77" i="31"/>
  <c r="M44" i="31"/>
  <c r="K83" i="30"/>
  <c r="K50" i="30"/>
  <c r="O18" i="25"/>
  <c r="L16" i="31"/>
  <c r="L15" i="31"/>
  <c r="L18" i="31"/>
  <c r="L13" i="31"/>
  <c r="L6" i="31"/>
  <c r="L17" i="31"/>
  <c r="L14" i="31"/>
  <c r="L18" i="30"/>
  <c r="L17" i="30"/>
  <c r="L16" i="30"/>
  <c r="L13" i="30"/>
  <c r="L13" i="1"/>
  <c r="L15" i="30"/>
  <c r="L6" i="30"/>
  <c r="L14" i="30"/>
  <c r="L15" i="1"/>
  <c r="L16" i="1"/>
  <c r="L17" i="1"/>
  <c r="L14" i="1"/>
  <c r="N12" i="1"/>
  <c r="N12" i="31"/>
  <c r="N12" i="30"/>
  <c r="R162" i="32"/>
  <c r="O155" i="32"/>
  <c r="P150" i="32"/>
  <c r="H70" i="32"/>
  <c r="G54" i="32"/>
  <c r="H49" i="32" s="1"/>
  <c r="H51" i="32" s="1"/>
  <c r="G44" i="32"/>
  <c r="H39" i="32" s="1"/>
  <c r="H41" i="32" s="1"/>
  <c r="X134" i="32"/>
  <c r="H61" i="32"/>
  <c r="P151" i="32"/>
  <c r="K49" i="1"/>
  <c r="K82" i="1"/>
  <c r="H82" i="1"/>
  <c r="H49" i="1"/>
  <c r="E49" i="1"/>
  <c r="E82" i="1"/>
  <c r="H16" i="31"/>
  <c r="K16" i="31"/>
  <c r="E16" i="31"/>
  <c r="H80" i="31"/>
  <c r="H47" i="31"/>
  <c r="E47" i="31"/>
  <c r="E80" i="31"/>
  <c r="K80" i="31"/>
  <c r="K47" i="31"/>
  <c r="H16" i="30"/>
  <c r="K16" i="30"/>
  <c r="E16" i="30"/>
  <c r="K47" i="30"/>
  <c r="K80" i="30"/>
  <c r="H80" i="30"/>
  <c r="H47" i="30"/>
  <c r="E47" i="30"/>
  <c r="E80" i="30"/>
  <c r="Z152" i="25"/>
  <c r="Y152" i="25"/>
  <c r="X158" i="25"/>
  <c r="L50" i="1"/>
  <c r="X155" i="25"/>
  <c r="L6" i="1"/>
  <c r="L38" i="1" s="1"/>
  <c r="K38" i="1"/>
  <c r="K71" i="1"/>
  <c r="O162" i="25"/>
  <c r="O146" i="25"/>
  <c r="O159" i="25"/>
  <c r="O145" i="25"/>
  <c r="O160" i="25"/>
  <c r="O161" i="25"/>
  <c r="J51" i="1"/>
  <c r="J84" i="1" s="1"/>
  <c r="I84" i="1"/>
  <c r="R136" i="25"/>
  <c r="S135" i="25"/>
  <c r="M138" i="25"/>
  <c r="N137" i="25"/>
  <c r="W136" i="25"/>
  <c r="X135" i="25"/>
  <c r="N73" i="25"/>
  <c r="O68" i="25" s="1"/>
  <c r="O70" i="25" s="1"/>
  <c r="H64" i="25"/>
  <c r="I59" i="25" s="1"/>
  <c r="I61" i="25" s="1"/>
  <c r="L54" i="25"/>
  <c r="M49" i="25" s="1"/>
  <c r="M51" i="25" s="1"/>
  <c r="M53" i="25" s="1"/>
  <c r="E69" i="14"/>
  <c r="N16" i="41" l="1"/>
  <c r="I74" i="42"/>
  <c r="I43" i="42"/>
  <c r="L62" i="37"/>
  <c r="L34" i="37"/>
  <c r="E42" i="48"/>
  <c r="E48" i="48" s="1"/>
  <c r="M76" i="42"/>
  <c r="M45" i="42"/>
  <c r="M68" i="37"/>
  <c r="M40" i="37"/>
  <c r="Q18" i="36"/>
  <c r="N12" i="37"/>
  <c r="N12" i="38"/>
  <c r="N12" i="39"/>
  <c r="N13" i="38"/>
  <c r="N13" i="37"/>
  <c r="N6" i="38"/>
  <c r="N6" i="37"/>
  <c r="N6" i="39"/>
  <c r="N13" i="39"/>
  <c r="L39" i="43"/>
  <c r="E78" i="42"/>
  <c r="E79" i="42" s="1"/>
  <c r="E81" i="42" s="1"/>
  <c r="E83" i="42" s="1"/>
  <c r="E89" i="42" s="1"/>
  <c r="E18" i="42"/>
  <c r="E20" i="42" s="1"/>
  <c r="E22" i="42" s="1"/>
  <c r="E28" i="42" s="1"/>
  <c r="L65" i="39"/>
  <c r="L37" i="39"/>
  <c r="E42" i="47"/>
  <c r="E48" i="47" s="1"/>
  <c r="M76" i="43"/>
  <c r="M45" i="43"/>
  <c r="M39" i="38"/>
  <c r="M67" i="38"/>
  <c r="L34" i="38"/>
  <c r="L62" i="38"/>
  <c r="E78" i="43"/>
  <c r="E79" i="43" s="1"/>
  <c r="E81" i="43" s="1"/>
  <c r="E83" i="43" s="1"/>
  <c r="E89" i="43" s="1"/>
  <c r="E18" i="43"/>
  <c r="E20" i="43" s="1"/>
  <c r="E22" i="43" s="1"/>
  <c r="E28" i="43" s="1"/>
  <c r="L62" i="39"/>
  <c r="L34" i="39"/>
  <c r="P153" i="36"/>
  <c r="M10" i="38"/>
  <c r="M10" i="39"/>
  <c r="M10" i="37"/>
  <c r="E14" i="39"/>
  <c r="E14" i="38"/>
  <c r="E14" i="37"/>
  <c r="M12" i="43"/>
  <c r="M12" i="42"/>
  <c r="M7" i="42"/>
  <c r="M7" i="43"/>
  <c r="L68" i="42"/>
  <c r="L70" i="42" s="1"/>
  <c r="L37" i="42"/>
  <c r="L39" i="42" s="1"/>
  <c r="M9" i="43"/>
  <c r="M67" i="43"/>
  <c r="M36" i="43"/>
  <c r="M68" i="38"/>
  <c r="M40" i="38"/>
  <c r="E63" i="47"/>
  <c r="E64" i="47" s="1"/>
  <c r="E66" i="47" s="1"/>
  <c r="E13" i="47"/>
  <c r="E15" i="47" s="1"/>
  <c r="I74" i="43"/>
  <c r="I43" i="43"/>
  <c r="L68" i="43"/>
  <c r="L70" i="43" s="1"/>
  <c r="L37" i="43"/>
  <c r="L9" i="42"/>
  <c r="M67" i="42"/>
  <c r="M9" i="42"/>
  <c r="M36" i="42"/>
  <c r="M61" i="38"/>
  <c r="M33" i="38"/>
  <c r="M7" i="38"/>
  <c r="M67" i="39"/>
  <c r="M39" i="39"/>
  <c r="E63" i="48"/>
  <c r="E64" i="48" s="1"/>
  <c r="E66" i="48" s="1"/>
  <c r="E13" i="48"/>
  <c r="E15" i="48" s="1"/>
  <c r="N6" i="43"/>
  <c r="N6" i="42"/>
  <c r="N14" i="42"/>
  <c r="N6" i="41"/>
  <c r="N14" i="43"/>
  <c r="N15" i="42"/>
  <c r="N15" i="43"/>
  <c r="M6" i="1"/>
  <c r="L69" i="41"/>
  <c r="L38" i="41"/>
  <c r="K39" i="42"/>
  <c r="L73" i="42"/>
  <c r="L42" i="42"/>
  <c r="M44" i="42"/>
  <c r="M75" i="42"/>
  <c r="M61" i="39"/>
  <c r="M7" i="39"/>
  <c r="M33" i="39"/>
  <c r="M68" i="39"/>
  <c r="M40" i="39"/>
  <c r="L69" i="42"/>
  <c r="L38" i="42"/>
  <c r="L65" i="37"/>
  <c r="L37" i="37"/>
  <c r="E41" i="37"/>
  <c r="E42" i="37" s="1"/>
  <c r="E44" i="37" s="1"/>
  <c r="E46" i="37" s="1"/>
  <c r="E52" i="37" s="1"/>
  <c r="E41" i="38"/>
  <c r="E42" i="38" s="1"/>
  <c r="E44" i="38" s="1"/>
  <c r="E46" i="38" s="1"/>
  <c r="E52" i="38" s="1"/>
  <c r="E41" i="39"/>
  <c r="E42" i="39" s="1"/>
  <c r="E44" i="39" s="1"/>
  <c r="E46" i="39" s="1"/>
  <c r="E52" i="39" s="1"/>
  <c r="J13" i="42"/>
  <c r="J13" i="43"/>
  <c r="M8" i="42"/>
  <c r="M8" i="43"/>
  <c r="N16" i="42"/>
  <c r="N46" i="42" s="1"/>
  <c r="K70" i="43"/>
  <c r="L73" i="43"/>
  <c r="L42" i="43"/>
  <c r="M44" i="43"/>
  <c r="M75" i="43"/>
  <c r="M61" i="37"/>
  <c r="M33" i="37"/>
  <c r="M7" i="37"/>
  <c r="M67" i="37"/>
  <c r="M39" i="37"/>
  <c r="L69" i="43"/>
  <c r="L38" i="43"/>
  <c r="L65" i="38"/>
  <c r="L37" i="38"/>
  <c r="E17" i="46"/>
  <c r="E23" i="46" s="1"/>
  <c r="E68" i="46"/>
  <c r="E74" i="46" s="1"/>
  <c r="H48" i="45"/>
  <c r="H60" i="45"/>
  <c r="H61" i="45" s="1"/>
  <c r="I56" i="45" s="1"/>
  <c r="H38" i="45"/>
  <c r="H69" i="45"/>
  <c r="H70" i="45" s="1"/>
  <c r="I65" i="45" s="1"/>
  <c r="M42" i="35"/>
  <c r="M71" i="35"/>
  <c r="K71" i="34"/>
  <c r="K14" i="34"/>
  <c r="K42" i="34" s="1"/>
  <c r="L71" i="33"/>
  <c r="L42" i="33"/>
  <c r="P159" i="32"/>
  <c r="K35" i="34"/>
  <c r="S131" i="32"/>
  <c r="R132" i="32"/>
  <c r="E16" i="33"/>
  <c r="E18" i="33" s="1"/>
  <c r="E20" i="33" s="1"/>
  <c r="E26" i="33" s="1"/>
  <c r="L7" i="34"/>
  <c r="L64" i="34" s="1"/>
  <c r="E44" i="33"/>
  <c r="E46" i="33" s="1"/>
  <c r="E48" i="33" s="1"/>
  <c r="E54" i="33" s="1"/>
  <c r="L63" i="34"/>
  <c r="E73" i="34"/>
  <c r="E75" i="34" s="1"/>
  <c r="E77" i="34" s="1"/>
  <c r="E83" i="34" s="1"/>
  <c r="E44" i="34"/>
  <c r="E46" i="34" s="1"/>
  <c r="E48" i="34" s="1"/>
  <c r="E54" i="34" s="1"/>
  <c r="L7" i="35"/>
  <c r="L35" i="35" s="1"/>
  <c r="E16" i="34"/>
  <c r="E18" i="34" s="1"/>
  <c r="E20" i="34" s="1"/>
  <c r="E26" i="34" s="1"/>
  <c r="L34" i="35"/>
  <c r="L39" i="34"/>
  <c r="L68" i="34"/>
  <c r="I66" i="38"/>
  <c r="I38" i="38"/>
  <c r="L40" i="35"/>
  <c r="L69" i="35"/>
  <c r="L67" i="35"/>
  <c r="L38" i="35"/>
  <c r="I38" i="37"/>
  <c r="I66" i="37"/>
  <c r="AB147" i="36"/>
  <c r="L40" i="34"/>
  <c r="L69" i="34"/>
  <c r="L11" i="35"/>
  <c r="J11" i="38"/>
  <c r="J11" i="39"/>
  <c r="J11" i="37"/>
  <c r="M154" i="36"/>
  <c r="L41" i="34"/>
  <c r="L70" i="34"/>
  <c r="L67" i="34"/>
  <c r="L38" i="34"/>
  <c r="M10" i="34"/>
  <c r="M10" i="35"/>
  <c r="M13" i="34"/>
  <c r="M13" i="35"/>
  <c r="M12" i="34"/>
  <c r="M12" i="35"/>
  <c r="M6" i="35"/>
  <c r="M63" i="35" s="1"/>
  <c r="I66" i="39"/>
  <c r="I38" i="39"/>
  <c r="L70" i="35"/>
  <c r="L41" i="35"/>
  <c r="U157" i="32"/>
  <c r="O16" i="43"/>
  <c r="O16" i="42"/>
  <c r="N77" i="43"/>
  <c r="N46" i="43"/>
  <c r="N46" i="41"/>
  <c r="N77" i="41"/>
  <c r="R159" i="40"/>
  <c r="O16" i="41"/>
  <c r="P150" i="40"/>
  <c r="M8" i="41"/>
  <c r="I74" i="41"/>
  <c r="I43" i="41"/>
  <c r="M156" i="40"/>
  <c r="J13" i="41"/>
  <c r="H44" i="40"/>
  <c r="H45" i="40"/>
  <c r="L73" i="41"/>
  <c r="L42" i="41"/>
  <c r="P155" i="40"/>
  <c r="M12" i="41"/>
  <c r="H32" i="40"/>
  <c r="K68" i="41"/>
  <c r="K70" i="41" s="1"/>
  <c r="K37" i="41"/>
  <c r="K39" i="41" s="1"/>
  <c r="P149" i="40"/>
  <c r="L7" i="41"/>
  <c r="L9" i="41" s="1"/>
  <c r="M67" i="41"/>
  <c r="M36" i="41"/>
  <c r="M75" i="41"/>
  <c r="M44" i="41"/>
  <c r="Q11" i="40"/>
  <c r="N14" i="41"/>
  <c r="N15" i="41"/>
  <c r="M45" i="41"/>
  <c r="M76" i="41"/>
  <c r="H54" i="40"/>
  <c r="H63" i="40"/>
  <c r="H63" i="36"/>
  <c r="H64" i="36" s="1"/>
  <c r="I59" i="36" s="1"/>
  <c r="G44" i="36"/>
  <c r="H39" i="36" s="1"/>
  <c r="H73" i="36"/>
  <c r="I68" i="36" s="1"/>
  <c r="G54" i="36"/>
  <c r="H49" i="36" s="1"/>
  <c r="M34" i="34"/>
  <c r="M63" i="34"/>
  <c r="M7" i="34"/>
  <c r="K13" i="35"/>
  <c r="E69" i="35"/>
  <c r="E40" i="35"/>
  <c r="H69" i="35"/>
  <c r="H40" i="35"/>
  <c r="K69" i="35"/>
  <c r="K40" i="35"/>
  <c r="L63" i="33"/>
  <c r="L7" i="33"/>
  <c r="L34" i="33"/>
  <c r="L38" i="33"/>
  <c r="L67" i="33"/>
  <c r="L40" i="33"/>
  <c r="L69" i="33"/>
  <c r="K35" i="33"/>
  <c r="K64" i="33"/>
  <c r="L70" i="33"/>
  <c r="L41" i="33"/>
  <c r="P18" i="32"/>
  <c r="N13" i="35" s="1"/>
  <c r="M10" i="33"/>
  <c r="M12" i="33"/>
  <c r="M13" i="33"/>
  <c r="M6" i="33"/>
  <c r="L11" i="33"/>
  <c r="O156" i="32"/>
  <c r="M11" i="34" s="1"/>
  <c r="K68" i="33"/>
  <c r="K39" i="33"/>
  <c r="E77" i="33"/>
  <c r="E83" i="33" s="1"/>
  <c r="N44" i="30"/>
  <c r="N77" i="30"/>
  <c r="L82" i="31"/>
  <c r="L49" i="31"/>
  <c r="K51" i="31"/>
  <c r="K84" i="31" s="1"/>
  <c r="K51" i="30"/>
  <c r="K84" i="30" s="1"/>
  <c r="M18" i="1"/>
  <c r="M50" i="1" s="1"/>
  <c r="N77" i="31"/>
  <c r="N44" i="31"/>
  <c r="L81" i="1"/>
  <c r="L48" i="1"/>
  <c r="L80" i="30"/>
  <c r="L47" i="30"/>
  <c r="L82" i="30"/>
  <c r="L49" i="30"/>
  <c r="L71" i="31"/>
  <c r="L38" i="31"/>
  <c r="L48" i="31"/>
  <c r="L81" i="31"/>
  <c r="L71" i="30"/>
  <c r="L38" i="30"/>
  <c r="L80" i="31"/>
  <c r="L47" i="31"/>
  <c r="N77" i="1"/>
  <c r="N44" i="1"/>
  <c r="L47" i="1"/>
  <c r="L80" i="1"/>
  <c r="L78" i="1"/>
  <c r="L45" i="1"/>
  <c r="L83" i="30"/>
  <c r="L50" i="30"/>
  <c r="L45" i="31"/>
  <c r="L78" i="31"/>
  <c r="P18" i="25"/>
  <c r="N17" i="31" s="1"/>
  <c r="M15" i="31"/>
  <c r="M6" i="31"/>
  <c r="M17" i="31"/>
  <c r="M14" i="31"/>
  <c r="M16" i="31"/>
  <c r="M16" i="30"/>
  <c r="M13" i="30"/>
  <c r="M15" i="30"/>
  <c r="M6" i="30"/>
  <c r="M17" i="30"/>
  <c r="M16" i="1"/>
  <c r="M13" i="1"/>
  <c r="M18" i="31"/>
  <c r="M13" i="31"/>
  <c r="M18" i="30"/>
  <c r="M14" i="30"/>
  <c r="M15" i="1"/>
  <c r="O12" i="30"/>
  <c r="O12" i="31"/>
  <c r="O12" i="1"/>
  <c r="M17" i="1"/>
  <c r="M14" i="1"/>
  <c r="L82" i="1"/>
  <c r="L49" i="1"/>
  <c r="L81" i="30"/>
  <c r="L48" i="30"/>
  <c r="L79" i="1"/>
  <c r="L46" i="1"/>
  <c r="L79" i="30"/>
  <c r="L46" i="30"/>
  <c r="L78" i="30"/>
  <c r="L45" i="30"/>
  <c r="L79" i="31"/>
  <c r="L46" i="31"/>
  <c r="L83" i="31"/>
  <c r="L50" i="31"/>
  <c r="Q150" i="32"/>
  <c r="S162" i="32"/>
  <c r="Q151" i="32"/>
  <c r="P155" i="32"/>
  <c r="H63" i="32"/>
  <c r="H64" i="32" s="1"/>
  <c r="I59" i="32" s="1"/>
  <c r="H72" i="32"/>
  <c r="H73" i="32" s="1"/>
  <c r="I68" i="32" s="1"/>
  <c r="K17" i="31"/>
  <c r="H17" i="31"/>
  <c r="E17" i="31"/>
  <c r="E48" i="31"/>
  <c r="E81" i="31"/>
  <c r="K48" i="31"/>
  <c r="K81" i="31"/>
  <c r="H48" i="31"/>
  <c r="H81" i="31"/>
  <c r="N17" i="30"/>
  <c r="E17" i="30"/>
  <c r="K17" i="30"/>
  <c r="H17" i="30"/>
  <c r="E81" i="30"/>
  <c r="E48" i="30"/>
  <c r="K81" i="30"/>
  <c r="K48" i="30"/>
  <c r="H81" i="30"/>
  <c r="H48" i="30"/>
  <c r="L71" i="1"/>
  <c r="AA152" i="25"/>
  <c r="Z158" i="25"/>
  <c r="Y158" i="25"/>
  <c r="M83" i="1"/>
  <c r="Z155" i="25"/>
  <c r="Y155" i="25"/>
  <c r="M38" i="1"/>
  <c r="M71" i="1"/>
  <c r="P161" i="25"/>
  <c r="P146" i="25"/>
  <c r="P145" i="25"/>
  <c r="P160" i="25"/>
  <c r="P159" i="25"/>
  <c r="P162" i="25"/>
  <c r="K51" i="1"/>
  <c r="K84" i="1" s="1"/>
  <c r="N138" i="25"/>
  <c r="M139" i="25"/>
  <c r="N139" i="25" s="1"/>
  <c r="W137" i="25"/>
  <c r="X136" i="25"/>
  <c r="R137" i="25"/>
  <c r="S136" i="25"/>
  <c r="I63" i="25"/>
  <c r="M54" i="25"/>
  <c r="N49" i="25" s="1"/>
  <c r="N51" i="25" s="1"/>
  <c r="N53" i="25" s="1"/>
  <c r="G70" i="14"/>
  <c r="H69" i="14"/>
  <c r="D47" i="14"/>
  <c r="G47" i="14"/>
  <c r="D70" i="14"/>
  <c r="G48" i="14"/>
  <c r="G67" i="14"/>
  <c r="D67" i="14"/>
  <c r="D48" i="14"/>
  <c r="H67" i="14"/>
  <c r="E67" i="14"/>
  <c r="E70" i="14"/>
  <c r="H70" i="14"/>
  <c r="E47" i="14"/>
  <c r="H47" i="14"/>
  <c r="E17" i="47" l="1"/>
  <c r="E23" i="47" s="1"/>
  <c r="M70" i="43"/>
  <c r="N8" i="43"/>
  <c r="N8" i="42"/>
  <c r="N75" i="42"/>
  <c r="N44" i="42"/>
  <c r="E68" i="47"/>
  <c r="E74" i="47" s="1"/>
  <c r="M65" i="38"/>
  <c r="M37" i="38"/>
  <c r="N68" i="38"/>
  <c r="N40" i="38"/>
  <c r="M34" i="37"/>
  <c r="M62" i="37"/>
  <c r="M69" i="43"/>
  <c r="M38" i="43"/>
  <c r="N67" i="42"/>
  <c r="N36" i="42"/>
  <c r="M62" i="38"/>
  <c r="M34" i="38"/>
  <c r="E69" i="37"/>
  <c r="E70" i="37" s="1"/>
  <c r="E72" i="37" s="1"/>
  <c r="E74" i="37" s="1"/>
  <c r="E80" i="37" s="1"/>
  <c r="E15" i="37"/>
  <c r="E17" i="37" s="1"/>
  <c r="E19" i="37" s="1"/>
  <c r="E25" i="37" s="1"/>
  <c r="Q153" i="36"/>
  <c r="N10" i="39"/>
  <c r="N10" i="38"/>
  <c r="N10" i="37"/>
  <c r="N40" i="39"/>
  <c r="N68" i="39"/>
  <c r="N67" i="39"/>
  <c r="N39" i="39"/>
  <c r="M65" i="39"/>
  <c r="M37" i="39"/>
  <c r="N40" i="37"/>
  <c r="N68" i="37"/>
  <c r="N12" i="43"/>
  <c r="N12" i="42"/>
  <c r="K13" i="43"/>
  <c r="K13" i="42"/>
  <c r="M69" i="42"/>
  <c r="M38" i="42"/>
  <c r="N76" i="43"/>
  <c r="N45" i="43"/>
  <c r="N36" i="43"/>
  <c r="N67" i="43"/>
  <c r="M68" i="43"/>
  <c r="M37" i="43"/>
  <c r="E69" i="38"/>
  <c r="E70" i="38" s="1"/>
  <c r="E72" i="38" s="1"/>
  <c r="E74" i="38" s="1"/>
  <c r="E80" i="38" s="1"/>
  <c r="E15" i="38"/>
  <c r="E17" i="38" s="1"/>
  <c r="E19" i="38" s="1"/>
  <c r="E25" i="38" s="1"/>
  <c r="N7" i="39"/>
  <c r="N61" i="39"/>
  <c r="N33" i="39"/>
  <c r="N67" i="38"/>
  <c r="N39" i="38"/>
  <c r="M69" i="41"/>
  <c r="M38" i="41"/>
  <c r="M73" i="43"/>
  <c r="M42" i="43"/>
  <c r="O15" i="43"/>
  <c r="O15" i="42"/>
  <c r="O14" i="42"/>
  <c r="O14" i="43"/>
  <c r="O6" i="42"/>
  <c r="O6" i="43"/>
  <c r="O6" i="41"/>
  <c r="N77" i="42"/>
  <c r="J43" i="43"/>
  <c r="J74" i="43"/>
  <c r="N45" i="42"/>
  <c r="N76" i="42"/>
  <c r="E17" i="48"/>
  <c r="E23" i="48" s="1"/>
  <c r="M37" i="42"/>
  <c r="M68" i="42"/>
  <c r="M70" i="42" s="1"/>
  <c r="E69" i="39"/>
  <c r="E70" i="39" s="1"/>
  <c r="E72" i="39" s="1"/>
  <c r="E74" i="39" s="1"/>
  <c r="E80" i="39" s="1"/>
  <c r="E15" i="39"/>
  <c r="E17" i="39" s="1"/>
  <c r="E19" i="39" s="1"/>
  <c r="E25" i="39" s="1"/>
  <c r="N33" i="37"/>
  <c r="N7" i="37"/>
  <c r="N61" i="37"/>
  <c r="N39" i="37"/>
  <c r="N67" i="37"/>
  <c r="N14" i="33"/>
  <c r="N14" i="35" s="1"/>
  <c r="J43" i="42"/>
  <c r="J74" i="42"/>
  <c r="M34" i="39"/>
  <c r="M62" i="39"/>
  <c r="N44" i="43"/>
  <c r="N75" i="43"/>
  <c r="E68" i="48"/>
  <c r="E74" i="48" s="1"/>
  <c r="M39" i="42"/>
  <c r="M39" i="43"/>
  <c r="M73" i="42"/>
  <c r="M42" i="42"/>
  <c r="M65" i="37"/>
  <c r="M37" i="37"/>
  <c r="N7" i="38"/>
  <c r="N33" i="38"/>
  <c r="N61" i="38"/>
  <c r="R18" i="36"/>
  <c r="O13" i="38"/>
  <c r="O13" i="37"/>
  <c r="O13" i="39"/>
  <c r="O12" i="39"/>
  <c r="O12" i="38"/>
  <c r="O12" i="37"/>
  <c r="O6" i="38"/>
  <c r="O6" i="37"/>
  <c r="O6" i="39"/>
  <c r="I67" i="45"/>
  <c r="I58" i="45"/>
  <c r="H50" i="45"/>
  <c r="H40" i="45"/>
  <c r="L64" i="35"/>
  <c r="N71" i="35"/>
  <c r="N42" i="35"/>
  <c r="L71" i="34"/>
  <c r="L14" i="34"/>
  <c r="L42" i="34" s="1"/>
  <c r="L35" i="34"/>
  <c r="Q159" i="32"/>
  <c r="M42" i="33"/>
  <c r="M71" i="33"/>
  <c r="R133" i="32"/>
  <c r="S133" i="32" s="1"/>
  <c r="S132" i="32"/>
  <c r="M39" i="34"/>
  <c r="M68" i="34"/>
  <c r="M7" i="35"/>
  <c r="M64" i="35" s="1"/>
  <c r="M70" i="35"/>
  <c r="M41" i="35"/>
  <c r="M11" i="35"/>
  <c r="K11" i="39"/>
  <c r="K11" i="38"/>
  <c r="N154" i="36"/>
  <c r="K11" i="37"/>
  <c r="M34" i="35"/>
  <c r="M41" i="34"/>
  <c r="M70" i="34"/>
  <c r="M67" i="34"/>
  <c r="M38" i="34"/>
  <c r="J38" i="37"/>
  <c r="J66" i="37"/>
  <c r="N10" i="35"/>
  <c r="N10" i="34"/>
  <c r="N6" i="34"/>
  <c r="N34" i="34" s="1"/>
  <c r="N12" i="34"/>
  <c r="N13" i="34"/>
  <c r="N12" i="35"/>
  <c r="M40" i="35"/>
  <c r="M69" i="35"/>
  <c r="J38" i="39"/>
  <c r="J66" i="39"/>
  <c r="AC147" i="36"/>
  <c r="N6" i="35"/>
  <c r="N7" i="35" s="1"/>
  <c r="M40" i="34"/>
  <c r="M69" i="34"/>
  <c r="M38" i="35"/>
  <c r="M67" i="35"/>
  <c r="J66" i="38"/>
  <c r="J38" i="38"/>
  <c r="L39" i="35"/>
  <c r="L68" i="35"/>
  <c r="W157" i="32"/>
  <c r="V157" i="32"/>
  <c r="O46" i="42"/>
  <c r="O77" i="42"/>
  <c r="P16" i="41"/>
  <c r="P46" i="41" s="1"/>
  <c r="P16" i="43"/>
  <c r="P16" i="42"/>
  <c r="O46" i="43"/>
  <c r="O77" i="43"/>
  <c r="N7" i="42"/>
  <c r="N7" i="43"/>
  <c r="O46" i="41"/>
  <c r="O77" i="41"/>
  <c r="Q150" i="40"/>
  <c r="N8" i="41"/>
  <c r="H46" i="40"/>
  <c r="J43" i="41"/>
  <c r="J74" i="41"/>
  <c r="N156" i="40"/>
  <c r="K13" i="41"/>
  <c r="H55" i="40"/>
  <c r="H56" i="40" s="1"/>
  <c r="H57" i="40" s="1"/>
  <c r="I52" i="40" s="1"/>
  <c r="H34" i="40"/>
  <c r="Q155" i="40"/>
  <c r="N12" i="41"/>
  <c r="M73" i="41"/>
  <c r="M42" i="41"/>
  <c r="M7" i="41"/>
  <c r="M9" i="41" s="1"/>
  <c r="L68" i="41"/>
  <c r="L70" i="41" s="1"/>
  <c r="L37" i="41"/>
  <c r="L39" i="41" s="1"/>
  <c r="N75" i="41"/>
  <c r="N44" i="41"/>
  <c r="N67" i="41"/>
  <c r="N36" i="41"/>
  <c r="O15" i="41"/>
  <c r="O14" i="41"/>
  <c r="N76" i="41"/>
  <c r="N45" i="41"/>
  <c r="H41" i="36"/>
  <c r="I70" i="36"/>
  <c r="H51" i="36"/>
  <c r="I61" i="36"/>
  <c r="M35" i="34"/>
  <c r="M64" i="34"/>
  <c r="N41" i="35"/>
  <c r="N70" i="35"/>
  <c r="E41" i="35"/>
  <c r="E44" i="35" s="1"/>
  <c r="E46" i="35" s="1"/>
  <c r="E70" i="35"/>
  <c r="E73" i="35" s="1"/>
  <c r="E75" i="35" s="1"/>
  <c r="K70" i="35"/>
  <c r="K41" i="35"/>
  <c r="E16" i="35"/>
  <c r="E18" i="35" s="1"/>
  <c r="E20" i="35" s="1"/>
  <c r="E26" i="35" s="1"/>
  <c r="H70" i="35"/>
  <c r="H41" i="35"/>
  <c r="M70" i="33"/>
  <c r="M41" i="33"/>
  <c r="M69" i="33"/>
  <c r="M40" i="33"/>
  <c r="L35" i="33"/>
  <c r="L64" i="33"/>
  <c r="M7" i="33"/>
  <c r="M34" i="33"/>
  <c r="M63" i="33"/>
  <c r="Q18" i="32"/>
  <c r="O6" i="34" s="1"/>
  <c r="N6" i="33"/>
  <c r="N10" i="33"/>
  <c r="N12" i="33"/>
  <c r="N13" i="33"/>
  <c r="M67" i="33"/>
  <c r="M38" i="33"/>
  <c r="M11" i="33"/>
  <c r="P156" i="32"/>
  <c r="N11" i="34" s="1"/>
  <c r="L39" i="33"/>
  <c r="L68" i="33"/>
  <c r="O77" i="30"/>
  <c r="O44" i="30"/>
  <c r="M82" i="30"/>
  <c r="M49" i="30"/>
  <c r="M81" i="30"/>
  <c r="M48" i="30"/>
  <c r="M49" i="1"/>
  <c r="M82" i="1"/>
  <c r="M47" i="1"/>
  <c r="M80" i="1"/>
  <c r="M83" i="31"/>
  <c r="M50" i="31"/>
  <c r="M38" i="30"/>
  <c r="M71" i="30"/>
  <c r="M81" i="31"/>
  <c r="M48" i="31"/>
  <c r="M47" i="31"/>
  <c r="M80" i="31"/>
  <c r="M79" i="1"/>
  <c r="M46" i="1"/>
  <c r="M38" i="31"/>
  <c r="M71" i="31"/>
  <c r="L51" i="31"/>
  <c r="L84" i="31" s="1"/>
  <c r="L51" i="30"/>
  <c r="L84" i="30" s="1"/>
  <c r="O77" i="1"/>
  <c r="O44" i="1"/>
  <c r="M79" i="30"/>
  <c r="M46" i="30"/>
  <c r="M78" i="1"/>
  <c r="M45" i="1"/>
  <c r="M80" i="30"/>
  <c r="M47" i="30"/>
  <c r="M79" i="31"/>
  <c r="M46" i="31"/>
  <c r="Q18" i="25"/>
  <c r="N18" i="31"/>
  <c r="N13" i="31"/>
  <c r="N13" i="1"/>
  <c r="N18" i="30"/>
  <c r="N13" i="30"/>
  <c r="N6" i="31"/>
  <c r="N6" i="30"/>
  <c r="P12" i="30"/>
  <c r="P12" i="1"/>
  <c r="P12" i="31"/>
  <c r="N14" i="1"/>
  <c r="N14" i="31"/>
  <c r="N14" i="30"/>
  <c r="N15" i="1"/>
  <c r="N16" i="1"/>
  <c r="N15" i="31"/>
  <c r="N15" i="30"/>
  <c r="N16" i="31"/>
  <c r="N16" i="30"/>
  <c r="N17" i="1"/>
  <c r="N134" i="32"/>
  <c r="M78" i="31"/>
  <c r="M45" i="31"/>
  <c r="N18" i="1"/>
  <c r="N83" i="1" s="1"/>
  <c r="O77" i="31"/>
  <c r="O44" i="31"/>
  <c r="M83" i="30"/>
  <c r="M50" i="30"/>
  <c r="M81" i="1"/>
  <c r="M48" i="1"/>
  <c r="M78" i="30"/>
  <c r="M45" i="30"/>
  <c r="M82" i="31"/>
  <c r="M49" i="31"/>
  <c r="I61" i="32"/>
  <c r="Q155" i="32"/>
  <c r="H53" i="32"/>
  <c r="H43" i="32"/>
  <c r="R150" i="32"/>
  <c r="R151" i="32"/>
  <c r="T162" i="32"/>
  <c r="I70" i="32"/>
  <c r="E82" i="31"/>
  <c r="E49" i="31"/>
  <c r="K82" i="31"/>
  <c r="K49" i="31"/>
  <c r="N49" i="31"/>
  <c r="N82" i="31"/>
  <c r="H82" i="31"/>
  <c r="H49" i="31"/>
  <c r="E82" i="30"/>
  <c r="E49" i="30"/>
  <c r="N82" i="30"/>
  <c r="N49" i="30"/>
  <c r="H49" i="30"/>
  <c r="H82" i="30"/>
  <c r="K82" i="30"/>
  <c r="K49" i="30"/>
  <c r="AB152" i="25"/>
  <c r="AA158" i="25"/>
  <c r="N6" i="1"/>
  <c r="N71" i="1" s="1"/>
  <c r="AA155" i="25"/>
  <c r="Q162" i="25"/>
  <c r="Q146" i="25"/>
  <c r="Q159" i="25"/>
  <c r="Q145" i="25"/>
  <c r="Q160" i="25"/>
  <c r="Q161" i="25"/>
  <c r="L51" i="1"/>
  <c r="L84" i="1" s="1"/>
  <c r="W138" i="25"/>
  <c r="X137" i="25"/>
  <c r="R138" i="25"/>
  <c r="S137" i="25"/>
  <c r="O72" i="25"/>
  <c r="O73" i="25" s="1"/>
  <c r="P68" i="25" s="1"/>
  <c r="P70" i="25" s="1"/>
  <c r="I64" i="25"/>
  <c r="J59" i="25" s="1"/>
  <c r="J61" i="25" s="1"/>
  <c r="N54" i="25"/>
  <c r="O49" i="25" s="1"/>
  <c r="O51" i="25" s="1"/>
  <c r="O53" i="25" s="1"/>
  <c r="H48" i="14"/>
  <c r="E48" i="14"/>
  <c r="D49" i="14"/>
  <c r="G49" i="14"/>
  <c r="F37" i="47" l="1"/>
  <c r="F38" i="47" s="1"/>
  <c r="F40" i="47" s="1"/>
  <c r="F37" i="48"/>
  <c r="F38" i="48" s="1"/>
  <c r="F40" i="48" s="1"/>
  <c r="O40" i="38"/>
  <c r="O68" i="38"/>
  <c r="O67" i="37"/>
  <c r="O39" i="37"/>
  <c r="O18" i="1"/>
  <c r="O12" i="43"/>
  <c r="O12" i="42"/>
  <c r="O7" i="43"/>
  <c r="O7" i="42"/>
  <c r="O14" i="33"/>
  <c r="O14" i="35" s="1"/>
  <c r="O71" i="35" s="1"/>
  <c r="O39" i="38"/>
  <c r="O67" i="38"/>
  <c r="O67" i="43"/>
  <c r="O36" i="43"/>
  <c r="O33" i="38"/>
  <c r="O7" i="38"/>
  <c r="O61" i="38"/>
  <c r="N42" i="43"/>
  <c r="N73" i="43"/>
  <c r="S18" i="36"/>
  <c r="P13" i="37"/>
  <c r="P13" i="39"/>
  <c r="P13" i="38"/>
  <c r="P12" i="39"/>
  <c r="P12" i="37"/>
  <c r="P12" i="38"/>
  <c r="P6" i="39"/>
  <c r="P6" i="37"/>
  <c r="P6" i="38"/>
  <c r="O45" i="43"/>
  <c r="O76" i="43"/>
  <c r="R153" i="36"/>
  <c r="O10" i="38"/>
  <c r="O10" i="39"/>
  <c r="O10" i="37"/>
  <c r="F47" i="41"/>
  <c r="F48" i="41" s="1"/>
  <c r="F50" i="41" s="1"/>
  <c r="F52" i="41" s="1"/>
  <c r="F58" i="41" s="1"/>
  <c r="F47" i="42"/>
  <c r="F48" i="42" s="1"/>
  <c r="F50" i="42" s="1"/>
  <c r="F52" i="42" s="1"/>
  <c r="F58" i="42" s="1"/>
  <c r="F47" i="43"/>
  <c r="F48" i="43" s="1"/>
  <c r="F50" i="43" s="1"/>
  <c r="F52" i="43" s="1"/>
  <c r="F58" i="43" s="1"/>
  <c r="O39" i="39"/>
  <c r="O67" i="39"/>
  <c r="O36" i="42"/>
  <c r="O67" i="42"/>
  <c r="O9" i="42"/>
  <c r="K74" i="42"/>
  <c r="K43" i="42"/>
  <c r="L13" i="43"/>
  <c r="L13" i="42"/>
  <c r="N37" i="39"/>
  <c r="N65" i="39"/>
  <c r="N38" i="41"/>
  <c r="N69" i="41"/>
  <c r="O61" i="39"/>
  <c r="O7" i="39"/>
  <c r="O33" i="39"/>
  <c r="O68" i="39"/>
  <c r="O40" i="39"/>
  <c r="N34" i="38"/>
  <c r="N62" i="38"/>
  <c r="N34" i="37"/>
  <c r="N62" i="37"/>
  <c r="O75" i="43"/>
  <c r="O44" i="43"/>
  <c r="K43" i="43"/>
  <c r="K74" i="43"/>
  <c r="N65" i="37"/>
  <c r="N37" i="37"/>
  <c r="N38" i="42"/>
  <c r="N69" i="42"/>
  <c r="O45" i="42"/>
  <c r="O76" i="42"/>
  <c r="N34" i="39"/>
  <c r="N62" i="39"/>
  <c r="N38" i="1"/>
  <c r="O8" i="43"/>
  <c r="O8" i="42"/>
  <c r="F12" i="48"/>
  <c r="F12" i="47"/>
  <c r="O61" i="37"/>
  <c r="O33" i="37"/>
  <c r="O7" i="37"/>
  <c r="O68" i="37"/>
  <c r="O40" i="37"/>
  <c r="O44" i="42"/>
  <c r="O75" i="42"/>
  <c r="N42" i="42"/>
  <c r="N73" i="42"/>
  <c r="N65" i="38"/>
  <c r="N37" i="38"/>
  <c r="N38" i="43"/>
  <c r="N69" i="43"/>
  <c r="H51" i="45"/>
  <c r="I46" i="45" s="1"/>
  <c r="I48" i="45" s="1"/>
  <c r="F37" i="46"/>
  <c r="F38" i="46" s="1"/>
  <c r="F40" i="46" s="1"/>
  <c r="H41" i="45"/>
  <c r="I36" i="45" s="1"/>
  <c r="I38" i="45" s="1"/>
  <c r="I40" i="45" s="1"/>
  <c r="F12" i="46"/>
  <c r="I60" i="45"/>
  <c r="I61" i="45" s="1"/>
  <c r="J56" i="45" s="1"/>
  <c r="I69" i="45"/>
  <c r="I70" i="45" s="1"/>
  <c r="J65" i="45" s="1"/>
  <c r="P77" i="41"/>
  <c r="M14" i="34"/>
  <c r="M42" i="34" s="1"/>
  <c r="M71" i="34"/>
  <c r="O42" i="35"/>
  <c r="N7" i="34"/>
  <c r="N64" i="34" s="1"/>
  <c r="N63" i="34"/>
  <c r="N71" i="33"/>
  <c r="N42" i="33"/>
  <c r="R159" i="32"/>
  <c r="M35" i="35"/>
  <c r="N63" i="35"/>
  <c r="N34" i="35"/>
  <c r="N68" i="34"/>
  <c r="N39" i="34"/>
  <c r="N40" i="34"/>
  <c r="N69" i="34"/>
  <c r="N67" i="35"/>
  <c r="N38" i="35"/>
  <c r="K66" i="37"/>
  <c r="K38" i="37"/>
  <c r="N11" i="35"/>
  <c r="L11" i="39"/>
  <c r="L11" i="38"/>
  <c r="L11" i="37"/>
  <c r="O154" i="36"/>
  <c r="M39" i="35"/>
  <c r="M68" i="35"/>
  <c r="F43" i="33"/>
  <c r="F44" i="33" s="1"/>
  <c r="F46" i="33" s="1"/>
  <c r="F48" i="33" s="1"/>
  <c r="F54" i="33" s="1"/>
  <c r="F43" i="35"/>
  <c r="F44" i="35" s="1"/>
  <c r="F46" i="35" s="1"/>
  <c r="F48" i="35" s="1"/>
  <c r="F43" i="34"/>
  <c r="F44" i="34" s="1"/>
  <c r="F46" i="34" s="1"/>
  <c r="F48" i="34" s="1"/>
  <c r="F54" i="34" s="1"/>
  <c r="O10" i="35"/>
  <c r="O10" i="34"/>
  <c r="O13" i="35"/>
  <c r="O13" i="34"/>
  <c r="O12" i="34"/>
  <c r="O12" i="35"/>
  <c r="O6" i="35"/>
  <c r="O34" i="35" s="1"/>
  <c r="N69" i="35"/>
  <c r="N40" i="35"/>
  <c r="K66" i="38"/>
  <c r="K38" i="38"/>
  <c r="F15" i="35"/>
  <c r="F15" i="34"/>
  <c r="N70" i="34"/>
  <c r="N41" i="34"/>
  <c r="N67" i="34"/>
  <c r="N38" i="34"/>
  <c r="K66" i="39"/>
  <c r="K38" i="39"/>
  <c r="X157" i="32"/>
  <c r="P77" i="42"/>
  <c r="P46" i="42"/>
  <c r="P77" i="43"/>
  <c r="P46" i="43"/>
  <c r="N37" i="43"/>
  <c r="N39" i="43" s="1"/>
  <c r="N68" i="43"/>
  <c r="N9" i="43"/>
  <c r="N37" i="42"/>
  <c r="N39" i="42" s="1"/>
  <c r="N68" i="42"/>
  <c r="N70" i="42" s="1"/>
  <c r="N9" i="42"/>
  <c r="H47" i="40"/>
  <c r="I42" i="40" s="1"/>
  <c r="I44" i="40" s="1"/>
  <c r="R150" i="40"/>
  <c r="O8" i="41"/>
  <c r="K74" i="41"/>
  <c r="K43" i="41"/>
  <c r="H36" i="40"/>
  <c r="O156" i="40"/>
  <c r="L13" i="41"/>
  <c r="H64" i="40"/>
  <c r="N73" i="41"/>
  <c r="N42" i="41"/>
  <c r="R155" i="40"/>
  <c r="O12" i="41"/>
  <c r="N7" i="41"/>
  <c r="N9" i="41" s="1"/>
  <c r="M37" i="41"/>
  <c r="M39" i="41" s="1"/>
  <c r="M68" i="41"/>
  <c r="M70" i="41" s="1"/>
  <c r="O44" i="41"/>
  <c r="O75" i="41"/>
  <c r="O67" i="41"/>
  <c r="O36" i="41"/>
  <c r="O45" i="41"/>
  <c r="O76" i="41"/>
  <c r="I54" i="40"/>
  <c r="I72" i="36"/>
  <c r="H43" i="36"/>
  <c r="I63" i="36"/>
  <c r="I64" i="36" s="1"/>
  <c r="J59" i="36" s="1"/>
  <c r="H53" i="36"/>
  <c r="O7" i="34"/>
  <c r="O34" i="34"/>
  <c r="O63" i="34"/>
  <c r="N64" i="35"/>
  <c r="N35" i="35"/>
  <c r="E77" i="35"/>
  <c r="E83" i="35" s="1"/>
  <c r="E48" i="35"/>
  <c r="E54" i="35" s="1"/>
  <c r="N63" i="33"/>
  <c r="N7" i="33"/>
  <c r="N34" i="33"/>
  <c r="N41" i="33"/>
  <c r="N70" i="33"/>
  <c r="N67" i="33"/>
  <c r="N38" i="33"/>
  <c r="M35" i="33"/>
  <c r="M64" i="33"/>
  <c r="R18" i="32"/>
  <c r="O13" i="33"/>
  <c r="O6" i="33"/>
  <c r="O10" i="33"/>
  <c r="O12" i="33"/>
  <c r="N40" i="33"/>
  <c r="N69" i="33"/>
  <c r="N11" i="33"/>
  <c r="Q156" i="32"/>
  <c r="O11" i="34" s="1"/>
  <c r="M39" i="33"/>
  <c r="M68" i="33"/>
  <c r="H44" i="32"/>
  <c r="I39" i="32" s="1"/>
  <c r="I41" i="32" s="1"/>
  <c r="F15" i="33"/>
  <c r="N50" i="1"/>
  <c r="N46" i="30"/>
  <c r="N79" i="30"/>
  <c r="P44" i="1"/>
  <c r="P77" i="1"/>
  <c r="N78" i="30"/>
  <c r="N45" i="30"/>
  <c r="N49" i="1"/>
  <c r="N82" i="1"/>
  <c r="N80" i="31"/>
  <c r="N47" i="31"/>
  <c r="N79" i="31"/>
  <c r="N46" i="31"/>
  <c r="P77" i="30"/>
  <c r="P44" i="30"/>
  <c r="N83" i="30"/>
  <c r="N50" i="30"/>
  <c r="R18" i="25"/>
  <c r="O18" i="31"/>
  <c r="O17" i="31"/>
  <c r="O14" i="31"/>
  <c r="O16" i="31"/>
  <c r="O13" i="31"/>
  <c r="O15" i="31"/>
  <c r="O15" i="30"/>
  <c r="O6" i="30"/>
  <c r="O15" i="1"/>
  <c r="O16" i="1"/>
  <c r="O13" i="1"/>
  <c r="O18" i="30"/>
  <c r="O14" i="30"/>
  <c r="O16" i="30"/>
  <c r="O13" i="30"/>
  <c r="O6" i="31"/>
  <c r="O17" i="30"/>
  <c r="O17" i="1"/>
  <c r="O14" i="1"/>
  <c r="Q12" i="31"/>
  <c r="Q12" i="30"/>
  <c r="Q12" i="1"/>
  <c r="M51" i="30"/>
  <c r="M84" i="30" s="1"/>
  <c r="M51" i="31"/>
  <c r="M84" i="31" s="1"/>
  <c r="N50" i="31"/>
  <c r="N83" i="31"/>
  <c r="N48" i="30"/>
  <c r="N81" i="30"/>
  <c r="N48" i="1"/>
  <c r="N81" i="1"/>
  <c r="N79" i="1"/>
  <c r="N46" i="1"/>
  <c r="N71" i="30"/>
  <c r="N38" i="30"/>
  <c r="N78" i="1"/>
  <c r="N45" i="1"/>
  <c r="N47" i="30"/>
  <c r="N80" i="30"/>
  <c r="O6" i="1"/>
  <c r="O38" i="1" s="1"/>
  <c r="N81" i="31"/>
  <c r="N48" i="31"/>
  <c r="N80" i="1"/>
  <c r="N47" i="1"/>
  <c r="P77" i="31"/>
  <c r="P44" i="31"/>
  <c r="N38" i="31"/>
  <c r="N71" i="31"/>
  <c r="N45" i="31"/>
  <c r="N78" i="31"/>
  <c r="I72" i="32"/>
  <c r="I73" i="32" s="1"/>
  <c r="J68" i="32" s="1"/>
  <c r="S151" i="32"/>
  <c r="I63" i="32"/>
  <c r="I64" i="32" s="1"/>
  <c r="J59" i="32" s="1"/>
  <c r="R155" i="32"/>
  <c r="U162" i="32"/>
  <c r="S150" i="32"/>
  <c r="H54" i="32"/>
  <c r="I49" i="32" s="1"/>
  <c r="I51" i="32" s="1"/>
  <c r="AB158" i="25"/>
  <c r="O83" i="1"/>
  <c r="O50" i="1"/>
  <c r="AB155" i="25"/>
  <c r="O71" i="1"/>
  <c r="R161" i="25"/>
  <c r="R145" i="25"/>
  <c r="R146" i="25"/>
  <c r="R160" i="25"/>
  <c r="R159" i="25"/>
  <c r="R162" i="25"/>
  <c r="M51" i="1"/>
  <c r="M84" i="1" s="1"/>
  <c r="R139" i="25"/>
  <c r="S139" i="25" s="1"/>
  <c r="S138" i="25"/>
  <c r="W139" i="25"/>
  <c r="X139" i="25" s="1"/>
  <c r="X138" i="25"/>
  <c r="J63" i="25"/>
  <c r="O54" i="25"/>
  <c r="P49" i="25" s="1"/>
  <c r="P51" i="25" s="1"/>
  <c r="P53" i="25" s="1"/>
  <c r="G69" i="14"/>
  <c r="D69" i="14"/>
  <c r="H49" i="14"/>
  <c r="E49" i="14"/>
  <c r="G12" i="47" l="1"/>
  <c r="G12" i="48"/>
  <c r="T18" i="36"/>
  <c r="Q12" i="37"/>
  <c r="Q13" i="37"/>
  <c r="Q12" i="39"/>
  <c r="Q13" i="38"/>
  <c r="Q12" i="38"/>
  <c r="Q13" i="39"/>
  <c r="Q6" i="37"/>
  <c r="Q6" i="39"/>
  <c r="Q6" i="38"/>
  <c r="M13" i="43"/>
  <c r="M13" i="42"/>
  <c r="F63" i="47"/>
  <c r="F64" i="47" s="1"/>
  <c r="F66" i="47" s="1"/>
  <c r="F13" i="47"/>
  <c r="F15" i="47" s="1"/>
  <c r="O34" i="39"/>
  <c r="O62" i="39"/>
  <c r="O65" i="37"/>
  <c r="O37" i="37"/>
  <c r="P67" i="39"/>
  <c r="P39" i="39"/>
  <c r="O34" i="38"/>
  <c r="O62" i="38"/>
  <c r="O42" i="43"/>
  <c r="O73" i="43"/>
  <c r="O38" i="43"/>
  <c r="O69" i="43"/>
  <c r="P67" i="38"/>
  <c r="P39" i="38"/>
  <c r="O68" i="43"/>
  <c r="O37" i="43"/>
  <c r="O39" i="43" s="1"/>
  <c r="P8" i="41"/>
  <c r="P8" i="43"/>
  <c r="P8" i="42"/>
  <c r="P67" i="37"/>
  <c r="P39" i="37"/>
  <c r="O73" i="42"/>
  <c r="O42" i="42"/>
  <c r="H44" i="36"/>
  <c r="I39" i="36" s="1"/>
  <c r="F14" i="38"/>
  <c r="F14" i="39"/>
  <c r="F14" i="37"/>
  <c r="P12" i="41"/>
  <c r="P12" i="43"/>
  <c r="P12" i="42"/>
  <c r="P7" i="43"/>
  <c r="P7" i="42"/>
  <c r="F17" i="43"/>
  <c r="F17" i="42"/>
  <c r="P14" i="33"/>
  <c r="P14" i="35" s="1"/>
  <c r="F63" i="48"/>
  <c r="F64" i="48" s="1"/>
  <c r="F66" i="48" s="1"/>
  <c r="F13" i="48"/>
  <c r="F15" i="48" s="1"/>
  <c r="L43" i="42"/>
  <c r="L74" i="42"/>
  <c r="O37" i="39"/>
  <c r="O65" i="39"/>
  <c r="P61" i="38"/>
  <c r="P33" i="38"/>
  <c r="P7" i="38"/>
  <c r="P40" i="38"/>
  <c r="P68" i="38"/>
  <c r="O70" i="43"/>
  <c r="F42" i="48"/>
  <c r="F48" i="48" s="1"/>
  <c r="L74" i="43"/>
  <c r="L43" i="43"/>
  <c r="O65" i="38"/>
  <c r="O37" i="38"/>
  <c r="P61" i="37"/>
  <c r="P33" i="37"/>
  <c r="P7" i="37"/>
  <c r="P68" i="39"/>
  <c r="P40" i="39"/>
  <c r="O9" i="43"/>
  <c r="F42" i="47"/>
  <c r="F48" i="47" s="1"/>
  <c r="F41" i="39"/>
  <c r="F42" i="39" s="1"/>
  <c r="F44" i="39" s="1"/>
  <c r="F46" i="39" s="1"/>
  <c r="F52" i="39" s="1"/>
  <c r="F41" i="38"/>
  <c r="F42" i="38" s="1"/>
  <c r="F44" i="38" s="1"/>
  <c r="F46" i="38" s="1"/>
  <c r="F52" i="38" s="1"/>
  <c r="F41" i="37"/>
  <c r="F42" i="37" s="1"/>
  <c r="F44" i="37" s="1"/>
  <c r="F46" i="37" s="1"/>
  <c r="F52" i="37" s="1"/>
  <c r="O38" i="41"/>
  <c r="O69" i="41"/>
  <c r="N70" i="43"/>
  <c r="O62" i="37"/>
  <c r="O34" i="37"/>
  <c r="O38" i="42"/>
  <c r="O39" i="42" s="1"/>
  <c r="O69" i="42"/>
  <c r="S153" i="36"/>
  <c r="P10" i="39"/>
  <c r="P10" i="38"/>
  <c r="P10" i="37"/>
  <c r="P7" i="39"/>
  <c r="P33" i="39"/>
  <c r="P61" i="39"/>
  <c r="P68" i="37"/>
  <c r="P40" i="37"/>
  <c r="O68" i="42"/>
  <c r="O70" i="42" s="1"/>
  <c r="O37" i="42"/>
  <c r="F42" i="46"/>
  <c r="F48" i="46" s="1"/>
  <c r="I41" i="45"/>
  <c r="J36" i="45" s="1"/>
  <c r="J38" i="45" s="1"/>
  <c r="J40" i="45" s="1"/>
  <c r="G12" i="46"/>
  <c r="F63" i="46"/>
  <c r="F64" i="46" s="1"/>
  <c r="F66" i="46" s="1"/>
  <c r="F13" i="46"/>
  <c r="F15" i="46" s="1"/>
  <c r="J67" i="45"/>
  <c r="J69" i="45" s="1"/>
  <c r="J70" i="45" s="1"/>
  <c r="K65" i="45" s="1"/>
  <c r="I50" i="45"/>
  <c r="J58" i="45"/>
  <c r="J60" i="45" s="1"/>
  <c r="J61" i="45" s="1"/>
  <c r="K56" i="45" s="1"/>
  <c r="F54" i="35"/>
  <c r="O7" i="35"/>
  <c r="O35" i="35" s="1"/>
  <c r="N14" i="34"/>
  <c r="N42" i="34" s="1"/>
  <c r="N71" i="34"/>
  <c r="P71" i="35"/>
  <c r="P42" i="35"/>
  <c r="N35" i="34"/>
  <c r="O42" i="33"/>
  <c r="O71" i="33"/>
  <c r="S159" i="32"/>
  <c r="O63" i="35"/>
  <c r="O68" i="34"/>
  <c r="O39" i="34"/>
  <c r="P10" i="34"/>
  <c r="P10" i="35"/>
  <c r="P13" i="35"/>
  <c r="P13" i="34"/>
  <c r="P12" i="35"/>
  <c r="P12" i="34"/>
  <c r="P6" i="35"/>
  <c r="P7" i="35" s="1"/>
  <c r="F72" i="35"/>
  <c r="F73" i="35" s="1"/>
  <c r="F75" i="35" s="1"/>
  <c r="F77" i="35" s="1"/>
  <c r="F83" i="35" s="1"/>
  <c r="F16" i="35"/>
  <c r="F18" i="35" s="1"/>
  <c r="F20" i="35" s="1"/>
  <c r="F26" i="35" s="1"/>
  <c r="O70" i="34"/>
  <c r="O41" i="34"/>
  <c r="O11" i="35"/>
  <c r="M11" i="38"/>
  <c r="M11" i="39"/>
  <c r="M11" i="37"/>
  <c r="P154" i="36"/>
  <c r="O70" i="35"/>
  <c r="O41" i="35"/>
  <c r="O67" i="35"/>
  <c r="O38" i="35"/>
  <c r="L38" i="37"/>
  <c r="L66" i="37"/>
  <c r="O40" i="35"/>
  <c r="O69" i="35"/>
  <c r="O38" i="34"/>
  <c r="O67" i="34"/>
  <c r="L66" i="38"/>
  <c r="L38" i="38"/>
  <c r="P6" i="34"/>
  <c r="P63" i="34" s="1"/>
  <c r="F72" i="34"/>
  <c r="F73" i="34" s="1"/>
  <c r="F75" i="34" s="1"/>
  <c r="F77" i="34" s="1"/>
  <c r="F83" i="34" s="1"/>
  <c r="F16" i="34"/>
  <c r="F18" i="34" s="1"/>
  <c r="F20" i="34" s="1"/>
  <c r="F26" i="34" s="1"/>
  <c r="O69" i="34"/>
  <c r="O40" i="34"/>
  <c r="L38" i="39"/>
  <c r="L66" i="39"/>
  <c r="N39" i="35"/>
  <c r="N68" i="35"/>
  <c r="Y157" i="32"/>
  <c r="Z157" i="32"/>
  <c r="I45" i="40"/>
  <c r="I55" i="40" s="1"/>
  <c r="I56" i="40" s="1"/>
  <c r="I57" i="40" s="1"/>
  <c r="J52" i="40" s="1"/>
  <c r="H37" i="40"/>
  <c r="I32" i="40" s="1"/>
  <c r="I34" i="40" s="1"/>
  <c r="I36" i="40" s="1"/>
  <c r="F17" i="41"/>
  <c r="P156" i="40"/>
  <c r="M13" i="41"/>
  <c r="L74" i="41"/>
  <c r="L43" i="41"/>
  <c r="I46" i="40"/>
  <c r="H65" i="40"/>
  <c r="H66" i="40" s="1"/>
  <c r="I61" i="40" s="1"/>
  <c r="I63" i="40" s="1"/>
  <c r="P42" i="41"/>
  <c r="P73" i="41"/>
  <c r="O73" i="41"/>
  <c r="O42" i="41"/>
  <c r="N68" i="41"/>
  <c r="N70" i="41" s="1"/>
  <c r="N37" i="41"/>
  <c r="N39" i="41" s="1"/>
  <c r="P7" i="41"/>
  <c r="P9" i="41" s="1"/>
  <c r="O7" i="41"/>
  <c r="O9" i="41" s="1"/>
  <c r="I41" i="36"/>
  <c r="H54" i="36"/>
  <c r="I49" i="36" s="1"/>
  <c r="J61" i="36"/>
  <c r="J63" i="36" s="1"/>
  <c r="J64" i="36" s="1"/>
  <c r="K59" i="36" s="1"/>
  <c r="I73" i="36"/>
  <c r="J68" i="36" s="1"/>
  <c r="O35" i="34"/>
  <c r="O64" i="34"/>
  <c r="O69" i="33"/>
  <c r="O40" i="33"/>
  <c r="S18" i="32"/>
  <c r="P6" i="33"/>
  <c r="P12" i="33"/>
  <c r="P13" i="33"/>
  <c r="P10" i="33"/>
  <c r="N35" i="33"/>
  <c r="N64" i="33"/>
  <c r="O67" i="33"/>
  <c r="O38" i="33"/>
  <c r="O34" i="33"/>
  <c r="O7" i="33"/>
  <c r="O63" i="33"/>
  <c r="O70" i="33"/>
  <c r="O41" i="33"/>
  <c r="O11" i="33"/>
  <c r="R156" i="32"/>
  <c r="P11" i="35" s="1"/>
  <c r="N68" i="33"/>
  <c r="N39" i="33"/>
  <c r="F72" i="33"/>
  <c r="F73" i="33" s="1"/>
  <c r="F75" i="33" s="1"/>
  <c r="F16" i="33"/>
  <c r="F18" i="33" s="1"/>
  <c r="O71" i="31"/>
  <c r="O38" i="31"/>
  <c r="O46" i="1"/>
  <c r="O79" i="1"/>
  <c r="O45" i="30"/>
  <c r="O78" i="30"/>
  <c r="O45" i="1"/>
  <c r="O78" i="1"/>
  <c r="O80" i="30"/>
  <c r="O47" i="30"/>
  <c r="O79" i="31"/>
  <c r="O46" i="31"/>
  <c r="O71" i="30"/>
  <c r="O38" i="30"/>
  <c r="S18" i="25"/>
  <c r="P17" i="31"/>
  <c r="P16" i="31"/>
  <c r="P13" i="31"/>
  <c r="P15" i="31"/>
  <c r="P18" i="30"/>
  <c r="P14" i="30"/>
  <c r="P17" i="30"/>
  <c r="P13" i="30"/>
  <c r="P15" i="1"/>
  <c r="P16" i="1"/>
  <c r="P13" i="1"/>
  <c r="P18" i="31"/>
  <c r="P6" i="31"/>
  <c r="P14" i="31"/>
  <c r="P16" i="30"/>
  <c r="P15" i="30"/>
  <c r="P6" i="30"/>
  <c r="R12" i="30"/>
  <c r="P14" i="1"/>
  <c r="R12" i="31"/>
  <c r="P17" i="1"/>
  <c r="R12" i="1"/>
  <c r="P18" i="1"/>
  <c r="P83" i="1" s="1"/>
  <c r="Q44" i="1"/>
  <c r="Q77" i="1"/>
  <c r="O82" i="1"/>
  <c r="O49" i="1"/>
  <c r="O81" i="30"/>
  <c r="O48" i="30"/>
  <c r="O81" i="1"/>
  <c r="O48" i="1"/>
  <c r="O80" i="31"/>
  <c r="O47" i="31"/>
  <c r="O82" i="31"/>
  <c r="O49" i="31"/>
  <c r="Q44" i="31"/>
  <c r="Q77" i="31"/>
  <c r="O83" i="30"/>
  <c r="O50" i="30"/>
  <c r="O48" i="31"/>
  <c r="O81" i="31"/>
  <c r="N51" i="31"/>
  <c r="N84" i="31" s="1"/>
  <c r="N51" i="30"/>
  <c r="N84" i="30" s="1"/>
  <c r="Q77" i="30"/>
  <c r="Q44" i="30"/>
  <c r="O49" i="30"/>
  <c r="O82" i="30"/>
  <c r="O79" i="30"/>
  <c r="O46" i="30"/>
  <c r="O47" i="1"/>
  <c r="O80" i="1"/>
  <c r="O45" i="31"/>
  <c r="O78" i="31"/>
  <c r="O83" i="31"/>
  <c r="O50" i="31"/>
  <c r="S155" i="32"/>
  <c r="V162" i="32"/>
  <c r="J70" i="32"/>
  <c r="J72" i="32" s="1"/>
  <c r="J73" i="32" s="1"/>
  <c r="K68" i="32" s="1"/>
  <c r="T150" i="32"/>
  <c r="T151" i="32"/>
  <c r="J61" i="32"/>
  <c r="J63" i="32" s="1"/>
  <c r="J64" i="32" s="1"/>
  <c r="K59" i="32" s="1"/>
  <c r="I43" i="32"/>
  <c r="P6" i="1"/>
  <c r="P71" i="1" s="1"/>
  <c r="S162" i="25"/>
  <c r="S145" i="25"/>
  <c r="S160" i="25"/>
  <c r="S159" i="25"/>
  <c r="Q18" i="1" s="1"/>
  <c r="S146" i="25"/>
  <c r="S161" i="25"/>
  <c r="N51" i="1"/>
  <c r="N84" i="1" s="1"/>
  <c r="P72" i="25"/>
  <c r="P73" i="25" s="1"/>
  <c r="Q68" i="25" s="1"/>
  <c r="Q70" i="25" s="1"/>
  <c r="J64" i="25"/>
  <c r="K59" i="25" s="1"/>
  <c r="K61" i="25" s="1"/>
  <c r="P54" i="25"/>
  <c r="Q49" i="25" s="1"/>
  <c r="Q51" i="25" s="1"/>
  <c r="Q53" i="25" s="1"/>
  <c r="H12" i="47" l="1"/>
  <c r="H12" i="48"/>
  <c r="F17" i="48"/>
  <c r="F23" i="48" s="1"/>
  <c r="U18" i="36"/>
  <c r="R13" i="38"/>
  <c r="R13" i="37"/>
  <c r="R13" i="39"/>
  <c r="R12" i="37"/>
  <c r="R12" i="38"/>
  <c r="R12" i="39"/>
  <c r="R6" i="39"/>
  <c r="R6" i="38"/>
  <c r="R6" i="37"/>
  <c r="F68" i="48"/>
  <c r="F74" i="48" s="1"/>
  <c r="P68" i="43"/>
  <c r="P70" i="43" s="1"/>
  <c r="P37" i="43"/>
  <c r="P9" i="43"/>
  <c r="P38" i="42"/>
  <c r="P69" i="42"/>
  <c r="F17" i="47"/>
  <c r="F23" i="47" s="1"/>
  <c r="Q39" i="38"/>
  <c r="Q67" i="38"/>
  <c r="G17" i="43"/>
  <c r="G17" i="42"/>
  <c r="G37" i="48"/>
  <c r="G38" i="48" s="1"/>
  <c r="G40" i="48" s="1"/>
  <c r="G37" i="47"/>
  <c r="G38" i="47" s="1"/>
  <c r="G40" i="47" s="1"/>
  <c r="T153" i="36"/>
  <c r="Q10" i="38"/>
  <c r="Q10" i="37"/>
  <c r="Q10" i="39"/>
  <c r="Q40" i="39"/>
  <c r="Q68" i="39"/>
  <c r="P34" i="39"/>
  <c r="P62" i="39"/>
  <c r="P42" i="42"/>
  <c r="P73" i="42"/>
  <c r="F69" i="37"/>
  <c r="F70" i="37" s="1"/>
  <c r="F72" i="37" s="1"/>
  <c r="F74" i="37" s="1"/>
  <c r="F80" i="37" s="1"/>
  <c r="F15" i="37"/>
  <c r="F17" i="37" s="1"/>
  <c r="F19" i="37" s="1"/>
  <c r="F25" i="37" s="1"/>
  <c r="P38" i="43"/>
  <c r="P69" i="43"/>
  <c r="F68" i="47"/>
  <c r="F74" i="47" s="1"/>
  <c r="Q68" i="38"/>
  <c r="Q40" i="38"/>
  <c r="Q14" i="33"/>
  <c r="Q14" i="35" s="1"/>
  <c r="P65" i="37"/>
  <c r="P37" i="37"/>
  <c r="P62" i="37"/>
  <c r="P34" i="37"/>
  <c r="P73" i="43"/>
  <c r="P42" i="43"/>
  <c r="F69" i="39"/>
  <c r="F70" i="39" s="1"/>
  <c r="F72" i="39" s="1"/>
  <c r="F74" i="39" s="1"/>
  <c r="F80" i="39" s="1"/>
  <c r="F15" i="39"/>
  <c r="F17" i="39" s="1"/>
  <c r="F19" i="39" s="1"/>
  <c r="F25" i="39" s="1"/>
  <c r="P38" i="41"/>
  <c r="P69" i="41"/>
  <c r="Q7" i="38"/>
  <c r="Q61" i="38"/>
  <c r="Q33" i="38"/>
  <c r="Q39" i="39"/>
  <c r="Q67" i="39"/>
  <c r="G47" i="42"/>
  <c r="G48" i="42" s="1"/>
  <c r="G50" i="42" s="1"/>
  <c r="G47" i="43"/>
  <c r="G48" i="43" s="1"/>
  <c r="G50" i="43" s="1"/>
  <c r="P68" i="42"/>
  <c r="P70" i="42" s="1"/>
  <c r="P37" i="42"/>
  <c r="P9" i="42"/>
  <c r="P37" i="38"/>
  <c r="P65" i="38"/>
  <c r="P34" i="38"/>
  <c r="P62" i="38"/>
  <c r="F78" i="42"/>
  <c r="F79" i="42" s="1"/>
  <c r="F81" i="42" s="1"/>
  <c r="F18" i="42"/>
  <c r="F20" i="42" s="1"/>
  <c r="F69" i="38"/>
  <c r="F70" i="38" s="1"/>
  <c r="F72" i="38" s="1"/>
  <c r="F74" i="38" s="1"/>
  <c r="F80" i="38" s="1"/>
  <c r="F15" i="38"/>
  <c r="F17" i="38" s="1"/>
  <c r="F19" i="38" s="1"/>
  <c r="F25" i="38" s="1"/>
  <c r="Q33" i="39"/>
  <c r="Q7" i="39"/>
  <c r="Q61" i="39"/>
  <c r="Q68" i="37"/>
  <c r="Q40" i="37"/>
  <c r="G63" i="48"/>
  <c r="G64" i="48" s="1"/>
  <c r="G66" i="48" s="1"/>
  <c r="G68" i="48" s="1"/>
  <c r="G13" i="48"/>
  <c r="G15" i="48" s="1"/>
  <c r="G17" i="48" s="1"/>
  <c r="M74" i="43"/>
  <c r="M43" i="43"/>
  <c r="N13" i="43"/>
  <c r="N13" i="42"/>
  <c r="P50" i="1"/>
  <c r="P65" i="39"/>
  <c r="P37" i="39"/>
  <c r="F78" i="43"/>
  <c r="F79" i="43" s="1"/>
  <c r="F81" i="43" s="1"/>
  <c r="F18" i="43"/>
  <c r="F20" i="43" s="1"/>
  <c r="M74" i="42"/>
  <c r="M43" i="42"/>
  <c r="Q7" i="37"/>
  <c r="Q61" i="37"/>
  <c r="Q33" i="37"/>
  <c r="Q67" i="37"/>
  <c r="Q39" i="37"/>
  <c r="G63" i="47"/>
  <c r="G64" i="47" s="1"/>
  <c r="G66" i="47" s="1"/>
  <c r="G68" i="47" s="1"/>
  <c r="G13" i="47"/>
  <c r="G15" i="47" s="1"/>
  <c r="G17" i="47" s="1"/>
  <c r="I51" i="45"/>
  <c r="J46" i="45" s="1"/>
  <c r="J48" i="45" s="1"/>
  <c r="J50" i="45" s="1"/>
  <c r="G37" i="46"/>
  <c r="G38" i="46" s="1"/>
  <c r="G40" i="46" s="1"/>
  <c r="F17" i="46"/>
  <c r="F23" i="46" s="1"/>
  <c r="F68" i="46"/>
  <c r="F74" i="46" s="1"/>
  <c r="G63" i="46"/>
  <c r="G64" i="46" s="1"/>
  <c r="G66" i="46" s="1"/>
  <c r="G68" i="46" s="1"/>
  <c r="G13" i="46"/>
  <c r="G15" i="46" s="1"/>
  <c r="G17" i="46" s="1"/>
  <c r="J41" i="45"/>
  <c r="K36" i="45" s="1"/>
  <c r="K38" i="45" s="1"/>
  <c r="K40" i="45" s="1"/>
  <c r="H12" i="46"/>
  <c r="K67" i="45"/>
  <c r="K69" i="45" s="1"/>
  <c r="K70" i="45" s="1"/>
  <c r="L65" i="45" s="1"/>
  <c r="K58" i="45"/>
  <c r="K60" i="45" s="1"/>
  <c r="K61" i="45" s="1"/>
  <c r="L56" i="45" s="1"/>
  <c r="O64" i="35"/>
  <c r="Q42" i="35"/>
  <c r="Q71" i="35"/>
  <c r="O71" i="34"/>
  <c r="O14" i="34"/>
  <c r="O42" i="34" s="1"/>
  <c r="T159" i="32"/>
  <c r="R14" i="33" s="1"/>
  <c r="R14" i="35" s="1"/>
  <c r="P42" i="33"/>
  <c r="P71" i="33"/>
  <c r="P34" i="35"/>
  <c r="P63" i="35"/>
  <c r="P11" i="34"/>
  <c r="P39" i="34" s="1"/>
  <c r="P34" i="34"/>
  <c r="P68" i="35"/>
  <c r="P39" i="35"/>
  <c r="P7" i="34"/>
  <c r="P64" i="34" s="1"/>
  <c r="G15" i="35"/>
  <c r="G15" i="34"/>
  <c r="Q10" i="34"/>
  <c r="Q10" i="35"/>
  <c r="Q6" i="34"/>
  <c r="Q63" i="34" s="1"/>
  <c r="Q13" i="34"/>
  <c r="Q12" i="35"/>
  <c r="Q12" i="34"/>
  <c r="Q13" i="35"/>
  <c r="Q6" i="35"/>
  <c r="Q7" i="35" s="1"/>
  <c r="M66" i="39"/>
  <c r="M38" i="39"/>
  <c r="P70" i="34"/>
  <c r="P41" i="34"/>
  <c r="M38" i="38"/>
  <c r="M66" i="38"/>
  <c r="P41" i="35"/>
  <c r="P70" i="35"/>
  <c r="N11" i="38"/>
  <c r="N11" i="39"/>
  <c r="Q154" i="36"/>
  <c r="N11" i="37"/>
  <c r="O68" i="35"/>
  <c r="O39" i="35"/>
  <c r="P69" i="34"/>
  <c r="P40" i="34"/>
  <c r="P38" i="35"/>
  <c r="P67" i="35"/>
  <c r="M38" i="37"/>
  <c r="M66" i="37"/>
  <c r="P40" i="35"/>
  <c r="P69" i="35"/>
  <c r="P38" i="34"/>
  <c r="P67" i="34"/>
  <c r="AA157" i="32"/>
  <c r="I37" i="40"/>
  <c r="J32" i="40" s="1"/>
  <c r="J34" i="40" s="1"/>
  <c r="J36" i="40" s="1"/>
  <c r="G17" i="41"/>
  <c r="I47" i="40"/>
  <c r="J42" i="40" s="1"/>
  <c r="J45" i="40" s="1"/>
  <c r="J55" i="40" s="1"/>
  <c r="J64" i="40" s="1"/>
  <c r="G47" i="41"/>
  <c r="G48" i="41" s="1"/>
  <c r="G50" i="41" s="1"/>
  <c r="G52" i="41" s="1"/>
  <c r="G58" i="41" s="1"/>
  <c r="F78" i="41"/>
  <c r="F79" i="41" s="1"/>
  <c r="F81" i="41" s="1"/>
  <c r="F83" i="41" s="1"/>
  <c r="F89" i="41" s="1"/>
  <c r="F18" i="41"/>
  <c r="F20" i="41" s="1"/>
  <c r="F22" i="41" s="1"/>
  <c r="F28" i="41" s="1"/>
  <c r="M43" i="41"/>
  <c r="M74" i="41"/>
  <c r="Q156" i="40"/>
  <c r="N13" i="41"/>
  <c r="I64" i="40"/>
  <c r="O68" i="41"/>
  <c r="O70" i="41" s="1"/>
  <c r="O37" i="41"/>
  <c r="O39" i="41" s="1"/>
  <c r="P68" i="41"/>
  <c r="P70" i="41" s="1"/>
  <c r="P37" i="41"/>
  <c r="P39" i="41" s="1"/>
  <c r="I65" i="40"/>
  <c r="J54" i="40"/>
  <c r="K61" i="36"/>
  <c r="K63" i="36" s="1"/>
  <c r="K64" i="36" s="1"/>
  <c r="L59" i="36" s="1"/>
  <c r="I51" i="36"/>
  <c r="I43" i="36"/>
  <c r="J70" i="36"/>
  <c r="J72" i="36" s="1"/>
  <c r="J73" i="36" s="1"/>
  <c r="K68" i="36" s="1"/>
  <c r="P64" i="35"/>
  <c r="P35" i="35"/>
  <c r="T18" i="32"/>
  <c r="R6" i="35" s="1"/>
  <c r="Q10" i="33"/>
  <c r="Q12" i="33"/>
  <c r="Q13" i="33"/>
  <c r="Q6" i="33"/>
  <c r="P70" i="33"/>
  <c r="P41" i="33"/>
  <c r="P63" i="33"/>
  <c r="P7" i="33"/>
  <c r="P34" i="33"/>
  <c r="P67" i="33"/>
  <c r="P38" i="33"/>
  <c r="O35" i="33"/>
  <c r="O64" i="33"/>
  <c r="P69" i="33"/>
  <c r="P40" i="33"/>
  <c r="P11" i="33"/>
  <c r="S156" i="32"/>
  <c r="Q11" i="35" s="1"/>
  <c r="O68" i="33"/>
  <c r="O39" i="33"/>
  <c r="F77" i="33"/>
  <c r="F83" i="33" s="1"/>
  <c r="I44" i="32"/>
  <c r="J39" i="32" s="1"/>
  <c r="J41" i="32" s="1"/>
  <c r="J43" i="32" s="1"/>
  <c r="G15" i="33"/>
  <c r="F20" i="33"/>
  <c r="F26" i="33" s="1"/>
  <c r="R77" i="1"/>
  <c r="R44" i="1"/>
  <c r="P79" i="31"/>
  <c r="P46" i="31"/>
  <c r="P79" i="30"/>
  <c r="P46" i="30"/>
  <c r="P81" i="31"/>
  <c r="P48" i="31"/>
  <c r="P82" i="1"/>
  <c r="P49" i="1"/>
  <c r="P38" i="30"/>
  <c r="P71" i="30"/>
  <c r="P71" i="31"/>
  <c r="P38" i="31"/>
  <c r="P47" i="1"/>
  <c r="P80" i="1"/>
  <c r="P83" i="30"/>
  <c r="P50" i="30"/>
  <c r="P82" i="31"/>
  <c r="P49" i="31"/>
  <c r="P81" i="1"/>
  <c r="P48" i="1"/>
  <c r="O51" i="31"/>
  <c r="O84" i="31" s="1"/>
  <c r="O51" i="30"/>
  <c r="O84" i="30" s="1"/>
  <c r="R77" i="31"/>
  <c r="R44" i="31"/>
  <c r="P80" i="30"/>
  <c r="P47" i="30"/>
  <c r="P83" i="31"/>
  <c r="P50" i="31"/>
  <c r="P78" i="30"/>
  <c r="P45" i="30"/>
  <c r="P47" i="31"/>
  <c r="P80" i="31"/>
  <c r="T18" i="25"/>
  <c r="Q18" i="31"/>
  <c r="Q13" i="30"/>
  <c r="Q13" i="31"/>
  <c r="Q18" i="30"/>
  <c r="Q13" i="1"/>
  <c r="Q6" i="30"/>
  <c r="Q6" i="31"/>
  <c r="Q15" i="1"/>
  <c r="Q14" i="31"/>
  <c r="Q14" i="30"/>
  <c r="S12" i="30"/>
  <c r="S12" i="31"/>
  <c r="S12" i="1"/>
  <c r="Q14" i="1"/>
  <c r="Q16" i="1"/>
  <c r="Q15" i="31"/>
  <c r="Q15" i="30"/>
  <c r="Q17" i="1"/>
  <c r="Q16" i="30"/>
  <c r="Q16" i="31"/>
  <c r="Q17" i="31"/>
  <c r="Q17" i="30"/>
  <c r="S134" i="32"/>
  <c r="R77" i="30"/>
  <c r="R44" i="30"/>
  <c r="P38" i="1"/>
  <c r="P79" i="1"/>
  <c r="P46" i="1"/>
  <c r="P48" i="30"/>
  <c r="P81" i="30"/>
  <c r="P45" i="1"/>
  <c r="P78" i="1"/>
  <c r="P49" i="30"/>
  <c r="P82" i="30"/>
  <c r="P78" i="31"/>
  <c r="P45" i="31"/>
  <c r="K61" i="32"/>
  <c r="K63" i="32" s="1"/>
  <c r="K64" i="32" s="1"/>
  <c r="L59" i="32" s="1"/>
  <c r="K70" i="32"/>
  <c r="K72" i="32" s="1"/>
  <c r="K73" i="32" s="1"/>
  <c r="L68" i="32" s="1"/>
  <c r="T155" i="32"/>
  <c r="U151" i="32"/>
  <c r="U150" i="32"/>
  <c r="I53" i="32"/>
  <c r="W162" i="32"/>
  <c r="Q50" i="1"/>
  <c r="Q83" i="1"/>
  <c r="Q6" i="1"/>
  <c r="T145" i="25"/>
  <c r="T161" i="25"/>
  <c r="T159" i="25"/>
  <c r="T146" i="25"/>
  <c r="T160" i="25"/>
  <c r="T162" i="25"/>
  <c r="O51" i="1"/>
  <c r="O84" i="1" s="1"/>
  <c r="K63" i="25"/>
  <c r="Q54" i="25"/>
  <c r="R49" i="25" s="1"/>
  <c r="R51" i="25" s="1"/>
  <c r="R53" i="25" s="1"/>
  <c r="I12" i="47" l="1"/>
  <c r="I12" i="48"/>
  <c r="O13" i="43"/>
  <c r="O13" i="42"/>
  <c r="N43" i="43"/>
  <c r="N74" i="43"/>
  <c r="G78" i="42"/>
  <c r="G79" i="42" s="1"/>
  <c r="G81" i="42" s="1"/>
  <c r="G83" i="42" s="1"/>
  <c r="G18" i="42"/>
  <c r="G20" i="42" s="1"/>
  <c r="G22" i="42" s="1"/>
  <c r="G23" i="47"/>
  <c r="F22" i="43"/>
  <c r="F28" i="43" s="1"/>
  <c r="F22" i="42"/>
  <c r="F28" i="42" s="1"/>
  <c r="Q65" i="37"/>
  <c r="Q37" i="37"/>
  <c r="G78" i="43"/>
  <c r="G79" i="43" s="1"/>
  <c r="G81" i="43" s="1"/>
  <c r="G83" i="43" s="1"/>
  <c r="G18" i="43"/>
  <c r="G20" i="43" s="1"/>
  <c r="G22" i="43" s="1"/>
  <c r="R67" i="37"/>
  <c r="R39" i="37"/>
  <c r="P39" i="42"/>
  <c r="Q65" i="39"/>
  <c r="Q37" i="39"/>
  <c r="P39" i="43"/>
  <c r="R67" i="38"/>
  <c r="R39" i="38"/>
  <c r="H37" i="48"/>
  <c r="H38" i="48" s="1"/>
  <c r="H40" i="48" s="1"/>
  <c r="H42" i="48" s="1"/>
  <c r="H37" i="47"/>
  <c r="H38" i="47" s="1"/>
  <c r="H40" i="47" s="1"/>
  <c r="H42" i="47" s="1"/>
  <c r="F83" i="43"/>
  <c r="F89" i="43" s="1"/>
  <c r="G89" i="43" s="1"/>
  <c r="F83" i="42"/>
  <c r="F89" i="42" s="1"/>
  <c r="G89" i="42" s="1"/>
  <c r="Q65" i="38"/>
  <c r="Q37" i="38"/>
  <c r="R7" i="37"/>
  <c r="R33" i="37"/>
  <c r="R61" i="37"/>
  <c r="R40" i="39"/>
  <c r="R68" i="39"/>
  <c r="G23" i="48"/>
  <c r="Q34" i="37"/>
  <c r="Q62" i="37"/>
  <c r="Q34" i="39"/>
  <c r="Q62" i="39"/>
  <c r="G52" i="43"/>
  <c r="G58" i="43" s="1"/>
  <c r="R61" i="38"/>
  <c r="R33" i="38"/>
  <c r="R7" i="38"/>
  <c r="R68" i="37"/>
  <c r="R40" i="37"/>
  <c r="I44" i="36"/>
  <c r="J39" i="36" s="1"/>
  <c r="J41" i="36" s="1"/>
  <c r="J43" i="36" s="1"/>
  <c r="G14" i="39"/>
  <c r="G14" i="37"/>
  <c r="G14" i="38"/>
  <c r="G52" i="42"/>
  <c r="G58" i="42" s="1"/>
  <c r="G74" i="47"/>
  <c r="G42" i="47"/>
  <c r="G48" i="47" s="1"/>
  <c r="H48" i="47" s="1"/>
  <c r="G74" i="48"/>
  <c r="R61" i="39"/>
  <c r="R7" i="39"/>
  <c r="R33" i="39"/>
  <c r="R68" i="38"/>
  <c r="R40" i="38"/>
  <c r="H63" i="48"/>
  <c r="H64" i="48" s="1"/>
  <c r="H66" i="48" s="1"/>
  <c r="H13" i="48"/>
  <c r="H15" i="48" s="1"/>
  <c r="Q62" i="38"/>
  <c r="Q34" i="38"/>
  <c r="U153" i="36"/>
  <c r="R10" i="39"/>
  <c r="R10" i="38"/>
  <c r="R10" i="37"/>
  <c r="H17" i="43"/>
  <c r="H17" i="42"/>
  <c r="N43" i="42"/>
  <c r="N74" i="42"/>
  <c r="G42" i="48"/>
  <c r="G48" i="48" s="1"/>
  <c r="H48" i="48" s="1"/>
  <c r="R39" i="39"/>
  <c r="R67" i="39"/>
  <c r="V18" i="36"/>
  <c r="S13" i="37"/>
  <c r="S13" i="39"/>
  <c r="S13" i="38"/>
  <c r="S12" i="38"/>
  <c r="S12" i="37"/>
  <c r="S12" i="39"/>
  <c r="S6" i="39"/>
  <c r="S6" i="38"/>
  <c r="S6" i="37"/>
  <c r="H63" i="47"/>
  <c r="H64" i="47" s="1"/>
  <c r="H66" i="47" s="1"/>
  <c r="H13" i="47"/>
  <c r="H15" i="47" s="1"/>
  <c r="H17" i="47" s="1"/>
  <c r="J51" i="45"/>
  <c r="K46" i="45" s="1"/>
  <c r="H37" i="46"/>
  <c r="H38" i="46" s="1"/>
  <c r="H40" i="46" s="1"/>
  <c r="H42" i="46" s="1"/>
  <c r="G42" i="46"/>
  <c r="G48" i="46" s="1"/>
  <c r="G74" i="46"/>
  <c r="H63" i="46"/>
  <c r="H64" i="46" s="1"/>
  <c r="H66" i="46" s="1"/>
  <c r="H13" i="46"/>
  <c r="H15" i="46" s="1"/>
  <c r="H17" i="46" s="1"/>
  <c r="K41" i="45"/>
  <c r="L36" i="45" s="1"/>
  <c r="L38" i="45" s="1"/>
  <c r="L40" i="45" s="1"/>
  <c r="I12" i="46"/>
  <c r="G23" i="46"/>
  <c r="L58" i="45"/>
  <c r="L60" i="45" s="1"/>
  <c r="L61" i="45" s="1"/>
  <c r="M56" i="45" s="1"/>
  <c r="K48" i="45"/>
  <c r="K50" i="45" s="1"/>
  <c r="L67" i="45"/>
  <c r="L69" i="45" s="1"/>
  <c r="L70" i="45" s="1"/>
  <c r="M65" i="45" s="1"/>
  <c r="P71" i="34"/>
  <c r="P14" i="34"/>
  <c r="P42" i="34" s="1"/>
  <c r="R71" i="35"/>
  <c r="R42" i="35"/>
  <c r="P35" i="34"/>
  <c r="P68" i="34"/>
  <c r="Q71" i="33"/>
  <c r="Q42" i="33"/>
  <c r="U159" i="32"/>
  <c r="Q34" i="35"/>
  <c r="Q34" i="34"/>
  <c r="Q63" i="35"/>
  <c r="Q7" i="34"/>
  <c r="Q35" i="34" s="1"/>
  <c r="Q68" i="35"/>
  <c r="Q39" i="35"/>
  <c r="N38" i="37"/>
  <c r="N66" i="37"/>
  <c r="Q41" i="34"/>
  <c r="Q70" i="34"/>
  <c r="Q11" i="34"/>
  <c r="O11" i="39"/>
  <c r="O11" i="38"/>
  <c r="R154" i="36"/>
  <c r="O11" i="37"/>
  <c r="Q41" i="35"/>
  <c r="Q70" i="35"/>
  <c r="Q67" i="34"/>
  <c r="Q38" i="34"/>
  <c r="H15" i="35"/>
  <c r="H15" i="34"/>
  <c r="N66" i="39"/>
  <c r="N38" i="39"/>
  <c r="Q69" i="34"/>
  <c r="Q40" i="34"/>
  <c r="G72" i="34"/>
  <c r="G73" i="34" s="1"/>
  <c r="G75" i="34" s="1"/>
  <c r="G77" i="34" s="1"/>
  <c r="G83" i="34" s="1"/>
  <c r="G16" i="34"/>
  <c r="G18" i="34" s="1"/>
  <c r="G20" i="34" s="1"/>
  <c r="G26" i="34" s="1"/>
  <c r="G43" i="33"/>
  <c r="G44" i="33" s="1"/>
  <c r="G46" i="33" s="1"/>
  <c r="G48" i="33" s="1"/>
  <c r="G54" i="33" s="1"/>
  <c r="G43" i="35"/>
  <c r="G44" i="35" s="1"/>
  <c r="G46" i="35" s="1"/>
  <c r="G48" i="35" s="1"/>
  <c r="G54" i="35" s="1"/>
  <c r="G43" i="34"/>
  <c r="G44" i="34" s="1"/>
  <c r="G46" i="34" s="1"/>
  <c r="G48" i="34" s="1"/>
  <c r="G54" i="34" s="1"/>
  <c r="R10" i="35"/>
  <c r="R10" i="34"/>
  <c r="R13" i="35"/>
  <c r="R13" i="34"/>
  <c r="R12" i="35"/>
  <c r="R12" i="34"/>
  <c r="R6" i="34"/>
  <c r="R7" i="34" s="1"/>
  <c r="N38" i="38"/>
  <c r="N66" i="38"/>
  <c r="Q69" i="35"/>
  <c r="Q40" i="35"/>
  <c r="Q67" i="35"/>
  <c r="Q38" i="35"/>
  <c r="G72" i="35"/>
  <c r="G73" i="35" s="1"/>
  <c r="G75" i="35" s="1"/>
  <c r="G77" i="35" s="1"/>
  <c r="G83" i="35" s="1"/>
  <c r="G16" i="35"/>
  <c r="G18" i="35" s="1"/>
  <c r="G20" i="35" s="1"/>
  <c r="G26" i="35" s="1"/>
  <c r="AB157" i="32"/>
  <c r="J44" i="40"/>
  <c r="J46" i="40" s="1"/>
  <c r="G78" i="41"/>
  <c r="G79" i="41" s="1"/>
  <c r="G81" i="41" s="1"/>
  <c r="G83" i="41" s="1"/>
  <c r="G89" i="41" s="1"/>
  <c r="G18" i="41"/>
  <c r="G20" i="41" s="1"/>
  <c r="G22" i="41" s="1"/>
  <c r="G28" i="41" s="1"/>
  <c r="J56" i="40"/>
  <c r="J57" i="40" s="1"/>
  <c r="K52" i="40" s="1"/>
  <c r="K54" i="40" s="1"/>
  <c r="J37" i="40"/>
  <c r="K32" i="40" s="1"/>
  <c r="K34" i="40" s="1"/>
  <c r="K36" i="40" s="1"/>
  <c r="H17" i="41"/>
  <c r="N43" i="41"/>
  <c r="N74" i="41"/>
  <c r="R156" i="40"/>
  <c r="O13" i="41"/>
  <c r="I66" i="40"/>
  <c r="J61" i="40" s="1"/>
  <c r="K70" i="36"/>
  <c r="K72" i="36" s="1"/>
  <c r="K73" i="36" s="1"/>
  <c r="L68" i="36" s="1"/>
  <c r="L61" i="36"/>
  <c r="L63" i="36" s="1"/>
  <c r="L64" i="36" s="1"/>
  <c r="M59" i="36" s="1"/>
  <c r="I53" i="36"/>
  <c r="Q64" i="35"/>
  <c r="Q35" i="35"/>
  <c r="R34" i="35"/>
  <c r="R7" i="35"/>
  <c r="R63" i="35"/>
  <c r="Q70" i="33"/>
  <c r="Q41" i="33"/>
  <c r="Q40" i="33"/>
  <c r="Q69" i="33"/>
  <c r="Q38" i="33"/>
  <c r="Q67" i="33"/>
  <c r="P35" i="33"/>
  <c r="P64" i="33"/>
  <c r="Q63" i="33"/>
  <c r="Q7" i="33"/>
  <c r="Q34" i="33"/>
  <c r="U18" i="32"/>
  <c r="S6" i="34" s="1"/>
  <c r="R6" i="33"/>
  <c r="R10" i="33"/>
  <c r="R12" i="33"/>
  <c r="R13" i="33"/>
  <c r="Q11" i="33"/>
  <c r="T156" i="32"/>
  <c r="R11" i="35" s="1"/>
  <c r="P39" i="33"/>
  <c r="P68" i="33"/>
  <c r="G72" i="33"/>
  <c r="G73" i="33" s="1"/>
  <c r="G75" i="33" s="1"/>
  <c r="G16" i="33"/>
  <c r="G18" i="33" s="1"/>
  <c r="J44" i="32"/>
  <c r="K39" i="32" s="1"/>
  <c r="K41" i="32" s="1"/>
  <c r="K43" i="32" s="1"/>
  <c r="H15" i="33"/>
  <c r="Q48" i="31"/>
  <c r="Q81" i="31"/>
  <c r="Q81" i="30"/>
  <c r="Q48" i="30"/>
  <c r="Q81" i="1"/>
  <c r="Q48" i="1"/>
  <c r="S77" i="30"/>
  <c r="S44" i="30"/>
  <c r="Q38" i="31"/>
  <c r="Q71" i="31"/>
  <c r="Q78" i="31"/>
  <c r="Q45" i="31"/>
  <c r="S44" i="31"/>
  <c r="S77" i="31"/>
  <c r="Q83" i="30"/>
  <c r="Q50" i="30"/>
  <c r="Q49" i="30"/>
  <c r="Q82" i="30"/>
  <c r="Q49" i="1"/>
  <c r="Q82" i="1"/>
  <c r="Q79" i="1"/>
  <c r="Q46" i="1"/>
  <c r="Q46" i="30"/>
  <c r="Q79" i="30"/>
  <c r="Q71" i="30"/>
  <c r="Q38" i="30"/>
  <c r="Q78" i="30"/>
  <c r="Q45" i="30"/>
  <c r="Q47" i="31"/>
  <c r="Q80" i="31"/>
  <c r="Q47" i="1"/>
  <c r="Q80" i="1"/>
  <c r="U18" i="25"/>
  <c r="R16" i="31"/>
  <c r="R18" i="31"/>
  <c r="R15" i="31"/>
  <c r="R17" i="31"/>
  <c r="R6" i="31"/>
  <c r="R13" i="31"/>
  <c r="R17" i="30"/>
  <c r="R16" i="30"/>
  <c r="R15" i="30"/>
  <c r="R6" i="30"/>
  <c r="R15" i="1"/>
  <c r="R16" i="1"/>
  <c r="R14" i="31"/>
  <c r="R13" i="1"/>
  <c r="R18" i="30"/>
  <c r="R13" i="30"/>
  <c r="R14" i="30"/>
  <c r="R17" i="1"/>
  <c r="R14" i="1"/>
  <c r="T12" i="1"/>
  <c r="T12" i="30"/>
  <c r="T12" i="31"/>
  <c r="P51" i="30"/>
  <c r="P84" i="30" s="1"/>
  <c r="P51" i="31"/>
  <c r="P84" i="31" s="1"/>
  <c r="R18" i="1"/>
  <c r="R83" i="1" s="1"/>
  <c r="Q82" i="31"/>
  <c r="Q49" i="31"/>
  <c r="Q47" i="30"/>
  <c r="Q80" i="30"/>
  <c r="S44" i="1"/>
  <c r="S77" i="1"/>
  <c r="Q79" i="31"/>
  <c r="Q46" i="31"/>
  <c r="Q45" i="1"/>
  <c r="Q78" i="1"/>
  <c r="Q50" i="31"/>
  <c r="Q83" i="31"/>
  <c r="L70" i="32"/>
  <c r="L72" i="32" s="1"/>
  <c r="L73" i="32" s="1"/>
  <c r="M68" i="32" s="1"/>
  <c r="L61" i="32"/>
  <c r="L63" i="32" s="1"/>
  <c r="L64" i="32" s="1"/>
  <c r="M59" i="32" s="1"/>
  <c r="V150" i="32"/>
  <c r="V151" i="32"/>
  <c r="X162" i="32"/>
  <c r="U155" i="32"/>
  <c r="I54" i="32"/>
  <c r="J49" i="32" s="1"/>
  <c r="J51" i="32" s="1"/>
  <c r="R6" i="1"/>
  <c r="R38" i="1" s="1"/>
  <c r="Q38" i="1"/>
  <c r="Q71" i="1"/>
  <c r="U161" i="25"/>
  <c r="U162" i="25"/>
  <c r="U146" i="25"/>
  <c r="U160" i="25"/>
  <c r="U159" i="25"/>
  <c r="U145" i="25"/>
  <c r="P51" i="1"/>
  <c r="Q72" i="25"/>
  <c r="Q73" i="25" s="1"/>
  <c r="R68" i="25" s="1"/>
  <c r="R70" i="25" s="1"/>
  <c r="K64" i="25"/>
  <c r="L59" i="25" s="1"/>
  <c r="L61" i="25" s="1"/>
  <c r="R54" i="25"/>
  <c r="S49" i="25" s="1"/>
  <c r="S51" i="25" s="1"/>
  <c r="S53" i="25" s="1"/>
  <c r="J44" i="36" l="1"/>
  <c r="K39" i="36" s="1"/>
  <c r="H14" i="38"/>
  <c r="H14" i="39"/>
  <c r="H14" i="37"/>
  <c r="H47" i="43"/>
  <c r="H48" i="43" s="1"/>
  <c r="H50" i="43" s="1"/>
  <c r="H47" i="42"/>
  <c r="H48" i="42" s="1"/>
  <c r="H50" i="42" s="1"/>
  <c r="H68" i="47"/>
  <c r="S61" i="37"/>
  <c r="S7" i="37"/>
  <c r="S33" i="37"/>
  <c r="S68" i="38"/>
  <c r="S40" i="38"/>
  <c r="H78" i="43"/>
  <c r="H79" i="43" s="1"/>
  <c r="H81" i="43" s="1"/>
  <c r="H18" i="43"/>
  <c r="H20" i="43" s="1"/>
  <c r="G28" i="42"/>
  <c r="G41" i="38"/>
  <c r="G42" i="38" s="1"/>
  <c r="G44" i="38" s="1"/>
  <c r="G46" i="38" s="1"/>
  <c r="G52" i="38" s="1"/>
  <c r="G41" i="37"/>
  <c r="G42" i="37" s="1"/>
  <c r="G44" i="37" s="1"/>
  <c r="G46" i="37" s="1"/>
  <c r="G52" i="37" s="1"/>
  <c r="G41" i="39"/>
  <c r="G42" i="39" s="1"/>
  <c r="G44" i="39" s="1"/>
  <c r="G46" i="39" s="1"/>
  <c r="G52" i="39" s="1"/>
  <c r="P13" i="41"/>
  <c r="P13" i="43"/>
  <c r="P13" i="42"/>
  <c r="I37" i="47"/>
  <c r="I38" i="47" s="1"/>
  <c r="I40" i="47" s="1"/>
  <c r="I37" i="48"/>
  <c r="I38" i="48" s="1"/>
  <c r="I40" i="48" s="1"/>
  <c r="S39" i="38"/>
  <c r="S67" i="38"/>
  <c r="H78" i="42"/>
  <c r="H79" i="42" s="1"/>
  <c r="H81" i="42" s="1"/>
  <c r="H18" i="42"/>
  <c r="H20" i="42" s="1"/>
  <c r="S14" i="33"/>
  <c r="S14" i="35" s="1"/>
  <c r="S33" i="38"/>
  <c r="S61" i="38"/>
  <c r="S7" i="38"/>
  <c r="S68" i="39"/>
  <c r="S40" i="39"/>
  <c r="R65" i="37"/>
  <c r="R37" i="37"/>
  <c r="R62" i="39"/>
  <c r="R34" i="39"/>
  <c r="O43" i="42"/>
  <c r="O74" i="42"/>
  <c r="S33" i="39"/>
  <c r="S61" i="39"/>
  <c r="S7" i="39"/>
  <c r="S40" i="37"/>
  <c r="S68" i="37"/>
  <c r="R65" i="38"/>
  <c r="R37" i="38"/>
  <c r="H17" i="48"/>
  <c r="H23" i="48" s="1"/>
  <c r="I23" i="48" s="1"/>
  <c r="H74" i="47"/>
  <c r="G69" i="38"/>
  <c r="G70" i="38" s="1"/>
  <c r="G72" i="38" s="1"/>
  <c r="G74" i="38" s="1"/>
  <c r="G80" i="38" s="1"/>
  <c r="G15" i="38"/>
  <c r="G17" i="38" s="1"/>
  <c r="G19" i="38" s="1"/>
  <c r="G25" i="38" s="1"/>
  <c r="R34" i="38"/>
  <c r="R62" i="38"/>
  <c r="R62" i="37"/>
  <c r="R34" i="37"/>
  <c r="O43" i="43"/>
  <c r="O74" i="43"/>
  <c r="S18" i="1"/>
  <c r="I17" i="43"/>
  <c r="I17" i="42"/>
  <c r="J12" i="47"/>
  <c r="J12" i="48"/>
  <c r="S67" i="39"/>
  <c r="S39" i="39"/>
  <c r="W18" i="36"/>
  <c r="T13" i="37"/>
  <c r="T12" i="39"/>
  <c r="T12" i="38"/>
  <c r="T13" i="38"/>
  <c r="T12" i="37"/>
  <c r="T13" i="39"/>
  <c r="T6" i="38"/>
  <c r="T6" i="39"/>
  <c r="T6" i="37"/>
  <c r="R65" i="39"/>
  <c r="R37" i="39"/>
  <c r="H68" i="48"/>
  <c r="H74" i="48" s="1"/>
  <c r="I74" i="48" s="1"/>
  <c r="G69" i="37"/>
  <c r="G70" i="37" s="1"/>
  <c r="G72" i="37" s="1"/>
  <c r="G74" i="37" s="1"/>
  <c r="G80" i="37" s="1"/>
  <c r="G15" i="37"/>
  <c r="G17" i="37" s="1"/>
  <c r="G19" i="37" s="1"/>
  <c r="G25" i="37" s="1"/>
  <c r="G28" i="43"/>
  <c r="I63" i="48"/>
  <c r="I64" i="48" s="1"/>
  <c r="I66" i="48" s="1"/>
  <c r="I68" i="48" s="1"/>
  <c r="I13" i="48"/>
  <c r="I15" i="48" s="1"/>
  <c r="I17" i="48" s="1"/>
  <c r="R71" i="1"/>
  <c r="S39" i="37"/>
  <c r="S67" i="37"/>
  <c r="V153" i="36"/>
  <c r="S10" i="38"/>
  <c r="S10" i="39"/>
  <c r="S10" i="37"/>
  <c r="G69" i="39"/>
  <c r="G70" i="39" s="1"/>
  <c r="G72" i="39" s="1"/>
  <c r="G74" i="39" s="1"/>
  <c r="G80" i="39" s="1"/>
  <c r="G15" i="39"/>
  <c r="G17" i="39" s="1"/>
  <c r="G19" i="39" s="1"/>
  <c r="G25" i="39" s="1"/>
  <c r="H23" i="47"/>
  <c r="I63" i="47"/>
  <c r="I64" i="47" s="1"/>
  <c r="I66" i="47" s="1"/>
  <c r="I68" i="47" s="1"/>
  <c r="I13" i="47"/>
  <c r="I15" i="47" s="1"/>
  <c r="H48" i="46"/>
  <c r="K51" i="45"/>
  <c r="L46" i="45" s="1"/>
  <c r="I37" i="46"/>
  <c r="I38" i="46" s="1"/>
  <c r="I40" i="46" s="1"/>
  <c r="H23" i="46"/>
  <c r="L41" i="45"/>
  <c r="M36" i="45" s="1"/>
  <c r="J12" i="46"/>
  <c r="I63" i="46"/>
  <c r="I64" i="46" s="1"/>
  <c r="I66" i="46" s="1"/>
  <c r="I68" i="46" s="1"/>
  <c r="I13" i="46"/>
  <c r="I15" i="46" s="1"/>
  <c r="I17" i="46" s="1"/>
  <c r="H68" i="46"/>
  <c r="H74" i="46" s="1"/>
  <c r="M38" i="45"/>
  <c r="M67" i="45"/>
  <c r="M69" i="45" s="1"/>
  <c r="M70" i="45" s="1"/>
  <c r="N65" i="45" s="1"/>
  <c r="M58" i="45"/>
  <c r="M60" i="45" s="1"/>
  <c r="M61" i="45" s="1"/>
  <c r="N56" i="45" s="1"/>
  <c r="L48" i="45"/>
  <c r="L50" i="45" s="1"/>
  <c r="Q14" i="34"/>
  <c r="Q42" i="34" s="1"/>
  <c r="Q71" i="34"/>
  <c r="S71" i="35"/>
  <c r="S42" i="35"/>
  <c r="Q64" i="34"/>
  <c r="V159" i="32"/>
  <c r="T14" i="33" s="1"/>
  <c r="T14" i="35" s="1"/>
  <c r="R71" i="33"/>
  <c r="R42" i="33"/>
  <c r="R63" i="34"/>
  <c r="R34" i="34"/>
  <c r="R11" i="34"/>
  <c r="R39" i="34" s="1"/>
  <c r="R68" i="35"/>
  <c r="R39" i="35"/>
  <c r="R41" i="34"/>
  <c r="R70" i="34"/>
  <c r="R67" i="35"/>
  <c r="R38" i="35"/>
  <c r="H72" i="35"/>
  <c r="H73" i="35" s="1"/>
  <c r="H75" i="35" s="1"/>
  <c r="H77" i="35" s="1"/>
  <c r="H83" i="35" s="1"/>
  <c r="H16" i="35"/>
  <c r="H18" i="35" s="1"/>
  <c r="H20" i="35" s="1"/>
  <c r="H26" i="35" s="1"/>
  <c r="O66" i="39"/>
  <c r="O38" i="39"/>
  <c r="I15" i="35"/>
  <c r="I15" i="34"/>
  <c r="S10" i="35"/>
  <c r="S10" i="34"/>
  <c r="S13" i="35"/>
  <c r="S13" i="34"/>
  <c r="S12" i="35"/>
  <c r="S12" i="34"/>
  <c r="R41" i="35"/>
  <c r="R70" i="35"/>
  <c r="O38" i="37"/>
  <c r="O66" i="37"/>
  <c r="R69" i="34"/>
  <c r="R40" i="34"/>
  <c r="P11" i="39"/>
  <c r="P11" i="38"/>
  <c r="S154" i="36"/>
  <c r="P11" i="37"/>
  <c r="S6" i="35"/>
  <c r="S34" i="35" s="1"/>
  <c r="R69" i="35"/>
  <c r="R40" i="35"/>
  <c r="R67" i="34"/>
  <c r="R38" i="34"/>
  <c r="H72" i="34"/>
  <c r="H73" i="34" s="1"/>
  <c r="H75" i="34" s="1"/>
  <c r="H77" i="34" s="1"/>
  <c r="H83" i="34" s="1"/>
  <c r="H16" i="34"/>
  <c r="H18" i="34" s="1"/>
  <c r="H20" i="34" s="1"/>
  <c r="H26" i="34" s="1"/>
  <c r="O66" i="38"/>
  <c r="O38" i="38"/>
  <c r="Q68" i="34"/>
  <c r="Q39" i="34"/>
  <c r="K37" i="40"/>
  <c r="L32" i="40" s="1"/>
  <c r="L34" i="40" s="1"/>
  <c r="L36" i="40" s="1"/>
  <c r="I17" i="41"/>
  <c r="H78" i="41"/>
  <c r="H79" i="41" s="1"/>
  <c r="H81" i="41" s="1"/>
  <c r="H83" i="41" s="1"/>
  <c r="H89" i="41" s="1"/>
  <c r="H18" i="41"/>
  <c r="H20" i="41" s="1"/>
  <c r="H22" i="41" s="1"/>
  <c r="H28" i="41" s="1"/>
  <c r="J47" i="40"/>
  <c r="K42" i="40" s="1"/>
  <c r="K45" i="40" s="1"/>
  <c r="H47" i="41"/>
  <c r="H48" i="41" s="1"/>
  <c r="H50" i="41" s="1"/>
  <c r="H52" i="41" s="1"/>
  <c r="H58" i="41" s="1"/>
  <c r="P74" i="41"/>
  <c r="P43" i="41"/>
  <c r="O74" i="41"/>
  <c r="O43" i="41"/>
  <c r="J63" i="40"/>
  <c r="J65" i="40" s="1"/>
  <c r="J66" i="40" s="1"/>
  <c r="K61" i="40" s="1"/>
  <c r="M61" i="36"/>
  <c r="M63" i="36" s="1"/>
  <c r="M64" i="36" s="1"/>
  <c r="N59" i="36" s="1"/>
  <c r="K41" i="36"/>
  <c r="K43" i="36" s="1"/>
  <c r="L70" i="36"/>
  <c r="L72" i="36" s="1"/>
  <c r="L73" i="36" s="1"/>
  <c r="M68" i="36" s="1"/>
  <c r="I54" i="36"/>
  <c r="J49" i="36" s="1"/>
  <c r="S63" i="34"/>
  <c r="S7" i="34"/>
  <c r="S34" i="34"/>
  <c r="R64" i="35"/>
  <c r="R35" i="35"/>
  <c r="R35" i="34"/>
  <c r="R64" i="34"/>
  <c r="R69" i="33"/>
  <c r="R40" i="33"/>
  <c r="R38" i="33"/>
  <c r="R67" i="33"/>
  <c r="R70" i="33"/>
  <c r="R41" i="33"/>
  <c r="V18" i="32"/>
  <c r="S10" i="33"/>
  <c r="S12" i="33"/>
  <c r="S6" i="33"/>
  <c r="S13" i="33"/>
  <c r="Q35" i="33"/>
  <c r="Q64" i="33"/>
  <c r="R63" i="33"/>
  <c r="R7" i="33"/>
  <c r="R34" i="33"/>
  <c r="R11" i="33"/>
  <c r="U156" i="32"/>
  <c r="S11" i="35" s="1"/>
  <c r="Q68" i="33"/>
  <c r="Q39" i="33"/>
  <c r="G77" i="33"/>
  <c r="G83" i="33" s="1"/>
  <c r="H72" i="33"/>
  <c r="H73" i="33" s="1"/>
  <c r="H75" i="33" s="1"/>
  <c r="H77" i="33" s="1"/>
  <c r="H16" i="33"/>
  <c r="H18" i="33" s="1"/>
  <c r="H20" i="33" s="1"/>
  <c r="K44" i="32"/>
  <c r="L39" i="32" s="1"/>
  <c r="L41" i="32" s="1"/>
  <c r="L43" i="32" s="1"/>
  <c r="I15" i="33"/>
  <c r="G20" i="33"/>
  <c r="G26" i="33" s="1"/>
  <c r="R82" i="1"/>
  <c r="R49" i="1"/>
  <c r="R78" i="31"/>
  <c r="R45" i="31"/>
  <c r="T44" i="30"/>
  <c r="T77" i="30"/>
  <c r="R46" i="30"/>
  <c r="R79" i="30"/>
  <c r="R46" i="31"/>
  <c r="R79" i="31"/>
  <c r="R80" i="30"/>
  <c r="R47" i="30"/>
  <c r="R71" i="31"/>
  <c r="R38" i="31"/>
  <c r="R81" i="31"/>
  <c r="R48" i="31"/>
  <c r="R71" i="30"/>
  <c r="R38" i="30"/>
  <c r="R50" i="1"/>
  <c r="T44" i="1"/>
  <c r="T77" i="1"/>
  <c r="R78" i="30"/>
  <c r="R45" i="30"/>
  <c r="R81" i="1"/>
  <c r="R48" i="1"/>
  <c r="R81" i="30"/>
  <c r="R48" i="30"/>
  <c r="R82" i="31"/>
  <c r="R49" i="31"/>
  <c r="V18" i="25"/>
  <c r="S18" i="31"/>
  <c r="S15" i="31"/>
  <c r="S16" i="31"/>
  <c r="S6" i="31"/>
  <c r="S14" i="31"/>
  <c r="S13" i="31"/>
  <c r="S16" i="30"/>
  <c r="S13" i="1"/>
  <c r="S18" i="30"/>
  <c r="S15" i="30"/>
  <c r="S6" i="30"/>
  <c r="S14" i="30"/>
  <c r="S17" i="30"/>
  <c r="S15" i="1"/>
  <c r="S16" i="1"/>
  <c r="S13" i="30"/>
  <c r="S17" i="31"/>
  <c r="S17" i="1"/>
  <c r="S14" i="1"/>
  <c r="U12" i="31"/>
  <c r="U12" i="30"/>
  <c r="U12" i="1"/>
  <c r="T77" i="31"/>
  <c r="T44" i="31"/>
  <c r="R78" i="1"/>
  <c r="R45" i="1"/>
  <c r="R83" i="31"/>
  <c r="R50" i="31"/>
  <c r="Q51" i="30"/>
  <c r="Q84" i="30" s="1"/>
  <c r="Q51" i="31"/>
  <c r="Q84" i="31" s="1"/>
  <c r="R46" i="1"/>
  <c r="R79" i="1"/>
  <c r="R50" i="30"/>
  <c r="R83" i="30"/>
  <c r="R80" i="1"/>
  <c r="R47" i="1"/>
  <c r="R82" i="30"/>
  <c r="R49" i="30"/>
  <c r="R80" i="31"/>
  <c r="R47" i="31"/>
  <c r="M70" i="32"/>
  <c r="M72" i="32" s="1"/>
  <c r="M73" i="32" s="1"/>
  <c r="N68" i="32" s="1"/>
  <c r="J53" i="32"/>
  <c r="V155" i="32"/>
  <c r="Y162" i="32"/>
  <c r="W151" i="32"/>
  <c r="W150" i="32"/>
  <c r="M61" i="32"/>
  <c r="M63" i="32" s="1"/>
  <c r="M64" i="32" s="1"/>
  <c r="N59" i="32" s="1"/>
  <c r="S6" i="1"/>
  <c r="S38" i="1" s="1"/>
  <c r="S50" i="1"/>
  <c r="S83" i="1"/>
  <c r="V145" i="25"/>
  <c r="V162" i="25"/>
  <c r="V159" i="25"/>
  <c r="V146" i="25"/>
  <c r="V160" i="25"/>
  <c r="V161" i="25"/>
  <c r="P84" i="1"/>
  <c r="Q51" i="1"/>
  <c r="Q84" i="1" s="1"/>
  <c r="L63" i="25"/>
  <c r="S54" i="25"/>
  <c r="T49" i="25" s="1"/>
  <c r="T51" i="25" s="1"/>
  <c r="T53" i="25" s="1"/>
  <c r="K44" i="40" l="1"/>
  <c r="S65" i="37"/>
  <c r="S37" i="37"/>
  <c r="T33" i="39"/>
  <c r="T61" i="39"/>
  <c r="T7" i="39"/>
  <c r="T67" i="39"/>
  <c r="T39" i="39"/>
  <c r="J63" i="47"/>
  <c r="J64" i="47" s="1"/>
  <c r="J66" i="47" s="1"/>
  <c r="J13" i="47"/>
  <c r="J15" i="47" s="1"/>
  <c r="J17" i="47" s="1"/>
  <c r="S62" i="39"/>
  <c r="S34" i="39"/>
  <c r="P74" i="43"/>
  <c r="P43" i="43"/>
  <c r="H52" i="42"/>
  <c r="H58" i="42" s="1"/>
  <c r="S65" i="39"/>
  <c r="S37" i="39"/>
  <c r="T7" i="38"/>
  <c r="T33" i="38"/>
  <c r="T61" i="38"/>
  <c r="T68" i="37"/>
  <c r="T40" i="37"/>
  <c r="S62" i="37"/>
  <c r="S34" i="37"/>
  <c r="H52" i="43"/>
  <c r="H58" i="43" s="1"/>
  <c r="K44" i="36"/>
  <c r="L39" i="36" s="1"/>
  <c r="L41" i="36" s="1"/>
  <c r="L43" i="36" s="1"/>
  <c r="I14" i="39"/>
  <c r="I14" i="37"/>
  <c r="I14" i="38"/>
  <c r="J37" i="47"/>
  <c r="J38" i="47" s="1"/>
  <c r="J40" i="47" s="1"/>
  <c r="J42" i="47" s="1"/>
  <c r="J37" i="48"/>
  <c r="J38" i="48" s="1"/>
  <c r="J40" i="48" s="1"/>
  <c r="J42" i="48" s="1"/>
  <c r="S65" i="38"/>
  <c r="S37" i="38"/>
  <c r="T68" i="39"/>
  <c r="T40" i="39"/>
  <c r="X18" i="36"/>
  <c r="U13" i="39"/>
  <c r="U13" i="38"/>
  <c r="U13" i="37"/>
  <c r="U12" i="39"/>
  <c r="U12" i="37"/>
  <c r="U12" i="38"/>
  <c r="U6" i="38"/>
  <c r="U6" i="39"/>
  <c r="U6" i="37"/>
  <c r="I42" i="48"/>
  <c r="I48" i="48" s="1"/>
  <c r="J48" i="48" s="1"/>
  <c r="H22" i="43"/>
  <c r="H69" i="37"/>
  <c r="H70" i="37" s="1"/>
  <c r="H72" i="37" s="1"/>
  <c r="H74" i="37" s="1"/>
  <c r="H15" i="37"/>
  <c r="H17" i="37" s="1"/>
  <c r="H19" i="37" s="1"/>
  <c r="W153" i="36"/>
  <c r="T10" i="39"/>
  <c r="T10" i="37"/>
  <c r="T10" i="38"/>
  <c r="H25" i="37"/>
  <c r="T67" i="37"/>
  <c r="T39" i="37"/>
  <c r="I78" i="42"/>
  <c r="I79" i="42" s="1"/>
  <c r="I81" i="42" s="1"/>
  <c r="I83" i="42" s="1"/>
  <c r="I18" i="42"/>
  <c r="I20" i="42" s="1"/>
  <c r="I42" i="47"/>
  <c r="I48" i="47" s="1"/>
  <c r="J48" i="47" s="1"/>
  <c r="H83" i="43"/>
  <c r="H89" i="43" s="1"/>
  <c r="H69" i="39"/>
  <c r="H70" i="39" s="1"/>
  <c r="H72" i="39" s="1"/>
  <c r="H74" i="39" s="1"/>
  <c r="H80" i="39" s="1"/>
  <c r="H15" i="39"/>
  <c r="H17" i="39" s="1"/>
  <c r="H19" i="39" s="1"/>
  <c r="H25" i="39" s="1"/>
  <c r="J17" i="43"/>
  <c r="J17" i="42"/>
  <c r="H28" i="43"/>
  <c r="H80" i="37"/>
  <c r="T40" i="38"/>
  <c r="T68" i="38"/>
  <c r="I78" i="43"/>
  <c r="I79" i="43" s="1"/>
  <c r="I81" i="43" s="1"/>
  <c r="I83" i="43" s="1"/>
  <c r="I18" i="43"/>
  <c r="I20" i="43" s="1"/>
  <c r="I74" i="47"/>
  <c r="H22" i="42"/>
  <c r="H28" i="42" s="1"/>
  <c r="H69" i="38"/>
  <c r="H70" i="38" s="1"/>
  <c r="H72" i="38" s="1"/>
  <c r="H74" i="38" s="1"/>
  <c r="H80" i="38" s="1"/>
  <c r="H15" i="38"/>
  <c r="H17" i="38" s="1"/>
  <c r="H19" i="38" s="1"/>
  <c r="H25" i="38" s="1"/>
  <c r="I17" i="47"/>
  <c r="I23" i="47" s="1"/>
  <c r="J23" i="47" s="1"/>
  <c r="T33" i="37"/>
  <c r="T7" i="37"/>
  <c r="T61" i="37"/>
  <c r="T67" i="38"/>
  <c r="T39" i="38"/>
  <c r="J63" i="48"/>
  <c r="J64" i="48" s="1"/>
  <c r="J66" i="48" s="1"/>
  <c r="J13" i="48"/>
  <c r="J15" i="48" s="1"/>
  <c r="J17" i="48" s="1"/>
  <c r="J23" i="48" s="1"/>
  <c r="S62" i="38"/>
  <c r="S34" i="38"/>
  <c r="H83" i="42"/>
  <c r="H89" i="42" s="1"/>
  <c r="I89" i="42" s="1"/>
  <c r="P74" i="42"/>
  <c r="P43" i="42"/>
  <c r="I23" i="46"/>
  <c r="I42" i="46"/>
  <c r="I48" i="46" s="1"/>
  <c r="L51" i="45"/>
  <c r="M46" i="45" s="1"/>
  <c r="J37" i="46"/>
  <c r="J38" i="46" s="1"/>
  <c r="J40" i="46" s="1"/>
  <c r="J42" i="46" s="1"/>
  <c r="I74" i="46"/>
  <c r="J63" i="46"/>
  <c r="J64" i="46" s="1"/>
  <c r="J66" i="46" s="1"/>
  <c r="J68" i="46" s="1"/>
  <c r="J13" i="46"/>
  <c r="J15" i="46" s="1"/>
  <c r="J17" i="46" s="1"/>
  <c r="M40" i="45"/>
  <c r="N38" i="45"/>
  <c r="N58" i="45"/>
  <c r="N60" i="45" s="1"/>
  <c r="N61" i="45" s="1"/>
  <c r="O56" i="45" s="1"/>
  <c r="M48" i="45"/>
  <c r="N67" i="45"/>
  <c r="N69" i="45" s="1"/>
  <c r="N70" i="45" s="1"/>
  <c r="O65" i="45" s="1"/>
  <c r="R14" i="34"/>
  <c r="R42" i="34" s="1"/>
  <c r="R71" i="34"/>
  <c r="T71" i="35"/>
  <c r="T42" i="35"/>
  <c r="R68" i="34"/>
  <c r="S42" i="33"/>
  <c r="S71" i="33"/>
  <c r="W159" i="32"/>
  <c r="S63" i="35"/>
  <c r="S7" i="35"/>
  <c r="S64" i="35" s="1"/>
  <c r="S39" i="35"/>
  <c r="S68" i="35"/>
  <c r="T10" i="34"/>
  <c r="T10" i="35"/>
  <c r="T6" i="34"/>
  <c r="T34" i="34" s="1"/>
  <c r="T13" i="34"/>
  <c r="T13" i="35"/>
  <c r="T12" i="34"/>
  <c r="T12" i="35"/>
  <c r="T6" i="35"/>
  <c r="T7" i="35" s="1"/>
  <c r="P38" i="38"/>
  <c r="P66" i="38"/>
  <c r="S70" i="34"/>
  <c r="S41" i="34"/>
  <c r="S11" i="34"/>
  <c r="H43" i="34"/>
  <c r="H44" i="34" s="1"/>
  <c r="H46" i="34" s="1"/>
  <c r="H48" i="34" s="1"/>
  <c r="H54" i="34" s="1"/>
  <c r="H43" i="35"/>
  <c r="H44" i="35" s="1"/>
  <c r="H46" i="35" s="1"/>
  <c r="H48" i="35" s="1"/>
  <c r="H54" i="35" s="1"/>
  <c r="P38" i="39"/>
  <c r="P66" i="39"/>
  <c r="S70" i="35"/>
  <c r="S41" i="35"/>
  <c r="S67" i="35"/>
  <c r="S38" i="35"/>
  <c r="P66" i="37"/>
  <c r="P38" i="37"/>
  <c r="S40" i="34"/>
  <c r="S69" i="34"/>
  <c r="I72" i="34"/>
  <c r="I73" i="34" s="1"/>
  <c r="I75" i="34" s="1"/>
  <c r="I77" i="34" s="1"/>
  <c r="I83" i="34" s="1"/>
  <c r="I16" i="34"/>
  <c r="I18" i="34" s="1"/>
  <c r="I20" i="34" s="1"/>
  <c r="I26" i="34" s="1"/>
  <c r="J15" i="35"/>
  <c r="J15" i="34"/>
  <c r="Q11" i="38"/>
  <c r="Q11" i="39"/>
  <c r="T154" i="36"/>
  <c r="Q11" i="37"/>
  <c r="S40" i="35"/>
  <c r="S69" i="35"/>
  <c r="S67" i="34"/>
  <c r="S38" i="34"/>
  <c r="I72" i="35"/>
  <c r="I73" i="35" s="1"/>
  <c r="I75" i="35" s="1"/>
  <c r="I77" i="35" s="1"/>
  <c r="I83" i="35" s="1"/>
  <c r="I16" i="35"/>
  <c r="I18" i="35" s="1"/>
  <c r="I20" i="35" s="1"/>
  <c r="I26" i="35" s="1"/>
  <c r="I78" i="41"/>
  <c r="I79" i="41" s="1"/>
  <c r="I81" i="41" s="1"/>
  <c r="I83" i="41" s="1"/>
  <c r="I89" i="41" s="1"/>
  <c r="I18" i="41"/>
  <c r="I20" i="41" s="1"/>
  <c r="I22" i="41" s="1"/>
  <c r="I28" i="41" s="1"/>
  <c r="L37" i="40"/>
  <c r="M32" i="40" s="1"/>
  <c r="M34" i="40" s="1"/>
  <c r="M36" i="40" s="1"/>
  <c r="J17" i="41"/>
  <c r="K55" i="40"/>
  <c r="K46" i="40"/>
  <c r="K63" i="40"/>
  <c r="M70" i="36"/>
  <c r="M72" i="36" s="1"/>
  <c r="M73" i="36" s="1"/>
  <c r="N68" i="36" s="1"/>
  <c r="N61" i="36"/>
  <c r="N63" i="36" s="1"/>
  <c r="N64" i="36" s="1"/>
  <c r="O59" i="36" s="1"/>
  <c r="J51" i="36"/>
  <c r="J53" i="36" s="1"/>
  <c r="S64" i="34"/>
  <c r="S35" i="34"/>
  <c r="S7" i="33"/>
  <c r="S63" i="33"/>
  <c r="S34" i="33"/>
  <c r="S40" i="33"/>
  <c r="S69" i="33"/>
  <c r="S67" i="33"/>
  <c r="S38" i="33"/>
  <c r="R35" i="33"/>
  <c r="R64" i="33"/>
  <c r="S41" i="33"/>
  <c r="S70" i="33"/>
  <c r="W18" i="32"/>
  <c r="U6" i="35" s="1"/>
  <c r="T6" i="33"/>
  <c r="T10" i="33"/>
  <c r="T12" i="33"/>
  <c r="T13" i="33"/>
  <c r="S11" i="33"/>
  <c r="V156" i="32"/>
  <c r="T11" i="35" s="1"/>
  <c r="R68" i="33"/>
  <c r="R39" i="33"/>
  <c r="H26" i="33"/>
  <c r="I72" i="33"/>
  <c r="I73" i="33" s="1"/>
  <c r="I75" i="33" s="1"/>
  <c r="I16" i="33"/>
  <c r="I18" i="33" s="1"/>
  <c r="I20" i="33" s="1"/>
  <c r="J54" i="32"/>
  <c r="K49" i="32" s="1"/>
  <c r="K51" i="32" s="1"/>
  <c r="K53" i="32" s="1"/>
  <c r="H43" i="33"/>
  <c r="H44" i="33" s="1"/>
  <c r="H46" i="33" s="1"/>
  <c r="L44" i="32"/>
  <c r="M39" i="32" s="1"/>
  <c r="M41" i="32" s="1"/>
  <c r="M43" i="32" s="1"/>
  <c r="J15" i="33"/>
  <c r="H83" i="33"/>
  <c r="S45" i="30"/>
  <c r="S78" i="30"/>
  <c r="W18" i="25"/>
  <c r="T18" i="31"/>
  <c r="T13" i="31"/>
  <c r="T18" i="30"/>
  <c r="T13" i="30"/>
  <c r="T13" i="1"/>
  <c r="T6" i="31"/>
  <c r="T6" i="30"/>
  <c r="T15" i="1"/>
  <c r="T15" i="31"/>
  <c r="T15" i="30"/>
  <c r="T16" i="1"/>
  <c r="T17" i="1"/>
  <c r="V12" i="1"/>
  <c r="T14" i="30"/>
  <c r="T14" i="1"/>
  <c r="V12" i="31"/>
  <c r="T16" i="31"/>
  <c r="V12" i="30"/>
  <c r="T14" i="31"/>
  <c r="T16" i="30"/>
  <c r="T17" i="30"/>
  <c r="T17" i="31"/>
  <c r="S46" i="1"/>
  <c r="S79" i="1"/>
  <c r="S48" i="1"/>
  <c r="S81" i="1"/>
  <c r="S71" i="30"/>
  <c r="S38" i="30"/>
  <c r="S81" i="30"/>
  <c r="S48" i="30"/>
  <c r="S81" i="31"/>
  <c r="S48" i="31"/>
  <c r="S38" i="31"/>
  <c r="S71" i="31"/>
  <c r="R51" i="31"/>
  <c r="R84" i="31" s="1"/>
  <c r="R51" i="30"/>
  <c r="R84" i="30" s="1"/>
  <c r="U77" i="1"/>
  <c r="U44" i="1"/>
  <c r="S82" i="1"/>
  <c r="S49" i="1"/>
  <c r="S80" i="1"/>
  <c r="S47" i="1"/>
  <c r="S80" i="30"/>
  <c r="S47" i="30"/>
  <c r="S78" i="31"/>
  <c r="S45" i="31"/>
  <c r="S80" i="31"/>
  <c r="S47" i="31"/>
  <c r="U77" i="31"/>
  <c r="U44" i="31"/>
  <c r="S46" i="30"/>
  <c r="S79" i="30"/>
  <c r="S78" i="1"/>
  <c r="S45" i="1"/>
  <c r="T18" i="1"/>
  <c r="T83" i="1" s="1"/>
  <c r="U77" i="30"/>
  <c r="U44" i="30"/>
  <c r="S49" i="31"/>
  <c r="S82" i="31"/>
  <c r="S82" i="30"/>
  <c r="S49" i="30"/>
  <c r="S50" i="30"/>
  <c r="S83" i="30"/>
  <c r="S46" i="31"/>
  <c r="S79" i="31"/>
  <c r="S83" i="31"/>
  <c r="S50" i="31"/>
  <c r="N61" i="32"/>
  <c r="N63" i="32" s="1"/>
  <c r="N64" i="32" s="1"/>
  <c r="O59" i="32" s="1"/>
  <c r="N70" i="32"/>
  <c r="N72" i="32" s="1"/>
  <c r="N73" i="32" s="1"/>
  <c r="O68" i="32" s="1"/>
  <c r="X150" i="32"/>
  <c r="Z162" i="32"/>
  <c r="X151" i="32"/>
  <c r="W155" i="32"/>
  <c r="T6" i="1"/>
  <c r="T71" i="1" s="1"/>
  <c r="S71" i="1"/>
  <c r="T50" i="1"/>
  <c r="W162" i="25"/>
  <c r="W161" i="25"/>
  <c r="W146" i="25"/>
  <c r="W160" i="25"/>
  <c r="W159" i="25"/>
  <c r="W145" i="25"/>
  <c r="R51" i="1"/>
  <c r="R84" i="1" s="1"/>
  <c r="R72" i="25"/>
  <c r="R73" i="25" s="1"/>
  <c r="S68" i="25" s="1"/>
  <c r="S70" i="25" s="1"/>
  <c r="L64" i="25"/>
  <c r="M59" i="25" s="1"/>
  <c r="M61" i="25" s="1"/>
  <c r="T54" i="25"/>
  <c r="U49" i="25" s="1"/>
  <c r="U51" i="25" s="1"/>
  <c r="U53" i="25" s="1"/>
  <c r="J14" i="38" l="1"/>
  <c r="J14" i="37"/>
  <c r="J14" i="39"/>
  <c r="J68" i="48"/>
  <c r="J74" i="48" s="1"/>
  <c r="J78" i="42"/>
  <c r="J79" i="42" s="1"/>
  <c r="J81" i="42" s="1"/>
  <c r="J83" i="42" s="1"/>
  <c r="J89" i="42" s="1"/>
  <c r="J18" i="42"/>
  <c r="J20" i="42" s="1"/>
  <c r="I89" i="43"/>
  <c r="T65" i="39"/>
  <c r="T37" i="39"/>
  <c r="U33" i="37"/>
  <c r="U61" i="37"/>
  <c r="U7" i="37"/>
  <c r="U68" i="37"/>
  <c r="U40" i="37"/>
  <c r="I69" i="38"/>
  <c r="I70" i="38" s="1"/>
  <c r="I72" i="38" s="1"/>
  <c r="I74" i="38" s="1"/>
  <c r="I80" i="38" s="1"/>
  <c r="I15" i="38"/>
  <c r="I17" i="38" s="1"/>
  <c r="I19" i="38" s="1"/>
  <c r="I25" i="38" s="1"/>
  <c r="J68" i="47"/>
  <c r="J78" i="43"/>
  <c r="J79" i="43" s="1"/>
  <c r="J81" i="43" s="1"/>
  <c r="J83" i="43" s="1"/>
  <c r="J18" i="43"/>
  <c r="J20" i="43" s="1"/>
  <c r="X153" i="36"/>
  <c r="U10" i="38"/>
  <c r="U10" i="39"/>
  <c r="U10" i="37"/>
  <c r="U61" i="39"/>
  <c r="U33" i="39"/>
  <c r="U7" i="39"/>
  <c r="U68" i="38"/>
  <c r="U40" i="38"/>
  <c r="I69" i="37"/>
  <c r="I70" i="37" s="1"/>
  <c r="I72" i="37" s="1"/>
  <c r="I74" i="37" s="1"/>
  <c r="I15" i="37"/>
  <c r="I17" i="37" s="1"/>
  <c r="I19" i="37" s="1"/>
  <c r="I25" i="37" s="1"/>
  <c r="T63" i="34"/>
  <c r="U61" i="38"/>
  <c r="U7" i="38"/>
  <c r="U33" i="38"/>
  <c r="U68" i="39"/>
  <c r="U40" i="39"/>
  <c r="I69" i="39"/>
  <c r="I70" i="39" s="1"/>
  <c r="I72" i="39" s="1"/>
  <c r="I74" i="39" s="1"/>
  <c r="I80" i="39" s="1"/>
  <c r="I15" i="39"/>
  <c r="I17" i="39" s="1"/>
  <c r="I19" i="39" s="1"/>
  <c r="I25" i="39" s="1"/>
  <c r="T34" i="38"/>
  <c r="T62" i="38"/>
  <c r="K17" i="43"/>
  <c r="K17" i="42"/>
  <c r="L44" i="36"/>
  <c r="M39" i="36" s="1"/>
  <c r="T34" i="37"/>
  <c r="T62" i="37"/>
  <c r="J74" i="47"/>
  <c r="T37" i="38"/>
  <c r="T65" i="38"/>
  <c r="U67" i="37"/>
  <c r="U39" i="37"/>
  <c r="J54" i="36"/>
  <c r="K49" i="36" s="1"/>
  <c r="H41" i="37"/>
  <c r="H42" i="37" s="1"/>
  <c r="H44" i="37" s="1"/>
  <c r="H46" i="37" s="1"/>
  <c r="H52" i="37" s="1"/>
  <c r="H41" i="39"/>
  <c r="H42" i="39" s="1"/>
  <c r="H44" i="39" s="1"/>
  <c r="H46" i="39" s="1"/>
  <c r="H52" i="39" s="1"/>
  <c r="H41" i="38"/>
  <c r="H42" i="38" s="1"/>
  <c r="H44" i="38" s="1"/>
  <c r="H46" i="38" s="1"/>
  <c r="H52" i="38" s="1"/>
  <c r="I47" i="43"/>
  <c r="I48" i="43" s="1"/>
  <c r="I50" i="43" s="1"/>
  <c r="I47" i="42"/>
  <c r="I48" i="42" s="1"/>
  <c r="I50" i="42" s="1"/>
  <c r="I80" i="37"/>
  <c r="U67" i="38"/>
  <c r="U39" i="38"/>
  <c r="Y18" i="36"/>
  <c r="V13" i="37"/>
  <c r="V13" i="39"/>
  <c r="V13" i="38"/>
  <c r="V12" i="37"/>
  <c r="V12" i="39"/>
  <c r="V12" i="38"/>
  <c r="V6" i="38"/>
  <c r="V6" i="37"/>
  <c r="V6" i="39"/>
  <c r="T34" i="39"/>
  <c r="T62" i="39"/>
  <c r="U14" i="33"/>
  <c r="U14" i="35" s="1"/>
  <c r="U71" i="35" s="1"/>
  <c r="K12" i="46"/>
  <c r="K63" i="46" s="1"/>
  <c r="K64" i="46" s="1"/>
  <c r="K66" i="46" s="1"/>
  <c r="B72" i="46" s="1"/>
  <c r="K12" i="48"/>
  <c r="K12" i="47"/>
  <c r="I22" i="43"/>
  <c r="I28" i="43" s="1"/>
  <c r="I22" i="42"/>
  <c r="I28" i="42" s="1"/>
  <c r="T65" i="37"/>
  <c r="T37" i="37"/>
  <c r="U39" i="39"/>
  <c r="U67" i="39"/>
  <c r="J23" i="46"/>
  <c r="J48" i="46"/>
  <c r="K13" i="46"/>
  <c r="K15" i="46" s="1"/>
  <c r="B21" i="46" s="1"/>
  <c r="J74" i="46"/>
  <c r="M50" i="45"/>
  <c r="N48" i="45"/>
  <c r="M41" i="45"/>
  <c r="N40" i="45"/>
  <c r="O67" i="45"/>
  <c r="O69" i="45" s="1"/>
  <c r="O70" i="45" s="1"/>
  <c r="P65" i="45" s="1"/>
  <c r="O58" i="45"/>
  <c r="O60" i="45" s="1"/>
  <c r="O61" i="45" s="1"/>
  <c r="P56" i="45" s="1"/>
  <c r="S71" i="34"/>
  <c r="S14" i="34"/>
  <c r="S42" i="34" s="1"/>
  <c r="X159" i="32"/>
  <c r="T42" i="33"/>
  <c r="T71" i="33"/>
  <c r="S35" i="35"/>
  <c r="T7" i="34"/>
  <c r="T64" i="34" s="1"/>
  <c r="T63" i="35"/>
  <c r="T68" i="35"/>
  <c r="T39" i="35"/>
  <c r="K15" i="35"/>
  <c r="K15" i="34"/>
  <c r="Q66" i="38"/>
  <c r="Q38" i="38"/>
  <c r="T40" i="35"/>
  <c r="T69" i="35"/>
  <c r="T11" i="34"/>
  <c r="T34" i="35"/>
  <c r="Q66" i="37"/>
  <c r="Q38" i="37"/>
  <c r="J72" i="34"/>
  <c r="J73" i="34" s="1"/>
  <c r="J75" i="34" s="1"/>
  <c r="J77" i="34" s="1"/>
  <c r="J83" i="34" s="1"/>
  <c r="J16" i="34"/>
  <c r="J18" i="34" s="1"/>
  <c r="J20" i="34" s="1"/>
  <c r="J26" i="34" s="1"/>
  <c r="S68" i="34"/>
  <c r="S39" i="34"/>
  <c r="T40" i="34"/>
  <c r="T69" i="34"/>
  <c r="T38" i="35"/>
  <c r="T67" i="35"/>
  <c r="I43" i="34"/>
  <c r="I44" i="34" s="1"/>
  <c r="I46" i="34" s="1"/>
  <c r="I48" i="34" s="1"/>
  <c r="I54" i="34" s="1"/>
  <c r="I43" i="35"/>
  <c r="I44" i="35" s="1"/>
  <c r="I46" i="35" s="1"/>
  <c r="I48" i="35" s="1"/>
  <c r="I54" i="35" s="1"/>
  <c r="U10" i="34"/>
  <c r="U10" i="35"/>
  <c r="U13" i="34"/>
  <c r="U13" i="35"/>
  <c r="U12" i="35"/>
  <c r="U12" i="34"/>
  <c r="U6" i="34"/>
  <c r="U7" i="34" s="1"/>
  <c r="R11" i="38"/>
  <c r="R11" i="39"/>
  <c r="R11" i="37"/>
  <c r="U154" i="36"/>
  <c r="J72" i="35"/>
  <c r="J73" i="35" s="1"/>
  <c r="J75" i="35" s="1"/>
  <c r="J77" i="35" s="1"/>
  <c r="J83" i="35" s="1"/>
  <c r="J16" i="35"/>
  <c r="J18" i="35" s="1"/>
  <c r="J20" i="35" s="1"/>
  <c r="J26" i="35" s="1"/>
  <c r="T41" i="35"/>
  <c r="T70" i="35"/>
  <c r="T67" i="34"/>
  <c r="T38" i="34"/>
  <c r="Q66" i="39"/>
  <c r="Q38" i="39"/>
  <c r="T70" i="34"/>
  <c r="T41" i="34"/>
  <c r="J78" i="41"/>
  <c r="J79" i="41" s="1"/>
  <c r="J81" i="41" s="1"/>
  <c r="J18" i="41"/>
  <c r="J20" i="41" s="1"/>
  <c r="K47" i="40"/>
  <c r="L42" i="40" s="1"/>
  <c r="L44" i="40" s="1"/>
  <c r="I47" i="41"/>
  <c r="I48" i="41" s="1"/>
  <c r="I50" i="41" s="1"/>
  <c r="M37" i="40"/>
  <c r="N32" i="40" s="1"/>
  <c r="N34" i="40" s="1"/>
  <c r="N36" i="40" s="1"/>
  <c r="K17" i="41"/>
  <c r="L45" i="40"/>
  <c r="K64" i="40"/>
  <c r="K65" i="40" s="1"/>
  <c r="K66" i="40" s="1"/>
  <c r="L61" i="40" s="1"/>
  <c r="L63" i="40" s="1"/>
  <c r="K56" i="40"/>
  <c r="K57" i="40" s="1"/>
  <c r="L52" i="40" s="1"/>
  <c r="L54" i="40" s="1"/>
  <c r="O61" i="36"/>
  <c r="O63" i="36" s="1"/>
  <c r="O64" i="36" s="1"/>
  <c r="P59" i="36" s="1"/>
  <c r="K51" i="36"/>
  <c r="K53" i="36" s="1"/>
  <c r="N70" i="36"/>
  <c r="N72" i="36" s="1"/>
  <c r="N73" i="36" s="1"/>
  <c r="O68" i="36" s="1"/>
  <c r="M41" i="36"/>
  <c r="M43" i="36" s="1"/>
  <c r="T64" i="35"/>
  <c r="T35" i="35"/>
  <c r="U7" i="35"/>
  <c r="U34" i="35"/>
  <c r="U63" i="35"/>
  <c r="T38" i="33"/>
  <c r="T67" i="33"/>
  <c r="T70" i="33"/>
  <c r="T41" i="33"/>
  <c r="X18" i="32"/>
  <c r="V6" i="34" s="1"/>
  <c r="U10" i="33"/>
  <c r="U12" i="33"/>
  <c r="U13" i="33"/>
  <c r="U6" i="33"/>
  <c r="T69" i="33"/>
  <c r="T40" i="33"/>
  <c r="T7" i="33"/>
  <c r="T63" i="33"/>
  <c r="T34" i="33"/>
  <c r="S35" i="33"/>
  <c r="S64" i="33"/>
  <c r="T11" i="33"/>
  <c r="W156" i="32"/>
  <c r="U11" i="34" s="1"/>
  <c r="S68" i="33"/>
  <c r="S39" i="33"/>
  <c r="I26" i="33"/>
  <c r="M44" i="32"/>
  <c r="N39" i="32" s="1"/>
  <c r="N41" i="32" s="1"/>
  <c r="K15" i="33"/>
  <c r="I77" i="33"/>
  <c r="I83" i="33" s="1"/>
  <c r="K54" i="32"/>
  <c r="L49" i="32" s="1"/>
  <c r="L51" i="32" s="1"/>
  <c r="L53" i="32" s="1"/>
  <c r="I43" i="33"/>
  <c r="I44" i="33" s="1"/>
  <c r="I46" i="33" s="1"/>
  <c r="I48" i="33" s="1"/>
  <c r="H48" i="33"/>
  <c r="H54" i="33" s="1"/>
  <c r="J72" i="33"/>
  <c r="J73" i="33" s="1"/>
  <c r="J75" i="33" s="1"/>
  <c r="J77" i="33" s="1"/>
  <c r="J16" i="33"/>
  <c r="J18" i="33" s="1"/>
  <c r="J20" i="33" s="1"/>
  <c r="V77" i="1"/>
  <c r="V44" i="1"/>
  <c r="T80" i="31"/>
  <c r="T47" i="31"/>
  <c r="T78" i="1"/>
  <c r="T45" i="1"/>
  <c r="T48" i="30"/>
  <c r="T81" i="30"/>
  <c r="V77" i="31"/>
  <c r="V44" i="31"/>
  <c r="T82" i="1"/>
  <c r="T49" i="1"/>
  <c r="T47" i="1"/>
  <c r="T80" i="1"/>
  <c r="T78" i="30"/>
  <c r="T45" i="30"/>
  <c r="X18" i="25"/>
  <c r="U17" i="31"/>
  <c r="U15" i="31"/>
  <c r="U14" i="31"/>
  <c r="U15" i="30"/>
  <c r="U13" i="30"/>
  <c r="U6" i="30"/>
  <c r="U15" i="1"/>
  <c r="U16" i="1"/>
  <c r="U18" i="31"/>
  <c r="U6" i="31"/>
  <c r="U14" i="30"/>
  <c r="U18" i="30"/>
  <c r="U16" i="30"/>
  <c r="U13" i="1"/>
  <c r="U16" i="31"/>
  <c r="U17" i="30"/>
  <c r="U13" i="31"/>
  <c r="U17" i="1"/>
  <c r="U14" i="1"/>
  <c r="W12" i="30"/>
  <c r="W12" i="31"/>
  <c r="W12" i="1"/>
  <c r="T81" i="31"/>
  <c r="T48" i="31"/>
  <c r="S51" i="31"/>
  <c r="S84" i="31" s="1"/>
  <c r="S51" i="30"/>
  <c r="S84" i="30" s="1"/>
  <c r="U18" i="1"/>
  <c r="U83" i="1" s="1"/>
  <c r="T46" i="31"/>
  <c r="T79" i="31"/>
  <c r="T46" i="1"/>
  <c r="T79" i="1"/>
  <c r="T81" i="1"/>
  <c r="T48" i="1"/>
  <c r="T38" i="30"/>
  <c r="T71" i="30"/>
  <c r="T83" i="30"/>
  <c r="T50" i="30"/>
  <c r="T49" i="30"/>
  <c r="T82" i="30"/>
  <c r="T83" i="31"/>
  <c r="T50" i="31"/>
  <c r="T82" i="31"/>
  <c r="T49" i="31"/>
  <c r="V77" i="30"/>
  <c r="V44" i="30"/>
  <c r="T46" i="30"/>
  <c r="T79" i="30"/>
  <c r="T80" i="30"/>
  <c r="T47" i="30"/>
  <c r="T71" i="31"/>
  <c r="T38" i="31"/>
  <c r="T78" i="31"/>
  <c r="T45" i="31"/>
  <c r="O70" i="32"/>
  <c r="O72" i="32" s="1"/>
  <c r="O73" i="32" s="1"/>
  <c r="P68" i="32" s="1"/>
  <c r="O61" i="32"/>
  <c r="O63" i="32" s="1"/>
  <c r="O64" i="32" s="1"/>
  <c r="P59" i="32" s="1"/>
  <c r="X155" i="32"/>
  <c r="Y150" i="32"/>
  <c r="Y151" i="32"/>
  <c r="AA162" i="32"/>
  <c r="N43" i="32"/>
  <c r="T38" i="1"/>
  <c r="U50" i="1"/>
  <c r="U6" i="1"/>
  <c r="U71" i="1" s="1"/>
  <c r="X160" i="25"/>
  <c r="X145" i="25"/>
  <c r="X161" i="25"/>
  <c r="X159" i="25"/>
  <c r="X146" i="25"/>
  <c r="X162" i="25"/>
  <c r="S51" i="1"/>
  <c r="S84" i="1" s="1"/>
  <c r="S72" i="25"/>
  <c r="S73" i="25" s="1"/>
  <c r="T68" i="25" s="1"/>
  <c r="T70" i="25" s="1"/>
  <c r="M63" i="25"/>
  <c r="M64" i="25" s="1"/>
  <c r="N59" i="25" s="1"/>
  <c r="U54" i="25"/>
  <c r="V49" i="25" s="1"/>
  <c r="V51" i="25" s="1"/>
  <c r="V53" i="25" s="1"/>
  <c r="J80" i="38" l="1"/>
  <c r="U42" i="35"/>
  <c r="V61" i="37"/>
  <c r="V7" i="37"/>
  <c r="V33" i="37"/>
  <c r="V39" i="38"/>
  <c r="V67" i="38"/>
  <c r="Z18" i="36"/>
  <c r="W13" i="37"/>
  <c r="W13" i="38"/>
  <c r="W13" i="39"/>
  <c r="W12" i="37"/>
  <c r="W12" i="38"/>
  <c r="W12" i="39"/>
  <c r="W6" i="38"/>
  <c r="W6" i="37"/>
  <c r="W6" i="39"/>
  <c r="I52" i="37"/>
  <c r="K78" i="43"/>
  <c r="K79" i="43" s="1"/>
  <c r="K81" i="43" s="1"/>
  <c r="K83" i="43" s="1"/>
  <c r="K18" i="43"/>
  <c r="K20" i="43" s="1"/>
  <c r="U65" i="39"/>
  <c r="U37" i="39"/>
  <c r="V40" i="39"/>
  <c r="V68" i="39"/>
  <c r="J22" i="43"/>
  <c r="J28" i="43" s="1"/>
  <c r="L17" i="42"/>
  <c r="L17" i="43"/>
  <c r="V33" i="38"/>
  <c r="V7" i="38"/>
  <c r="V61" i="38"/>
  <c r="V68" i="37"/>
  <c r="V40" i="37"/>
  <c r="K78" i="42"/>
  <c r="K79" i="42" s="1"/>
  <c r="K81" i="42" s="1"/>
  <c r="K83" i="42" s="1"/>
  <c r="K89" i="42" s="1"/>
  <c r="K18" i="42"/>
  <c r="K20" i="42" s="1"/>
  <c r="K22" i="42" s="1"/>
  <c r="U65" i="37"/>
  <c r="U37" i="37"/>
  <c r="J69" i="38"/>
  <c r="J70" i="38" s="1"/>
  <c r="J72" i="38" s="1"/>
  <c r="J74" i="38" s="1"/>
  <c r="J15" i="38"/>
  <c r="J17" i="38" s="1"/>
  <c r="J19" i="38" s="1"/>
  <c r="J25" i="38" s="1"/>
  <c r="K63" i="47"/>
  <c r="K64" i="47" s="1"/>
  <c r="K66" i="47" s="1"/>
  <c r="K13" i="47"/>
  <c r="K15" i="47" s="1"/>
  <c r="V67" i="39"/>
  <c r="V39" i="39"/>
  <c r="U65" i="38"/>
  <c r="U37" i="38"/>
  <c r="J69" i="37"/>
  <c r="J70" i="37" s="1"/>
  <c r="J72" i="37" s="1"/>
  <c r="J74" i="37" s="1"/>
  <c r="J80" i="37" s="1"/>
  <c r="J15" i="37"/>
  <c r="J17" i="37" s="1"/>
  <c r="J19" i="37" s="1"/>
  <c r="J25" i="37" s="1"/>
  <c r="K54" i="36"/>
  <c r="L49" i="36" s="1"/>
  <c r="I41" i="38"/>
  <c r="I42" i="38" s="1"/>
  <c r="I44" i="38" s="1"/>
  <c r="I46" i="38" s="1"/>
  <c r="I52" i="38" s="1"/>
  <c r="I41" i="39"/>
  <c r="I42" i="39" s="1"/>
  <c r="I44" i="39" s="1"/>
  <c r="I46" i="39" s="1"/>
  <c r="I52" i="39" s="1"/>
  <c r="I41" i="37"/>
  <c r="I42" i="37" s="1"/>
  <c r="I44" i="37" s="1"/>
  <c r="I46" i="37" s="1"/>
  <c r="V14" i="33"/>
  <c r="V14" i="35" s="1"/>
  <c r="V71" i="35" s="1"/>
  <c r="K63" i="48"/>
  <c r="K64" i="48" s="1"/>
  <c r="K66" i="48" s="1"/>
  <c r="K13" i="48"/>
  <c r="K15" i="48" s="1"/>
  <c r="V67" i="37"/>
  <c r="V39" i="37"/>
  <c r="I52" i="42"/>
  <c r="I58" i="42" s="1"/>
  <c r="U34" i="38"/>
  <c r="U62" i="38"/>
  <c r="U62" i="39"/>
  <c r="U34" i="39"/>
  <c r="Y153" i="36"/>
  <c r="V10" i="39"/>
  <c r="V10" i="38"/>
  <c r="V10" i="37"/>
  <c r="J89" i="43"/>
  <c r="M44" i="36"/>
  <c r="N39" i="36" s="1"/>
  <c r="N41" i="36" s="1"/>
  <c r="N43" i="36" s="1"/>
  <c r="K14" i="39"/>
  <c r="K14" i="38"/>
  <c r="K14" i="37"/>
  <c r="K37" i="46"/>
  <c r="K38" i="46" s="1"/>
  <c r="K40" i="46" s="1"/>
  <c r="B46" i="46" s="1"/>
  <c r="K37" i="47"/>
  <c r="K38" i="47" s="1"/>
  <c r="K40" i="47" s="1"/>
  <c r="K37" i="48"/>
  <c r="K38" i="48" s="1"/>
  <c r="K40" i="48" s="1"/>
  <c r="V7" i="39"/>
  <c r="V33" i="39"/>
  <c r="V61" i="39"/>
  <c r="V68" i="38"/>
  <c r="V40" i="38"/>
  <c r="I52" i="43"/>
  <c r="I58" i="43" s="1"/>
  <c r="U34" i="37"/>
  <c r="U62" i="37"/>
  <c r="J22" i="42"/>
  <c r="J28" i="42" s="1"/>
  <c r="J69" i="39"/>
  <c r="J70" i="39" s="1"/>
  <c r="J72" i="39" s="1"/>
  <c r="J74" i="39" s="1"/>
  <c r="J80" i="39" s="1"/>
  <c r="J15" i="39"/>
  <c r="J17" i="39" s="1"/>
  <c r="J19" i="39" s="1"/>
  <c r="J25" i="39" s="1"/>
  <c r="B70" i="46"/>
  <c r="K42" i="46"/>
  <c r="K48" i="46" s="1"/>
  <c r="K17" i="46"/>
  <c r="K23" i="46" s="1"/>
  <c r="B19" i="46"/>
  <c r="F20" i="14"/>
  <c r="K68" i="46"/>
  <c r="K74" i="46" s="1"/>
  <c r="M51" i="45"/>
  <c r="N50" i="45"/>
  <c r="P58" i="45"/>
  <c r="P60" i="45" s="1"/>
  <c r="P61" i="45" s="1"/>
  <c r="Q56" i="45" s="1"/>
  <c r="P67" i="45"/>
  <c r="P69" i="45" s="1"/>
  <c r="P70" i="45" s="1"/>
  <c r="Q65" i="45" s="1"/>
  <c r="T71" i="34"/>
  <c r="T14" i="34"/>
  <c r="T42" i="34" s="1"/>
  <c r="V42" i="35"/>
  <c r="T35" i="34"/>
  <c r="U63" i="34"/>
  <c r="J26" i="33"/>
  <c r="U42" i="33"/>
  <c r="U71" i="33"/>
  <c r="Y159" i="32"/>
  <c r="U34" i="34"/>
  <c r="U11" i="35"/>
  <c r="U39" i="35" s="1"/>
  <c r="U39" i="34"/>
  <c r="U68" i="34"/>
  <c r="J43" i="35"/>
  <c r="J44" i="35" s="1"/>
  <c r="J46" i="35" s="1"/>
  <c r="J48" i="35" s="1"/>
  <c r="J54" i="35" s="1"/>
  <c r="J43" i="34"/>
  <c r="J44" i="34" s="1"/>
  <c r="J46" i="34" s="1"/>
  <c r="J48" i="34" s="1"/>
  <c r="J54" i="34" s="1"/>
  <c r="S11" i="39"/>
  <c r="S11" i="38"/>
  <c r="V154" i="36"/>
  <c r="S11" i="37"/>
  <c r="U70" i="35"/>
  <c r="U41" i="35"/>
  <c r="U67" i="34"/>
  <c r="U38" i="34"/>
  <c r="T39" i="34"/>
  <c r="T68" i="34"/>
  <c r="R66" i="37"/>
  <c r="R38" i="37"/>
  <c r="U41" i="34"/>
  <c r="U70" i="34"/>
  <c r="U68" i="35"/>
  <c r="K72" i="34"/>
  <c r="K73" i="34" s="1"/>
  <c r="K75" i="34" s="1"/>
  <c r="K77" i="34" s="1"/>
  <c r="K83" i="34" s="1"/>
  <c r="K16" i="34"/>
  <c r="K18" i="34" s="1"/>
  <c r="K20" i="34" s="1"/>
  <c r="K26" i="34" s="1"/>
  <c r="L15" i="34"/>
  <c r="L15" i="35"/>
  <c r="R38" i="39"/>
  <c r="R66" i="39"/>
  <c r="U69" i="34"/>
  <c r="U40" i="34"/>
  <c r="K72" i="35"/>
  <c r="K73" i="35" s="1"/>
  <c r="K75" i="35" s="1"/>
  <c r="K77" i="35" s="1"/>
  <c r="K83" i="35" s="1"/>
  <c r="K16" i="35"/>
  <c r="K18" i="35" s="1"/>
  <c r="K20" i="35" s="1"/>
  <c r="K26" i="35" s="1"/>
  <c r="V10" i="35"/>
  <c r="V10" i="34"/>
  <c r="V13" i="34"/>
  <c r="V13" i="35"/>
  <c r="V12" i="35"/>
  <c r="V12" i="34"/>
  <c r="V6" i="35"/>
  <c r="V63" i="35" s="1"/>
  <c r="R66" i="38"/>
  <c r="R38" i="38"/>
  <c r="U40" i="35"/>
  <c r="U69" i="35"/>
  <c r="U38" i="35"/>
  <c r="U67" i="35"/>
  <c r="K78" i="41"/>
  <c r="K79" i="41" s="1"/>
  <c r="K81" i="41" s="1"/>
  <c r="K83" i="41" s="1"/>
  <c r="K18" i="41"/>
  <c r="K20" i="41" s="1"/>
  <c r="K22" i="41" s="1"/>
  <c r="J22" i="41"/>
  <c r="J28" i="41" s="1"/>
  <c r="I52" i="41"/>
  <c r="I58" i="41" s="1"/>
  <c r="N37" i="40"/>
  <c r="O32" i="40" s="1"/>
  <c r="O34" i="40" s="1"/>
  <c r="O36" i="40" s="1"/>
  <c r="L17" i="41"/>
  <c r="J83" i="41"/>
  <c r="J89" i="41" s="1"/>
  <c r="L55" i="40"/>
  <c r="L46" i="40"/>
  <c r="O70" i="36"/>
  <c r="O72" i="36" s="1"/>
  <c r="O73" i="36" s="1"/>
  <c r="P68" i="36" s="1"/>
  <c r="L51" i="36"/>
  <c r="L53" i="36" s="1"/>
  <c r="P61" i="36"/>
  <c r="P63" i="36" s="1"/>
  <c r="P64" i="36" s="1"/>
  <c r="Q59" i="36" s="1"/>
  <c r="U64" i="35"/>
  <c r="U35" i="35"/>
  <c r="V63" i="34"/>
  <c r="V34" i="34"/>
  <c r="V7" i="34"/>
  <c r="U64" i="34"/>
  <c r="U35" i="34"/>
  <c r="T35" i="33"/>
  <c r="T64" i="33"/>
  <c r="U70" i="33"/>
  <c r="U41" i="33"/>
  <c r="U69" i="33"/>
  <c r="U40" i="33"/>
  <c r="U67" i="33"/>
  <c r="U38" i="33"/>
  <c r="U63" i="33"/>
  <c r="U7" i="33"/>
  <c r="U34" i="33"/>
  <c r="Y18" i="32"/>
  <c r="V6" i="33"/>
  <c r="V10" i="33"/>
  <c r="V12" i="33"/>
  <c r="V13" i="33"/>
  <c r="U11" i="33"/>
  <c r="X156" i="32"/>
  <c r="V11" i="35" s="1"/>
  <c r="T68" i="33"/>
  <c r="T39" i="33"/>
  <c r="I54" i="33"/>
  <c r="J83" i="33"/>
  <c r="N44" i="32"/>
  <c r="O39" i="32" s="1"/>
  <c r="O41" i="32" s="1"/>
  <c r="O43" i="32" s="1"/>
  <c r="L15" i="33"/>
  <c r="L54" i="32"/>
  <c r="M49" i="32" s="1"/>
  <c r="M51" i="32" s="1"/>
  <c r="M53" i="32" s="1"/>
  <c r="J43" i="33"/>
  <c r="J44" i="33" s="1"/>
  <c r="J46" i="33" s="1"/>
  <c r="J48" i="33" s="1"/>
  <c r="K16" i="33"/>
  <c r="K18" i="33" s="1"/>
  <c r="K20" i="33" s="1"/>
  <c r="K72" i="33"/>
  <c r="K73" i="33" s="1"/>
  <c r="K75" i="33" s="1"/>
  <c r="K77" i="33" s="1"/>
  <c r="W44" i="31"/>
  <c r="W77" i="31"/>
  <c r="U81" i="30"/>
  <c r="U48" i="30"/>
  <c r="U78" i="30"/>
  <c r="U45" i="30"/>
  <c r="W77" i="30"/>
  <c r="W44" i="30"/>
  <c r="U82" i="30"/>
  <c r="U49" i="30"/>
  <c r="U83" i="30"/>
  <c r="U50" i="30"/>
  <c r="U48" i="1"/>
  <c r="U81" i="1"/>
  <c r="U47" i="30"/>
  <c r="U80" i="30"/>
  <c r="Y18" i="25"/>
  <c r="V17" i="31"/>
  <c r="V18" i="31"/>
  <c r="V16" i="31"/>
  <c r="V6" i="31"/>
  <c r="V14" i="30"/>
  <c r="V14" i="31"/>
  <c r="V17" i="30"/>
  <c r="V15" i="1"/>
  <c r="V16" i="1"/>
  <c r="V13" i="1"/>
  <c r="V15" i="31"/>
  <c r="V15" i="30"/>
  <c r="V6" i="30"/>
  <c r="V18" i="30"/>
  <c r="V16" i="30"/>
  <c r="V13" i="30"/>
  <c r="V13" i="31"/>
  <c r="X12" i="31"/>
  <c r="X12" i="1"/>
  <c r="V17" i="1"/>
  <c r="V14" i="1"/>
  <c r="X12" i="30"/>
  <c r="U78" i="31"/>
  <c r="U45" i="31"/>
  <c r="U82" i="31"/>
  <c r="U49" i="31"/>
  <c r="U46" i="1"/>
  <c r="U79" i="1"/>
  <c r="U48" i="31"/>
  <c r="U81" i="31"/>
  <c r="U79" i="30"/>
  <c r="U46" i="30"/>
  <c r="U80" i="1"/>
  <c r="U47" i="1"/>
  <c r="U46" i="31"/>
  <c r="U79" i="31"/>
  <c r="U83" i="31"/>
  <c r="U50" i="31"/>
  <c r="T51" i="31"/>
  <c r="T84" i="31" s="1"/>
  <c r="T51" i="30"/>
  <c r="T84" i="30" s="1"/>
  <c r="V18" i="1"/>
  <c r="V83" i="1" s="1"/>
  <c r="W44" i="1"/>
  <c r="W77" i="1"/>
  <c r="U82" i="1"/>
  <c r="U49" i="1"/>
  <c r="U45" i="1"/>
  <c r="U78" i="1"/>
  <c r="U71" i="31"/>
  <c r="U38" i="31"/>
  <c r="U71" i="30"/>
  <c r="U38" i="30"/>
  <c r="U47" i="31"/>
  <c r="U80" i="31"/>
  <c r="P61" i="32"/>
  <c r="P63" i="32" s="1"/>
  <c r="P64" i="32" s="1"/>
  <c r="Q59" i="32" s="1"/>
  <c r="P70" i="32"/>
  <c r="P72" i="32" s="1"/>
  <c r="P73" i="32" s="1"/>
  <c r="Q68" i="32" s="1"/>
  <c r="Z151" i="32"/>
  <c r="Y155" i="32"/>
  <c r="AB162" i="32"/>
  <c r="Z150" i="32"/>
  <c r="U38" i="1"/>
  <c r="V50" i="1"/>
  <c r="V6" i="1"/>
  <c r="V38" i="1" s="1"/>
  <c r="Y160" i="25"/>
  <c r="Y146" i="25"/>
  <c r="Y161" i="25"/>
  <c r="Y162" i="25"/>
  <c r="Y159" i="25"/>
  <c r="W18" i="1" s="1"/>
  <c r="Y145" i="25"/>
  <c r="W6" i="1" s="1"/>
  <c r="T51" i="1"/>
  <c r="T84" i="1" s="1"/>
  <c r="T72" i="25"/>
  <c r="T73" i="25" s="1"/>
  <c r="U68" i="25" s="1"/>
  <c r="U70" i="25" s="1"/>
  <c r="N61" i="25"/>
  <c r="N63" i="25" s="1"/>
  <c r="N64" i="25" s="1"/>
  <c r="O59" i="25" s="1"/>
  <c r="V54" i="25"/>
  <c r="W49" i="25" s="1"/>
  <c r="W51" i="25" s="1"/>
  <c r="W53" i="25" s="1"/>
  <c r="N44" i="36" l="1"/>
  <c r="O39" i="36" s="1"/>
  <c r="L14" i="38"/>
  <c r="L14" i="39"/>
  <c r="L14" i="37"/>
  <c r="K80" i="39"/>
  <c r="K42" i="47"/>
  <c r="K48" i="47" s="1"/>
  <c r="B46" i="47"/>
  <c r="H21" i="14" s="1"/>
  <c r="B44" i="47"/>
  <c r="E21" i="14" s="1"/>
  <c r="W14" i="33"/>
  <c r="W14" i="35" s="1"/>
  <c r="V65" i="37"/>
  <c r="V37" i="37"/>
  <c r="K28" i="42"/>
  <c r="V62" i="38"/>
  <c r="V34" i="38"/>
  <c r="W67" i="37"/>
  <c r="W39" i="37"/>
  <c r="K80" i="38"/>
  <c r="K69" i="37"/>
  <c r="K70" i="37" s="1"/>
  <c r="K72" i="37" s="1"/>
  <c r="K74" i="37" s="1"/>
  <c r="K80" i="37" s="1"/>
  <c r="K15" i="37"/>
  <c r="K17" i="37" s="1"/>
  <c r="K19" i="37" s="1"/>
  <c r="K25" i="37" s="1"/>
  <c r="V65" i="38"/>
  <c r="V37" i="38"/>
  <c r="K17" i="48"/>
  <c r="K23" i="48" s="1"/>
  <c r="B21" i="48"/>
  <c r="G20" i="14" s="1"/>
  <c r="B19" i="48"/>
  <c r="D20" i="14" s="1"/>
  <c r="W33" i="39"/>
  <c r="W7" i="39"/>
  <c r="W61" i="39"/>
  <c r="W40" i="39"/>
  <c r="W68" i="39"/>
  <c r="K89" i="43"/>
  <c r="L89" i="43" s="1"/>
  <c r="L54" i="36"/>
  <c r="M49" i="36" s="1"/>
  <c r="J41" i="39"/>
  <c r="J42" i="39" s="1"/>
  <c r="J44" i="39" s="1"/>
  <c r="J46" i="39" s="1"/>
  <c r="J52" i="39" s="1"/>
  <c r="J41" i="37"/>
  <c r="J42" i="37" s="1"/>
  <c r="J44" i="37" s="1"/>
  <c r="J46" i="37" s="1"/>
  <c r="J52" i="37" s="1"/>
  <c r="J41" i="38"/>
  <c r="J42" i="38" s="1"/>
  <c r="J44" i="38" s="1"/>
  <c r="J46" i="38" s="1"/>
  <c r="J52" i="38" s="1"/>
  <c r="V62" i="39"/>
  <c r="V34" i="39"/>
  <c r="V65" i="39"/>
  <c r="V37" i="39"/>
  <c r="K68" i="48"/>
  <c r="K74" i="48" s="1"/>
  <c r="B72" i="48"/>
  <c r="G22" i="14" s="1"/>
  <c r="B70" i="48"/>
  <c r="D22" i="14" s="1"/>
  <c r="W61" i="37"/>
  <c r="W7" i="37"/>
  <c r="W33" i="37"/>
  <c r="B44" i="46"/>
  <c r="K69" i="39"/>
  <c r="K70" i="39" s="1"/>
  <c r="K72" i="39" s="1"/>
  <c r="K74" i="39" s="1"/>
  <c r="K15" i="39"/>
  <c r="K17" i="39" s="1"/>
  <c r="K19" i="39" s="1"/>
  <c r="K25" i="39" s="1"/>
  <c r="Z153" i="36"/>
  <c r="W10" i="38"/>
  <c r="W10" i="39"/>
  <c r="W10" i="37"/>
  <c r="K17" i="47"/>
  <c r="K23" i="47" s="1"/>
  <c r="B21" i="47"/>
  <c r="H20" i="14" s="1"/>
  <c r="B19" i="47"/>
  <c r="E20" i="14" s="1"/>
  <c r="L78" i="42"/>
  <c r="L79" i="42" s="1"/>
  <c r="L81" i="42" s="1"/>
  <c r="L18" i="42"/>
  <c r="L20" i="42" s="1"/>
  <c r="W61" i="38"/>
  <c r="W7" i="38"/>
  <c r="W33" i="38"/>
  <c r="W40" i="37"/>
  <c r="W68" i="37"/>
  <c r="V62" i="37"/>
  <c r="V34" i="37"/>
  <c r="W67" i="38"/>
  <c r="W39" i="38"/>
  <c r="M17" i="43"/>
  <c r="M17" i="42"/>
  <c r="K69" i="38"/>
  <c r="K70" i="38" s="1"/>
  <c r="K72" i="38" s="1"/>
  <c r="K74" i="38" s="1"/>
  <c r="K15" i="38"/>
  <c r="K17" i="38" s="1"/>
  <c r="K19" i="38" s="1"/>
  <c r="K25" i="38" s="1"/>
  <c r="L78" i="43"/>
  <c r="L79" i="43" s="1"/>
  <c r="L81" i="43" s="1"/>
  <c r="L83" i="43" s="1"/>
  <c r="L18" i="43"/>
  <c r="L20" i="43" s="1"/>
  <c r="W68" i="38"/>
  <c r="W40" i="38"/>
  <c r="J47" i="42"/>
  <c r="J48" i="42" s="1"/>
  <c r="J50" i="42" s="1"/>
  <c r="J47" i="43"/>
  <c r="J48" i="43" s="1"/>
  <c r="J50" i="43" s="1"/>
  <c r="K42" i="48"/>
  <c r="K48" i="48" s="1"/>
  <c r="B44" i="48"/>
  <c r="D21" i="14" s="1"/>
  <c r="B46" i="48"/>
  <c r="G21" i="14" s="1"/>
  <c r="K68" i="47"/>
  <c r="K74" i="47" s="1"/>
  <c r="B70" i="47"/>
  <c r="E22" i="14" s="1"/>
  <c r="B72" i="47"/>
  <c r="H22" i="14" s="1"/>
  <c r="K22" i="43"/>
  <c r="K28" i="43" s="1"/>
  <c r="W39" i="39"/>
  <c r="W67" i="39"/>
  <c r="AA18" i="36"/>
  <c r="X13" i="37"/>
  <c r="X13" i="39"/>
  <c r="X13" i="38"/>
  <c r="X12" i="38"/>
  <c r="X12" i="37"/>
  <c r="X12" i="39"/>
  <c r="X6" i="38"/>
  <c r="X6" i="39"/>
  <c r="X6" i="37"/>
  <c r="C21" i="14"/>
  <c r="F21" i="14"/>
  <c r="C20" i="14"/>
  <c r="C22" i="14"/>
  <c r="F22" i="14"/>
  <c r="Q67" i="45"/>
  <c r="Q69" i="45" s="1"/>
  <c r="Q70" i="45" s="1"/>
  <c r="R65" i="45" s="1"/>
  <c r="Q58" i="45"/>
  <c r="Q60" i="45" s="1"/>
  <c r="Q61" i="45" s="1"/>
  <c r="R56" i="45" s="1"/>
  <c r="K26" i="33"/>
  <c r="U14" i="34"/>
  <c r="U42" i="34" s="1"/>
  <c r="U71" i="34"/>
  <c r="W71" i="35"/>
  <c r="W42" i="35"/>
  <c r="Z159" i="32"/>
  <c r="V71" i="33"/>
  <c r="V42" i="33"/>
  <c r="V7" i="35"/>
  <c r="V35" i="35" s="1"/>
  <c r="V34" i="35"/>
  <c r="V68" i="35"/>
  <c r="V39" i="35"/>
  <c r="W10" i="35"/>
  <c r="W10" i="34"/>
  <c r="W6" i="34"/>
  <c r="W63" i="34" s="1"/>
  <c r="W13" i="34"/>
  <c r="W13" i="35"/>
  <c r="W12" i="34"/>
  <c r="W12" i="35"/>
  <c r="W6" i="35"/>
  <c r="W63" i="35" s="1"/>
  <c r="V40" i="34"/>
  <c r="V69" i="34"/>
  <c r="V38" i="34"/>
  <c r="V67" i="34"/>
  <c r="L72" i="35"/>
  <c r="L73" i="35" s="1"/>
  <c r="L75" i="35" s="1"/>
  <c r="L77" i="35" s="1"/>
  <c r="L83" i="35" s="1"/>
  <c r="L16" i="35"/>
  <c r="L18" i="35" s="1"/>
  <c r="L20" i="35" s="1"/>
  <c r="L26" i="35" s="1"/>
  <c r="S66" i="37"/>
  <c r="S38" i="37"/>
  <c r="M15" i="35"/>
  <c r="M15" i="34"/>
  <c r="V69" i="35"/>
  <c r="V40" i="35"/>
  <c r="V11" i="34"/>
  <c r="L72" i="34"/>
  <c r="L73" i="34" s="1"/>
  <c r="L75" i="34" s="1"/>
  <c r="L77" i="34" s="1"/>
  <c r="L83" i="34" s="1"/>
  <c r="L16" i="34"/>
  <c r="L18" i="34" s="1"/>
  <c r="L20" i="34" s="1"/>
  <c r="L26" i="34" s="1"/>
  <c r="T11" i="39"/>
  <c r="T11" i="38"/>
  <c r="W154" i="36"/>
  <c r="T11" i="37"/>
  <c r="V41" i="35"/>
  <c r="V70" i="35"/>
  <c r="V67" i="35"/>
  <c r="V38" i="35"/>
  <c r="S66" i="38"/>
  <c r="S38" i="38"/>
  <c r="K43" i="35"/>
  <c r="K44" i="35" s="1"/>
  <c r="K46" i="35" s="1"/>
  <c r="K48" i="35" s="1"/>
  <c r="K54" i="35" s="1"/>
  <c r="K43" i="34"/>
  <c r="K44" i="34" s="1"/>
  <c r="K46" i="34" s="1"/>
  <c r="K48" i="34" s="1"/>
  <c r="K54" i="34" s="1"/>
  <c r="V41" i="34"/>
  <c r="V70" i="34"/>
  <c r="S66" i="39"/>
  <c r="S38" i="39"/>
  <c r="K28" i="41"/>
  <c r="L47" i="40"/>
  <c r="M42" i="40" s="1"/>
  <c r="M44" i="40" s="1"/>
  <c r="J47" i="41"/>
  <c r="J48" i="41" s="1"/>
  <c r="J50" i="41" s="1"/>
  <c r="L78" i="41"/>
  <c r="L79" i="41" s="1"/>
  <c r="L81" i="41" s="1"/>
  <c r="L18" i="41"/>
  <c r="L20" i="41" s="1"/>
  <c r="O37" i="40"/>
  <c r="P32" i="40" s="1"/>
  <c r="P34" i="40" s="1"/>
  <c r="P36" i="40" s="1"/>
  <c r="M17" i="41"/>
  <c r="K89" i="41"/>
  <c r="L64" i="40"/>
  <c r="L65" i="40" s="1"/>
  <c r="L66" i="40" s="1"/>
  <c r="M61" i="40" s="1"/>
  <c r="M63" i="40" s="1"/>
  <c r="L56" i="40"/>
  <c r="L57" i="40" s="1"/>
  <c r="M52" i="40" s="1"/>
  <c r="M54" i="40" s="1"/>
  <c r="O41" i="36"/>
  <c r="O43" i="36" s="1"/>
  <c r="Q61" i="36"/>
  <c r="Q63" i="36" s="1"/>
  <c r="Q64" i="36" s="1"/>
  <c r="R59" i="36" s="1"/>
  <c r="P70" i="36"/>
  <c r="P72" i="36" s="1"/>
  <c r="P73" i="36" s="1"/>
  <c r="Q68" i="36" s="1"/>
  <c r="M51" i="36"/>
  <c r="M53" i="36" s="1"/>
  <c r="V64" i="34"/>
  <c r="V35" i="34"/>
  <c r="J54" i="33"/>
  <c r="V38" i="33"/>
  <c r="V67" i="33"/>
  <c r="U35" i="33"/>
  <c r="U64" i="33"/>
  <c r="V34" i="33"/>
  <c r="V7" i="33"/>
  <c r="V63" i="33"/>
  <c r="V41" i="33"/>
  <c r="V70" i="33"/>
  <c r="Z18" i="32"/>
  <c r="X6" i="34" s="1"/>
  <c r="W12" i="33"/>
  <c r="W13" i="33"/>
  <c r="W6" i="33"/>
  <c r="W10" i="33"/>
  <c r="V69" i="33"/>
  <c r="V40" i="33"/>
  <c r="V11" i="33"/>
  <c r="Y156" i="32"/>
  <c r="W11" i="34" s="1"/>
  <c r="U68" i="33"/>
  <c r="U39" i="33"/>
  <c r="K83" i="33"/>
  <c r="O44" i="32"/>
  <c r="P39" i="32" s="1"/>
  <c r="P41" i="32" s="1"/>
  <c r="P43" i="32" s="1"/>
  <c r="M15" i="33"/>
  <c r="M54" i="32"/>
  <c r="N49" i="32" s="1"/>
  <c r="N51" i="32" s="1"/>
  <c r="N53" i="32" s="1"/>
  <c r="K43" i="33"/>
  <c r="K44" i="33" s="1"/>
  <c r="K46" i="33" s="1"/>
  <c r="K48" i="33" s="1"/>
  <c r="L72" i="33"/>
  <c r="L73" i="33" s="1"/>
  <c r="L75" i="33" s="1"/>
  <c r="L77" i="33" s="1"/>
  <c r="L16" i="33"/>
  <c r="L18" i="33" s="1"/>
  <c r="L20" i="33" s="1"/>
  <c r="V71" i="30"/>
  <c r="V38" i="30"/>
  <c r="V79" i="30"/>
  <c r="V46" i="30"/>
  <c r="U51" i="30"/>
  <c r="U84" i="30" s="1"/>
  <c r="U51" i="31"/>
  <c r="U84" i="31" s="1"/>
  <c r="V82" i="1"/>
  <c r="V49" i="1"/>
  <c r="V78" i="30"/>
  <c r="V45" i="30"/>
  <c r="V80" i="30"/>
  <c r="V47" i="30"/>
  <c r="V80" i="1"/>
  <c r="V47" i="1"/>
  <c r="V38" i="31"/>
  <c r="V71" i="31"/>
  <c r="Z18" i="25"/>
  <c r="W18" i="31"/>
  <c r="W13" i="31"/>
  <c r="W13" i="1"/>
  <c r="W18" i="30"/>
  <c r="W13" i="30"/>
  <c r="W6" i="30"/>
  <c r="W6" i="31"/>
  <c r="W15" i="1"/>
  <c r="W16" i="1"/>
  <c r="W15" i="31"/>
  <c r="W15" i="30"/>
  <c r="W16" i="31"/>
  <c r="W16" i="30"/>
  <c r="W17" i="31"/>
  <c r="W14" i="30"/>
  <c r="W17" i="30"/>
  <c r="Y12" i="30"/>
  <c r="Y12" i="1"/>
  <c r="W17" i="1"/>
  <c r="Y12" i="31"/>
  <c r="W14" i="1"/>
  <c r="W14" i="31"/>
  <c r="V79" i="1"/>
  <c r="V46" i="1"/>
  <c r="V45" i="31"/>
  <c r="V78" i="31"/>
  <c r="V81" i="1"/>
  <c r="V48" i="1"/>
  <c r="V49" i="31"/>
  <c r="V82" i="31"/>
  <c r="X44" i="1"/>
  <c r="X77" i="1"/>
  <c r="V81" i="30"/>
  <c r="V48" i="30"/>
  <c r="V80" i="31"/>
  <c r="V47" i="31"/>
  <c r="V82" i="30"/>
  <c r="V49" i="30"/>
  <c r="V48" i="31"/>
  <c r="V81" i="31"/>
  <c r="X44" i="30"/>
  <c r="X77" i="30"/>
  <c r="X44" i="31"/>
  <c r="X77" i="31"/>
  <c r="V83" i="30"/>
  <c r="V50" i="30"/>
  <c r="V78" i="1"/>
  <c r="V45" i="1"/>
  <c r="V46" i="31"/>
  <c r="V79" i="31"/>
  <c r="V83" i="31"/>
  <c r="V50" i="31"/>
  <c r="Q61" i="32"/>
  <c r="Q63" i="32" s="1"/>
  <c r="Q64" i="32" s="1"/>
  <c r="R59" i="32" s="1"/>
  <c r="Q70" i="32"/>
  <c r="Q72" i="32" s="1"/>
  <c r="Q73" i="32" s="1"/>
  <c r="R68" i="32" s="1"/>
  <c r="AA150" i="32"/>
  <c r="Z155" i="32"/>
  <c r="AA151" i="32"/>
  <c r="V71" i="1"/>
  <c r="W50" i="1"/>
  <c r="W83" i="1"/>
  <c r="W38" i="1"/>
  <c r="W71" i="1"/>
  <c r="Z145" i="25"/>
  <c r="Z162" i="25"/>
  <c r="Z146" i="25"/>
  <c r="Z159" i="25"/>
  <c r="Z161" i="25"/>
  <c r="Z160" i="25"/>
  <c r="U51" i="1"/>
  <c r="U72" i="25"/>
  <c r="U73" i="25" s="1"/>
  <c r="V68" i="25" s="1"/>
  <c r="V70" i="25" s="1"/>
  <c r="O61" i="25"/>
  <c r="O63" i="25" s="1"/>
  <c r="O64" i="25" s="1"/>
  <c r="P59" i="25" s="1"/>
  <c r="W54" i="25"/>
  <c r="X49" i="25" s="1"/>
  <c r="X51" i="25" s="1"/>
  <c r="X53" i="25" s="1"/>
  <c r="X7" i="37" l="1"/>
  <c r="X33" i="37"/>
  <c r="X61" i="37"/>
  <c r="X40" i="38"/>
  <c r="X68" i="38"/>
  <c r="M78" i="42"/>
  <c r="M79" i="42" s="1"/>
  <c r="M81" i="42" s="1"/>
  <c r="M83" i="42" s="1"/>
  <c r="M18" i="42"/>
  <c r="M20" i="42" s="1"/>
  <c r="M22" i="42" s="1"/>
  <c r="L22" i="42"/>
  <c r="L28" i="42" s="1"/>
  <c r="M28" i="42" s="1"/>
  <c r="W37" i="39"/>
  <c r="W65" i="39"/>
  <c r="X61" i="39"/>
  <c r="X33" i="39"/>
  <c r="X7" i="39"/>
  <c r="L22" i="43"/>
  <c r="M78" i="43"/>
  <c r="M79" i="43" s="1"/>
  <c r="M81" i="43" s="1"/>
  <c r="M83" i="43" s="1"/>
  <c r="M89" i="43" s="1"/>
  <c r="M18" i="43"/>
  <c r="M20" i="43" s="1"/>
  <c r="M22" i="43" s="1"/>
  <c r="L83" i="42"/>
  <c r="L89" i="42" s="1"/>
  <c r="M89" i="42" s="1"/>
  <c r="W65" i="38"/>
  <c r="W37" i="38"/>
  <c r="L80" i="39"/>
  <c r="X68" i="39"/>
  <c r="X40" i="39"/>
  <c r="L28" i="43"/>
  <c r="M28" i="43" s="1"/>
  <c r="M54" i="36"/>
  <c r="N49" i="36" s="1"/>
  <c r="K41" i="38"/>
  <c r="K42" i="38" s="1"/>
  <c r="K44" i="38" s="1"/>
  <c r="K46" i="38" s="1"/>
  <c r="K52" i="38" s="1"/>
  <c r="K41" i="37"/>
  <c r="K42" i="37" s="1"/>
  <c r="K44" i="37" s="1"/>
  <c r="K46" i="37" s="1"/>
  <c r="K52" i="37" s="1"/>
  <c r="K41" i="39"/>
  <c r="K42" i="39" s="1"/>
  <c r="K44" i="39" s="1"/>
  <c r="K46" i="39" s="1"/>
  <c r="X7" i="38"/>
  <c r="X61" i="38"/>
  <c r="X33" i="38"/>
  <c r="X68" i="37"/>
  <c r="X40" i="37"/>
  <c r="AA153" i="36"/>
  <c r="X10" i="39"/>
  <c r="X10" i="38"/>
  <c r="X10" i="37"/>
  <c r="K52" i="39"/>
  <c r="L69" i="37"/>
  <c r="L70" i="37" s="1"/>
  <c r="L72" i="37" s="1"/>
  <c r="L74" i="37" s="1"/>
  <c r="L80" i="37" s="1"/>
  <c r="L15" i="37"/>
  <c r="L17" i="37" s="1"/>
  <c r="L19" i="37" s="1"/>
  <c r="L25" i="37" s="1"/>
  <c r="X67" i="39"/>
  <c r="X39" i="39"/>
  <c r="AB18" i="36"/>
  <c r="Y13" i="38"/>
  <c r="Y13" i="39"/>
  <c r="Y13" i="37"/>
  <c r="Y12" i="37"/>
  <c r="Y12" i="38"/>
  <c r="Y12" i="39"/>
  <c r="Y6" i="37"/>
  <c r="Y6" i="38"/>
  <c r="Y6" i="39"/>
  <c r="J52" i="43"/>
  <c r="J58" i="43" s="1"/>
  <c r="W34" i="37"/>
  <c r="W62" i="37"/>
  <c r="W34" i="39"/>
  <c r="W62" i="39"/>
  <c r="L69" i="39"/>
  <c r="L70" i="39" s="1"/>
  <c r="L72" i="39" s="1"/>
  <c r="L74" i="39" s="1"/>
  <c r="L15" i="39"/>
  <c r="L17" i="39" s="1"/>
  <c r="L19" i="39" s="1"/>
  <c r="L25" i="39" s="1"/>
  <c r="N17" i="42"/>
  <c r="N17" i="43"/>
  <c r="X14" i="33"/>
  <c r="X14" i="35" s="1"/>
  <c r="X71" i="35" s="1"/>
  <c r="X39" i="37"/>
  <c r="X67" i="37"/>
  <c r="J52" i="42"/>
  <c r="J58" i="42" s="1"/>
  <c r="W62" i="38"/>
  <c r="W34" i="38"/>
  <c r="L69" i="38"/>
  <c r="L70" i="38" s="1"/>
  <c r="L72" i="38" s="1"/>
  <c r="L74" i="38" s="1"/>
  <c r="L80" i="38" s="1"/>
  <c r="L15" i="38"/>
  <c r="L17" i="38" s="1"/>
  <c r="L19" i="38" s="1"/>
  <c r="L25" i="38" s="1"/>
  <c r="O44" i="36"/>
  <c r="P39" i="36" s="1"/>
  <c r="M14" i="39"/>
  <c r="M14" i="37"/>
  <c r="M14" i="38"/>
  <c r="X39" i="38"/>
  <c r="X67" i="38"/>
  <c r="W65" i="37"/>
  <c r="W37" i="37"/>
  <c r="W7" i="34"/>
  <c r="W35" i="34" s="1"/>
  <c r="R58" i="45"/>
  <c r="R60" i="45" s="1"/>
  <c r="R61" i="45" s="1"/>
  <c r="S56" i="45" s="1"/>
  <c r="R67" i="45"/>
  <c r="R69" i="45" s="1"/>
  <c r="R70" i="45" s="1"/>
  <c r="S65" i="45" s="1"/>
  <c r="L26" i="33"/>
  <c r="V14" i="34"/>
  <c r="V42" i="34" s="1"/>
  <c r="V71" i="34"/>
  <c r="W34" i="34"/>
  <c r="W71" i="33"/>
  <c r="W42" i="33"/>
  <c r="AA159" i="32"/>
  <c r="Y14" i="33" s="1"/>
  <c r="Y14" i="35" s="1"/>
  <c r="V64" i="35"/>
  <c r="W34" i="35"/>
  <c r="W7" i="35"/>
  <c r="W64" i="35" s="1"/>
  <c r="W68" i="34"/>
  <c r="W39" i="34"/>
  <c r="N15" i="35"/>
  <c r="N15" i="34"/>
  <c r="X10" i="34"/>
  <c r="X10" i="35"/>
  <c r="X13" i="35"/>
  <c r="X13" i="34"/>
  <c r="X12" i="35"/>
  <c r="X12" i="34"/>
  <c r="X6" i="35"/>
  <c r="X34" i="35" s="1"/>
  <c r="T38" i="39"/>
  <c r="T66" i="39"/>
  <c r="M72" i="35"/>
  <c r="M73" i="35" s="1"/>
  <c r="M75" i="35" s="1"/>
  <c r="M77" i="35" s="1"/>
  <c r="M83" i="35" s="1"/>
  <c r="M16" i="35"/>
  <c r="M18" i="35" s="1"/>
  <c r="M20" i="35" s="1"/>
  <c r="M26" i="35" s="1"/>
  <c r="W70" i="34"/>
  <c r="W41" i="34"/>
  <c r="W67" i="35"/>
  <c r="W38" i="35"/>
  <c r="T38" i="37"/>
  <c r="T66" i="37"/>
  <c r="W69" i="35"/>
  <c r="W40" i="35"/>
  <c r="W11" i="35"/>
  <c r="L43" i="34"/>
  <c r="L44" i="34" s="1"/>
  <c r="L46" i="34" s="1"/>
  <c r="L48" i="34" s="1"/>
  <c r="L54" i="34" s="1"/>
  <c r="L43" i="35"/>
  <c r="L44" i="35" s="1"/>
  <c r="L46" i="35" s="1"/>
  <c r="L48" i="35" s="1"/>
  <c r="L54" i="35" s="1"/>
  <c r="U11" i="38"/>
  <c r="U11" i="39"/>
  <c r="X154" i="36"/>
  <c r="U11" i="37"/>
  <c r="W40" i="34"/>
  <c r="W69" i="34"/>
  <c r="W38" i="34"/>
  <c r="W67" i="34"/>
  <c r="T38" i="38"/>
  <c r="T66" i="38"/>
  <c r="V68" i="34"/>
  <c r="V39" i="34"/>
  <c r="M72" i="34"/>
  <c r="M73" i="34" s="1"/>
  <c r="M75" i="34" s="1"/>
  <c r="M77" i="34" s="1"/>
  <c r="M83" i="34" s="1"/>
  <c r="M16" i="34"/>
  <c r="M18" i="34" s="1"/>
  <c r="M20" i="34" s="1"/>
  <c r="M26" i="34" s="1"/>
  <c r="W70" i="35"/>
  <c r="W41" i="35"/>
  <c r="M45" i="40"/>
  <c r="M55" i="40" s="1"/>
  <c r="M64" i="40" s="1"/>
  <c r="L22" i="41"/>
  <c r="L28" i="41" s="1"/>
  <c r="L83" i="41"/>
  <c r="L89" i="41" s="1"/>
  <c r="M78" i="41"/>
  <c r="M79" i="41" s="1"/>
  <c r="M81" i="41" s="1"/>
  <c r="M83" i="41" s="1"/>
  <c r="M18" i="41"/>
  <c r="M20" i="41" s="1"/>
  <c r="M22" i="41" s="1"/>
  <c r="J52" i="41"/>
  <c r="J58" i="41" s="1"/>
  <c r="P37" i="40"/>
  <c r="Q32" i="40" s="1"/>
  <c r="Q34" i="40" s="1"/>
  <c r="Q36" i="40" s="1"/>
  <c r="N17" i="41"/>
  <c r="M65" i="40"/>
  <c r="M66" i="40" s="1"/>
  <c r="N61" i="40" s="1"/>
  <c r="N63" i="40" s="1"/>
  <c r="N51" i="36"/>
  <c r="N53" i="36" s="1"/>
  <c r="Q70" i="36"/>
  <c r="Q72" i="36" s="1"/>
  <c r="Q73" i="36" s="1"/>
  <c r="R68" i="36" s="1"/>
  <c r="R61" i="36"/>
  <c r="R63" i="36" s="1"/>
  <c r="R64" i="36" s="1"/>
  <c r="S59" i="36" s="1"/>
  <c r="P41" i="36"/>
  <c r="P43" i="36" s="1"/>
  <c r="X34" i="34"/>
  <c r="X63" i="34"/>
  <c r="X7" i="34"/>
  <c r="K54" i="33"/>
  <c r="W69" i="33"/>
  <c r="W40" i="33"/>
  <c r="W70" i="33"/>
  <c r="W41" i="33"/>
  <c r="W67" i="33"/>
  <c r="W38" i="33"/>
  <c r="AA18" i="32"/>
  <c r="Y6" i="35" s="1"/>
  <c r="X12" i="33"/>
  <c r="X13" i="33"/>
  <c r="X6" i="33"/>
  <c r="X10" i="33"/>
  <c r="V35" i="33"/>
  <c r="V64" i="33"/>
  <c r="W63" i="33"/>
  <c r="W7" i="33"/>
  <c r="W34" i="33"/>
  <c r="W11" i="33"/>
  <c r="Z156" i="32"/>
  <c r="X11" i="35" s="1"/>
  <c r="V68" i="33"/>
  <c r="V39" i="33"/>
  <c r="L83" i="33"/>
  <c r="P44" i="32"/>
  <c r="Q39" i="32" s="1"/>
  <c r="Q41" i="32" s="1"/>
  <c r="Q43" i="32" s="1"/>
  <c r="N15" i="33"/>
  <c r="N54" i="32"/>
  <c r="O49" i="32" s="1"/>
  <c r="O51" i="32" s="1"/>
  <c r="O53" i="32" s="1"/>
  <c r="L43" i="33"/>
  <c r="L44" i="33" s="1"/>
  <c r="L46" i="33" s="1"/>
  <c r="L48" i="33" s="1"/>
  <c r="M72" i="33"/>
  <c r="M73" i="33" s="1"/>
  <c r="M75" i="33" s="1"/>
  <c r="M77" i="33" s="1"/>
  <c r="M16" i="33"/>
  <c r="M18" i="33" s="1"/>
  <c r="M20" i="33" s="1"/>
  <c r="M26" i="33" s="1"/>
  <c r="V51" i="31"/>
  <c r="V84" i="31" s="1"/>
  <c r="V51" i="30"/>
  <c r="V84" i="30" s="1"/>
  <c r="W79" i="1"/>
  <c r="W46" i="1"/>
  <c r="W48" i="30"/>
  <c r="W81" i="30"/>
  <c r="W78" i="30"/>
  <c r="W45" i="30"/>
  <c r="X18" i="1"/>
  <c r="X50" i="1" s="1"/>
  <c r="Y44" i="31"/>
  <c r="Y77" i="31"/>
  <c r="W82" i="30"/>
  <c r="W49" i="30"/>
  <c r="W48" i="31"/>
  <c r="W81" i="31"/>
  <c r="W80" i="1"/>
  <c r="W47" i="1"/>
  <c r="W83" i="30"/>
  <c r="W50" i="30"/>
  <c r="AA18" i="25"/>
  <c r="X16" i="31"/>
  <c r="X15" i="31"/>
  <c r="X13" i="31"/>
  <c r="X6" i="31"/>
  <c r="X18" i="31"/>
  <c r="X14" i="31"/>
  <c r="X18" i="30"/>
  <c r="X17" i="30"/>
  <c r="X16" i="30"/>
  <c r="X13" i="30"/>
  <c r="X13" i="1"/>
  <c r="X17" i="31"/>
  <c r="X15" i="1"/>
  <c r="X16" i="1"/>
  <c r="X14" i="30"/>
  <c r="X15" i="30"/>
  <c r="X6" i="30"/>
  <c r="X14" i="1"/>
  <c r="X17" i="1"/>
  <c r="Z12" i="31"/>
  <c r="Z12" i="30"/>
  <c r="Z12" i="1"/>
  <c r="Y44" i="30"/>
  <c r="Y77" i="30"/>
  <c r="W81" i="1"/>
  <c r="W48" i="1"/>
  <c r="W83" i="31"/>
  <c r="W50" i="31"/>
  <c r="W82" i="1"/>
  <c r="W49" i="1"/>
  <c r="W46" i="30"/>
  <c r="W79" i="30"/>
  <c r="W80" i="30"/>
  <c r="W47" i="30"/>
  <c r="W71" i="31"/>
  <c r="W38" i="31"/>
  <c r="W78" i="1"/>
  <c r="W45" i="1"/>
  <c r="W79" i="31"/>
  <c r="W46" i="31"/>
  <c r="Y77" i="1"/>
  <c r="Y44" i="1"/>
  <c r="W49" i="31"/>
  <c r="W82" i="31"/>
  <c r="W47" i="31"/>
  <c r="W80" i="31"/>
  <c r="W71" i="30"/>
  <c r="W38" i="30"/>
  <c r="W45" i="31"/>
  <c r="W78" i="31"/>
  <c r="R61" i="32"/>
  <c r="R63" i="32" s="1"/>
  <c r="R64" i="32" s="1"/>
  <c r="S59" i="32" s="1"/>
  <c r="AA155" i="32"/>
  <c r="AB151" i="32"/>
  <c r="AB150" i="32"/>
  <c r="R70" i="32"/>
  <c r="R72" i="32" s="1"/>
  <c r="R73" i="32" s="1"/>
  <c r="S68" i="32" s="1"/>
  <c r="X6" i="1"/>
  <c r="X71" i="1"/>
  <c r="AA160" i="25"/>
  <c r="AA159" i="25"/>
  <c r="AA162" i="25"/>
  <c r="AA161" i="25"/>
  <c r="AA146" i="25"/>
  <c r="AA145" i="25"/>
  <c r="U84" i="1"/>
  <c r="V51" i="1"/>
  <c r="V84" i="1" s="1"/>
  <c r="V72" i="25"/>
  <c r="V73" i="25" s="1"/>
  <c r="W68" i="25" s="1"/>
  <c r="W70" i="25" s="1"/>
  <c r="P61" i="25"/>
  <c r="P63" i="25" s="1"/>
  <c r="P64" i="25" s="1"/>
  <c r="Q59" i="25" s="1"/>
  <c r="X54" i="25"/>
  <c r="Y49" i="25" s="1"/>
  <c r="Y51" i="25" s="1"/>
  <c r="Y53" i="25" s="1"/>
  <c r="M80" i="38" l="1"/>
  <c r="N54" i="36"/>
  <c r="O49" i="36" s="1"/>
  <c r="L41" i="39"/>
  <c r="L42" i="39" s="1"/>
  <c r="L44" i="39" s="1"/>
  <c r="L46" i="39" s="1"/>
  <c r="L41" i="38"/>
  <c r="L42" i="38" s="1"/>
  <c r="L44" i="38" s="1"/>
  <c r="L46" i="38" s="1"/>
  <c r="L52" i="38" s="1"/>
  <c r="L41" i="37"/>
  <c r="L42" i="37" s="1"/>
  <c r="L44" i="37" s="1"/>
  <c r="L46" i="37" s="1"/>
  <c r="L52" i="37" s="1"/>
  <c r="Y68" i="39"/>
  <c r="Y40" i="39"/>
  <c r="X83" i="1"/>
  <c r="M46" i="40"/>
  <c r="M69" i="38"/>
  <c r="M70" i="38" s="1"/>
  <c r="M72" i="38" s="1"/>
  <c r="M74" i="38" s="1"/>
  <c r="M15" i="38"/>
  <c r="M17" i="38" s="1"/>
  <c r="M19" i="38" s="1"/>
  <c r="M25" i="38" s="1"/>
  <c r="Y7" i="37"/>
  <c r="Y61" i="37"/>
  <c r="Y33" i="37"/>
  <c r="Y40" i="38"/>
  <c r="Y68" i="38"/>
  <c r="L52" i="39"/>
  <c r="M56" i="40"/>
  <c r="M57" i="40" s="1"/>
  <c r="N52" i="40" s="1"/>
  <c r="N54" i="40" s="1"/>
  <c r="M69" i="37"/>
  <c r="M70" i="37" s="1"/>
  <c r="M72" i="37" s="1"/>
  <c r="M74" i="37" s="1"/>
  <c r="M80" i="37" s="1"/>
  <c r="M15" i="37"/>
  <c r="M17" i="37" s="1"/>
  <c r="M19" i="37" s="1"/>
  <c r="M25" i="37" s="1"/>
  <c r="Y39" i="39"/>
  <c r="Y67" i="39"/>
  <c r="AC18" i="36"/>
  <c r="Z13" i="38"/>
  <c r="Z12" i="39"/>
  <c r="Z12" i="37"/>
  <c r="Z12" i="38"/>
  <c r="Z13" i="37"/>
  <c r="Z13" i="39"/>
  <c r="Z6" i="38"/>
  <c r="Z6" i="39"/>
  <c r="Z6" i="37"/>
  <c r="X65" i="37"/>
  <c r="X37" i="37"/>
  <c r="X34" i="37"/>
  <c r="X62" i="37"/>
  <c r="Y7" i="38"/>
  <c r="Y61" i="38"/>
  <c r="Y33" i="38"/>
  <c r="P44" i="36"/>
  <c r="Q39" i="36" s="1"/>
  <c r="N14" i="38"/>
  <c r="N14" i="39"/>
  <c r="N14" i="37"/>
  <c r="M69" i="39"/>
  <c r="M70" i="39" s="1"/>
  <c r="M72" i="39" s="1"/>
  <c r="M74" i="39" s="1"/>
  <c r="M80" i="39" s="1"/>
  <c r="M15" i="39"/>
  <c r="M17" i="39" s="1"/>
  <c r="M19" i="39" s="1"/>
  <c r="M25" i="39" s="1"/>
  <c r="Y67" i="38"/>
  <c r="Y39" i="38"/>
  <c r="X65" i="38"/>
  <c r="X37" i="38"/>
  <c r="X34" i="39"/>
  <c r="X62" i="39"/>
  <c r="X42" i="35"/>
  <c r="N78" i="43"/>
  <c r="N79" i="43" s="1"/>
  <c r="N81" i="43" s="1"/>
  <c r="N83" i="43" s="1"/>
  <c r="N89" i="43" s="1"/>
  <c r="N18" i="43"/>
  <c r="N20" i="43" s="1"/>
  <c r="Y39" i="37"/>
  <c r="Y67" i="37"/>
  <c r="X65" i="39"/>
  <c r="X37" i="39"/>
  <c r="X34" i="38"/>
  <c r="X62" i="38"/>
  <c r="W64" i="34"/>
  <c r="O17" i="43"/>
  <c r="O17" i="42"/>
  <c r="N78" i="42"/>
  <c r="N79" i="42" s="1"/>
  <c r="N81" i="42" s="1"/>
  <c r="N83" i="42" s="1"/>
  <c r="N89" i="42" s="1"/>
  <c r="N18" i="42"/>
  <c r="N20" i="42" s="1"/>
  <c r="Y61" i="39"/>
  <c r="Y33" i="39"/>
  <c r="Y7" i="39"/>
  <c r="Y68" i="37"/>
  <c r="Y40" i="37"/>
  <c r="AB153" i="36"/>
  <c r="Y10" i="38"/>
  <c r="Y10" i="39"/>
  <c r="Y10" i="37"/>
  <c r="S67" i="45"/>
  <c r="S69" i="45" s="1"/>
  <c r="S70" i="45" s="1"/>
  <c r="T65" i="45" s="1"/>
  <c r="S58" i="45"/>
  <c r="S60" i="45" s="1"/>
  <c r="S61" i="45" s="1"/>
  <c r="T56" i="45" s="1"/>
  <c r="W71" i="34"/>
  <c r="W14" i="34"/>
  <c r="W42" i="34" s="1"/>
  <c r="Y42" i="35"/>
  <c r="Y71" i="35"/>
  <c r="X7" i="35"/>
  <c r="X64" i="35" s="1"/>
  <c r="AB159" i="32"/>
  <c r="Z14" i="33" s="1"/>
  <c r="Z14" i="35" s="1"/>
  <c r="X42" i="33"/>
  <c r="X71" i="33"/>
  <c r="W35" i="35"/>
  <c r="X63" i="35"/>
  <c r="X68" i="35"/>
  <c r="X39" i="35"/>
  <c r="O15" i="35"/>
  <c r="O15" i="34"/>
  <c r="Y6" i="34"/>
  <c r="Y34" i="34" s="1"/>
  <c r="U38" i="38"/>
  <c r="U66" i="38"/>
  <c r="X70" i="34"/>
  <c r="X41" i="34"/>
  <c r="X38" i="34"/>
  <c r="X67" i="34"/>
  <c r="U66" i="37"/>
  <c r="U38" i="37"/>
  <c r="X70" i="35"/>
  <c r="X41" i="35"/>
  <c r="X11" i="34"/>
  <c r="M43" i="35"/>
  <c r="M44" i="35" s="1"/>
  <c r="M46" i="35" s="1"/>
  <c r="M48" i="35" s="1"/>
  <c r="M54" i="35" s="1"/>
  <c r="M43" i="34"/>
  <c r="M44" i="34" s="1"/>
  <c r="M46" i="34" s="1"/>
  <c r="M48" i="34" s="1"/>
  <c r="M54" i="34" s="1"/>
  <c r="V11" i="38"/>
  <c r="V11" i="39"/>
  <c r="Y154" i="36"/>
  <c r="V11" i="37"/>
  <c r="W68" i="35"/>
  <c r="W39" i="35"/>
  <c r="X69" i="34"/>
  <c r="X40" i="34"/>
  <c r="N72" i="34"/>
  <c r="N73" i="34" s="1"/>
  <c r="N75" i="34" s="1"/>
  <c r="N77" i="34" s="1"/>
  <c r="N83" i="34" s="1"/>
  <c r="N16" i="34"/>
  <c r="N18" i="34" s="1"/>
  <c r="N20" i="34" s="1"/>
  <c r="N26" i="34" s="1"/>
  <c r="Y10" i="34"/>
  <c r="Y10" i="35"/>
  <c r="Y13" i="35"/>
  <c r="Y13" i="34"/>
  <c r="Y12" i="35"/>
  <c r="Y12" i="34"/>
  <c r="U66" i="39"/>
  <c r="U38" i="39"/>
  <c r="X69" i="35"/>
  <c r="X40" i="35"/>
  <c r="X67" i="35"/>
  <c r="X38" i="35"/>
  <c r="N72" i="35"/>
  <c r="N73" i="35" s="1"/>
  <c r="N75" i="35" s="1"/>
  <c r="N77" i="35" s="1"/>
  <c r="N83" i="35" s="1"/>
  <c r="N16" i="35"/>
  <c r="N18" i="35" s="1"/>
  <c r="N20" i="35" s="1"/>
  <c r="N26" i="35" s="1"/>
  <c r="M28" i="41"/>
  <c r="Q37" i="40"/>
  <c r="R32" i="40" s="1"/>
  <c r="R34" i="40" s="1"/>
  <c r="O17" i="41"/>
  <c r="M89" i="41"/>
  <c r="M47" i="40"/>
  <c r="N42" i="40" s="1"/>
  <c r="N45" i="40" s="1"/>
  <c r="N55" i="40" s="1"/>
  <c r="N64" i="40" s="1"/>
  <c r="N65" i="40" s="1"/>
  <c r="N66" i="40" s="1"/>
  <c r="O61" i="40" s="1"/>
  <c r="O63" i="40" s="1"/>
  <c r="K47" i="41"/>
  <c r="K48" i="41" s="1"/>
  <c r="K50" i="41" s="1"/>
  <c r="N78" i="41"/>
  <c r="N79" i="41" s="1"/>
  <c r="N81" i="41" s="1"/>
  <c r="N18" i="41"/>
  <c r="N20" i="41" s="1"/>
  <c r="N22" i="41" s="1"/>
  <c r="S61" i="36"/>
  <c r="S63" i="36" s="1"/>
  <c r="S64" i="36" s="1"/>
  <c r="T59" i="36" s="1"/>
  <c r="Q41" i="36"/>
  <c r="Q43" i="36" s="1"/>
  <c r="R70" i="36"/>
  <c r="R72" i="36" s="1"/>
  <c r="R73" i="36" s="1"/>
  <c r="S68" i="36" s="1"/>
  <c r="O51" i="36"/>
  <c r="O53" i="36" s="1"/>
  <c r="X64" i="34"/>
  <c r="X35" i="34"/>
  <c r="Y34" i="35"/>
  <c r="Y7" i="35"/>
  <c r="Y63" i="35"/>
  <c r="X35" i="35"/>
  <c r="L54" i="33"/>
  <c r="X41" i="33"/>
  <c r="X70" i="33"/>
  <c r="X69" i="33"/>
  <c r="X40" i="33"/>
  <c r="X7" i="33"/>
  <c r="X63" i="33"/>
  <c r="X34" i="33"/>
  <c r="W35" i="33"/>
  <c r="W64" i="33"/>
  <c r="X38" i="33"/>
  <c r="X67" i="33"/>
  <c r="AB18" i="32"/>
  <c r="Y10" i="33"/>
  <c r="Y12" i="33"/>
  <c r="Y13" i="33"/>
  <c r="Y6" i="33"/>
  <c r="X11" i="33"/>
  <c r="AA156" i="32"/>
  <c r="Y11" i="34" s="1"/>
  <c r="W39" i="33"/>
  <c r="W68" i="33"/>
  <c r="M83" i="33"/>
  <c r="O54" i="32"/>
  <c r="P49" i="32" s="1"/>
  <c r="P51" i="32" s="1"/>
  <c r="P53" i="32" s="1"/>
  <c r="M43" i="33"/>
  <c r="M44" i="33" s="1"/>
  <c r="M46" i="33" s="1"/>
  <c r="M48" i="33" s="1"/>
  <c r="N16" i="33"/>
  <c r="N18" i="33" s="1"/>
  <c r="N20" i="33" s="1"/>
  <c r="N26" i="33" s="1"/>
  <c r="N72" i="33"/>
  <c r="N73" i="33" s="1"/>
  <c r="N75" i="33" s="1"/>
  <c r="N77" i="33" s="1"/>
  <c r="Q44" i="32"/>
  <c r="R39" i="32" s="1"/>
  <c r="R41" i="32" s="1"/>
  <c r="R43" i="32" s="1"/>
  <c r="O15" i="33"/>
  <c r="W51" i="31"/>
  <c r="W84" i="31" s="1"/>
  <c r="W51" i="30"/>
  <c r="W84" i="30" s="1"/>
  <c r="X79" i="30"/>
  <c r="X46" i="30"/>
  <c r="X45" i="1"/>
  <c r="X78" i="1"/>
  <c r="X78" i="31"/>
  <c r="X45" i="31"/>
  <c r="Z77" i="1"/>
  <c r="Z44" i="1"/>
  <c r="X79" i="1"/>
  <c r="X46" i="1"/>
  <c r="X81" i="1"/>
  <c r="X48" i="1"/>
  <c r="X45" i="30"/>
  <c r="X78" i="30"/>
  <c r="X79" i="31"/>
  <c r="X46" i="31"/>
  <c r="X80" i="31"/>
  <c r="X47" i="31"/>
  <c r="Z44" i="30"/>
  <c r="Z77" i="30"/>
  <c r="X71" i="30"/>
  <c r="X38" i="30"/>
  <c r="X80" i="1"/>
  <c r="X47" i="1"/>
  <c r="X81" i="30"/>
  <c r="X48" i="30"/>
  <c r="X83" i="31"/>
  <c r="X50" i="31"/>
  <c r="X48" i="31"/>
  <c r="X81" i="31"/>
  <c r="X82" i="1"/>
  <c r="X49" i="1"/>
  <c r="X83" i="30"/>
  <c r="X50" i="30"/>
  <c r="Y6" i="1"/>
  <c r="Y18" i="1"/>
  <c r="Y50" i="1" s="1"/>
  <c r="Z44" i="31"/>
  <c r="Z77" i="31"/>
  <c r="X80" i="30"/>
  <c r="X47" i="30"/>
  <c r="X82" i="31"/>
  <c r="X49" i="31"/>
  <c r="X82" i="30"/>
  <c r="X49" i="30"/>
  <c r="X71" i="31"/>
  <c r="X38" i="31"/>
  <c r="AB18" i="25"/>
  <c r="Y15" i="31"/>
  <c r="Y6" i="31"/>
  <c r="Y18" i="31"/>
  <c r="Y17" i="31"/>
  <c r="Y14" i="31"/>
  <c r="Y16" i="30"/>
  <c r="Y13" i="30"/>
  <c r="Y13" i="31"/>
  <c r="Y15" i="30"/>
  <c r="Y6" i="30"/>
  <c r="Y16" i="31"/>
  <c r="Y18" i="30"/>
  <c r="Y17" i="30"/>
  <c r="Y15" i="1"/>
  <c r="Y16" i="1"/>
  <c r="Y13" i="1"/>
  <c r="Y14" i="30"/>
  <c r="Y17" i="1"/>
  <c r="Y14" i="1"/>
  <c r="S61" i="32"/>
  <c r="S63" i="32" s="1"/>
  <c r="S64" i="32" s="1"/>
  <c r="T59" i="32" s="1"/>
  <c r="S70" i="32"/>
  <c r="S72" i="32" s="1"/>
  <c r="S73" i="32" s="1"/>
  <c r="T68" i="32" s="1"/>
  <c r="AB155" i="32"/>
  <c r="X38" i="1"/>
  <c r="Y38" i="1"/>
  <c r="Y71" i="1"/>
  <c r="AB145" i="25"/>
  <c r="AB161" i="25"/>
  <c r="AB159" i="25"/>
  <c r="AB146" i="25"/>
  <c r="AB162" i="25"/>
  <c r="AB160" i="25"/>
  <c r="W51" i="1"/>
  <c r="W84" i="1" s="1"/>
  <c r="W72" i="25"/>
  <c r="W73" i="25" s="1"/>
  <c r="X68" i="25" s="1"/>
  <c r="X70" i="25" s="1"/>
  <c r="Q61" i="25"/>
  <c r="Q63" i="25" s="1"/>
  <c r="Q64" i="25" s="1"/>
  <c r="R59" i="25" s="1"/>
  <c r="Y54" i="25"/>
  <c r="Z49" i="25" s="1"/>
  <c r="Z51" i="25" s="1"/>
  <c r="Z53" i="25" s="1"/>
  <c r="N80" i="39" l="1"/>
  <c r="N22" i="43"/>
  <c r="N28" i="43" s="1"/>
  <c r="N69" i="37"/>
  <c r="N70" i="37" s="1"/>
  <c r="N72" i="37" s="1"/>
  <c r="N74" i="37" s="1"/>
  <c r="N80" i="37" s="1"/>
  <c r="N15" i="37"/>
  <c r="N17" i="37" s="1"/>
  <c r="N19" i="37" s="1"/>
  <c r="N25" i="37" s="1"/>
  <c r="Y62" i="38"/>
  <c r="Y34" i="38"/>
  <c r="Z7" i="39"/>
  <c r="Z33" i="39"/>
  <c r="Z61" i="39"/>
  <c r="Z67" i="39"/>
  <c r="Z39" i="39"/>
  <c r="Q44" i="36"/>
  <c r="R39" i="36" s="1"/>
  <c r="O14" i="39"/>
  <c r="O14" i="37"/>
  <c r="O14" i="38"/>
  <c r="N69" i="39"/>
  <c r="N70" i="39" s="1"/>
  <c r="N72" i="39" s="1"/>
  <c r="N74" i="39" s="1"/>
  <c r="N15" i="39"/>
  <c r="N17" i="39" s="1"/>
  <c r="N19" i="39" s="1"/>
  <c r="N25" i="39" s="1"/>
  <c r="Z7" i="38"/>
  <c r="Z33" i="38"/>
  <c r="Z61" i="38"/>
  <c r="Z40" i="38"/>
  <c r="Z68" i="38"/>
  <c r="K47" i="43"/>
  <c r="K48" i="43" s="1"/>
  <c r="K50" i="43" s="1"/>
  <c r="K47" i="42"/>
  <c r="K48" i="42" s="1"/>
  <c r="K50" i="42" s="1"/>
  <c r="M52" i="38"/>
  <c r="Z40" i="39"/>
  <c r="Z68" i="39"/>
  <c r="AA13" i="37"/>
  <c r="AA12" i="39"/>
  <c r="AA13" i="39"/>
  <c r="AA12" i="38"/>
  <c r="AA13" i="38"/>
  <c r="AA12" i="37"/>
  <c r="AA6" i="37"/>
  <c r="AA6" i="39"/>
  <c r="AA6" i="38"/>
  <c r="Y65" i="37"/>
  <c r="Y37" i="37"/>
  <c r="Y62" i="39"/>
  <c r="Y34" i="39"/>
  <c r="O78" i="42"/>
  <c r="O79" i="42" s="1"/>
  <c r="O81" i="42" s="1"/>
  <c r="O83" i="42" s="1"/>
  <c r="O18" i="42"/>
  <c r="O20" i="42" s="1"/>
  <c r="O22" i="42" s="1"/>
  <c r="N69" i="38"/>
  <c r="N70" i="38" s="1"/>
  <c r="N72" i="38" s="1"/>
  <c r="N74" i="38" s="1"/>
  <c r="N80" i="38" s="1"/>
  <c r="N15" i="38"/>
  <c r="N17" i="38" s="1"/>
  <c r="N19" i="38" s="1"/>
  <c r="N25" i="38" s="1"/>
  <c r="Y65" i="39"/>
  <c r="Y37" i="39"/>
  <c r="O78" i="43"/>
  <c r="O79" i="43" s="1"/>
  <c r="O81" i="43" s="1"/>
  <c r="O83" i="43" s="1"/>
  <c r="O89" i="43" s="1"/>
  <c r="O18" i="43"/>
  <c r="O20" i="43" s="1"/>
  <c r="O22" i="43" s="1"/>
  <c r="Z68" i="37"/>
  <c r="Z40" i="37"/>
  <c r="Y34" i="37"/>
  <c r="Y62" i="37"/>
  <c r="Y65" i="38"/>
  <c r="Y37" i="38"/>
  <c r="Z39" i="38"/>
  <c r="Z67" i="38"/>
  <c r="O89" i="42"/>
  <c r="N83" i="33"/>
  <c r="Y83" i="1"/>
  <c r="O54" i="36"/>
  <c r="P49" i="36" s="1"/>
  <c r="M41" i="38"/>
  <c r="M42" i="38" s="1"/>
  <c r="M44" i="38" s="1"/>
  <c r="M46" i="38" s="1"/>
  <c r="M41" i="39"/>
  <c r="M42" i="39" s="1"/>
  <c r="M44" i="39" s="1"/>
  <c r="M46" i="39" s="1"/>
  <c r="M52" i="39" s="1"/>
  <c r="M41" i="37"/>
  <c r="M42" i="37" s="1"/>
  <c r="M44" i="37" s="1"/>
  <c r="M46" i="37" s="1"/>
  <c r="M52" i="37" s="1"/>
  <c r="Z10" i="39"/>
  <c r="Z10" i="37"/>
  <c r="AC153" i="36"/>
  <c r="Z10" i="38"/>
  <c r="N22" i="42"/>
  <c r="N28" i="42" s="1"/>
  <c r="O28" i="42" s="1"/>
  <c r="Z33" i="37"/>
  <c r="Z7" i="37"/>
  <c r="Z61" i="37"/>
  <c r="Z67" i="37"/>
  <c r="Z39" i="37"/>
  <c r="T58" i="45"/>
  <c r="T60" i="45" s="1"/>
  <c r="T61" i="45" s="1"/>
  <c r="U56" i="45" s="1"/>
  <c r="T67" i="45"/>
  <c r="T69" i="45" s="1"/>
  <c r="T70" i="45" s="1"/>
  <c r="U65" i="45" s="1"/>
  <c r="X71" i="34"/>
  <c r="X14" i="34"/>
  <c r="X42" i="34" s="1"/>
  <c r="Z71" i="35"/>
  <c r="Z42" i="35"/>
  <c r="Y7" i="34"/>
  <c r="Y64" i="34" s="1"/>
  <c r="Y42" i="33"/>
  <c r="Y71" i="33"/>
  <c r="Z71" i="33"/>
  <c r="Z42" i="33"/>
  <c r="Y63" i="34"/>
  <c r="Y39" i="34"/>
  <c r="Y68" i="34"/>
  <c r="N43" i="35"/>
  <c r="N44" i="35" s="1"/>
  <c r="N46" i="35" s="1"/>
  <c r="N48" i="35" s="1"/>
  <c r="N54" i="35" s="1"/>
  <c r="N43" i="34"/>
  <c r="N44" i="34" s="1"/>
  <c r="N46" i="34" s="1"/>
  <c r="N48" i="34" s="1"/>
  <c r="N54" i="34" s="1"/>
  <c r="Y70" i="34"/>
  <c r="Y41" i="34"/>
  <c r="Y11" i="35"/>
  <c r="V38" i="38"/>
  <c r="V66" i="38"/>
  <c r="O72" i="34"/>
  <c r="O73" i="34" s="1"/>
  <c r="O75" i="34" s="1"/>
  <c r="O77" i="34" s="1"/>
  <c r="O83" i="34" s="1"/>
  <c r="O16" i="34"/>
  <c r="O18" i="34" s="1"/>
  <c r="O20" i="34" s="1"/>
  <c r="O26" i="34" s="1"/>
  <c r="Z10" i="35"/>
  <c r="Z10" i="34"/>
  <c r="Z13" i="34"/>
  <c r="Z6" i="34"/>
  <c r="Z63" i="34" s="1"/>
  <c r="Z13" i="35"/>
  <c r="Z12" i="34"/>
  <c r="Z12" i="35"/>
  <c r="Y70" i="35"/>
  <c r="Y41" i="35"/>
  <c r="Y67" i="34"/>
  <c r="Y38" i="34"/>
  <c r="V66" i="37"/>
  <c r="V38" i="37"/>
  <c r="O72" i="35"/>
  <c r="O73" i="35" s="1"/>
  <c r="O75" i="35" s="1"/>
  <c r="O77" i="35" s="1"/>
  <c r="O83" i="35" s="1"/>
  <c r="O16" i="35"/>
  <c r="O18" i="35" s="1"/>
  <c r="O20" i="35" s="1"/>
  <c r="O26" i="35" s="1"/>
  <c r="Z6" i="35"/>
  <c r="Z7" i="35" s="1"/>
  <c r="Y40" i="34"/>
  <c r="Y69" i="34"/>
  <c r="Y67" i="35"/>
  <c r="Y38" i="35"/>
  <c r="W11" i="39"/>
  <c r="W11" i="38"/>
  <c r="Z154" i="36"/>
  <c r="W11" i="37"/>
  <c r="X68" i="34"/>
  <c r="X39" i="34"/>
  <c r="P15" i="35"/>
  <c r="P15" i="34"/>
  <c r="Y40" i="35"/>
  <c r="Y69" i="35"/>
  <c r="V66" i="39"/>
  <c r="V38" i="39"/>
  <c r="N28" i="41"/>
  <c r="N44" i="40"/>
  <c r="N46" i="40" s="1"/>
  <c r="K52" i="41"/>
  <c r="K58" i="41" s="1"/>
  <c r="O78" i="41"/>
  <c r="O79" i="41" s="1"/>
  <c r="O81" i="41" s="1"/>
  <c r="O83" i="41" s="1"/>
  <c r="O18" i="41"/>
  <c r="O20" i="41" s="1"/>
  <c r="N83" i="41"/>
  <c r="N89" i="41" s="1"/>
  <c r="S34" i="40"/>
  <c r="R36" i="40"/>
  <c r="N56" i="40"/>
  <c r="N57" i="40" s="1"/>
  <c r="O52" i="40" s="1"/>
  <c r="O54" i="40" s="1"/>
  <c r="P51" i="36"/>
  <c r="P53" i="36" s="1"/>
  <c r="S70" i="36"/>
  <c r="S72" i="36" s="1"/>
  <c r="S73" i="36" s="1"/>
  <c r="T68" i="36" s="1"/>
  <c r="R41" i="36"/>
  <c r="R43" i="36" s="1"/>
  <c r="T61" i="36"/>
  <c r="T63" i="36" s="1"/>
  <c r="T64" i="36" s="1"/>
  <c r="U59" i="36" s="1"/>
  <c r="Y64" i="35"/>
  <c r="Y35" i="35"/>
  <c r="M54" i="33"/>
  <c r="Y70" i="33"/>
  <c r="Y41" i="33"/>
  <c r="Y7" i="33"/>
  <c r="Y63" i="33"/>
  <c r="Y34" i="33"/>
  <c r="Z6" i="33"/>
  <c r="Z10" i="33"/>
  <c r="Z12" i="33"/>
  <c r="Z13" i="33"/>
  <c r="Y40" i="33"/>
  <c r="Y69" i="33"/>
  <c r="Y38" i="33"/>
  <c r="Y67" i="33"/>
  <c r="X35" i="33"/>
  <c r="X64" i="33"/>
  <c r="Y11" i="33"/>
  <c r="AB156" i="32"/>
  <c r="Z11" i="33" s="1"/>
  <c r="X39" i="33"/>
  <c r="X68" i="33"/>
  <c r="R44" i="32"/>
  <c r="S39" i="32" s="1"/>
  <c r="S41" i="32" s="1"/>
  <c r="S43" i="32" s="1"/>
  <c r="P15" i="33"/>
  <c r="P54" i="32"/>
  <c r="Q49" i="32" s="1"/>
  <c r="Q51" i="32" s="1"/>
  <c r="Q53" i="32" s="1"/>
  <c r="N43" i="33"/>
  <c r="N44" i="33" s="1"/>
  <c r="N46" i="33" s="1"/>
  <c r="N48" i="33" s="1"/>
  <c r="O72" i="33"/>
  <c r="O73" i="33" s="1"/>
  <c r="O75" i="33" s="1"/>
  <c r="O77" i="33" s="1"/>
  <c r="O16" i="33"/>
  <c r="O18" i="33" s="1"/>
  <c r="O20" i="33" s="1"/>
  <c r="O26" i="33" s="1"/>
  <c r="X51" i="30"/>
  <c r="X84" i="30" s="1"/>
  <c r="X51" i="31"/>
  <c r="X84" i="31" s="1"/>
  <c r="Y46" i="1"/>
  <c r="Y79" i="1"/>
  <c r="Y81" i="31"/>
  <c r="Y48" i="31"/>
  <c r="Y82" i="1"/>
  <c r="Y49" i="1"/>
  <c r="Y80" i="1"/>
  <c r="Y47" i="1"/>
  <c r="Y38" i="30"/>
  <c r="Y71" i="30"/>
  <c r="Y81" i="30"/>
  <c r="Y48" i="30"/>
  <c r="Y38" i="31"/>
  <c r="Y71" i="31"/>
  <c r="Y50" i="31"/>
  <c r="Y83" i="31"/>
  <c r="Y79" i="30"/>
  <c r="Y46" i="30"/>
  <c r="Y82" i="30"/>
  <c r="Y49" i="30"/>
  <c r="Y80" i="30"/>
  <c r="Y47" i="30"/>
  <c r="Y79" i="31"/>
  <c r="Y46" i="31"/>
  <c r="Y47" i="31"/>
  <c r="Y80" i="31"/>
  <c r="Y81" i="1"/>
  <c r="Y48" i="1"/>
  <c r="Y78" i="30"/>
  <c r="Y45" i="30"/>
  <c r="Y78" i="1"/>
  <c r="Y45" i="1"/>
  <c r="Y83" i="30"/>
  <c r="Y50" i="30"/>
  <c r="Y78" i="31"/>
  <c r="Y45" i="31"/>
  <c r="Y82" i="31"/>
  <c r="Y49" i="31"/>
  <c r="Z18" i="31"/>
  <c r="Z13" i="31"/>
  <c r="Z13" i="30"/>
  <c r="Z13" i="1"/>
  <c r="Z18" i="30"/>
  <c r="Z6" i="31"/>
  <c r="Z6" i="30"/>
  <c r="Z15" i="1"/>
  <c r="Z16" i="1"/>
  <c r="Z15" i="31"/>
  <c r="Z15" i="30"/>
  <c r="Z16" i="31"/>
  <c r="Z16" i="30"/>
  <c r="Z17" i="1"/>
  <c r="Z14" i="31"/>
  <c r="Z17" i="31"/>
  <c r="Z14" i="30"/>
  <c r="Z17" i="30"/>
  <c r="Z14" i="1"/>
  <c r="T61" i="32"/>
  <c r="T63" i="32" s="1"/>
  <c r="T64" i="32" s="1"/>
  <c r="U59" i="32" s="1"/>
  <c r="T70" i="32"/>
  <c r="T72" i="32" s="1"/>
  <c r="T73" i="32" s="1"/>
  <c r="U68" i="32" s="1"/>
  <c r="Z18" i="1"/>
  <c r="Z6" i="1"/>
  <c r="X51" i="1"/>
  <c r="X84" i="1" s="1"/>
  <c r="X72" i="25"/>
  <c r="X73" i="25" s="1"/>
  <c r="Y68" i="25" s="1"/>
  <c r="Y70" i="25" s="1"/>
  <c r="R61" i="25"/>
  <c r="R63" i="25" s="1"/>
  <c r="R64" i="25" s="1"/>
  <c r="S59" i="25" s="1"/>
  <c r="Z54" i="25"/>
  <c r="AA49" i="25" s="1"/>
  <c r="AA51" i="25" s="1"/>
  <c r="AA53" i="25" s="1"/>
  <c r="K52" i="42" l="1"/>
  <c r="K58" i="42" s="1"/>
  <c r="O69" i="38"/>
  <c r="O70" i="38" s="1"/>
  <c r="O72" i="38" s="1"/>
  <c r="O74" i="38" s="1"/>
  <c r="O80" i="38" s="1"/>
  <c r="O15" i="38"/>
  <c r="O17" i="38" s="1"/>
  <c r="O19" i="38" s="1"/>
  <c r="O25" i="38" s="1"/>
  <c r="Z65" i="38"/>
  <c r="Z37" i="38"/>
  <c r="AA33" i="39"/>
  <c r="AA61" i="39"/>
  <c r="AA7" i="39"/>
  <c r="AA67" i="39"/>
  <c r="AA39" i="39"/>
  <c r="K52" i="43"/>
  <c r="K58" i="43" s="1"/>
  <c r="L58" i="43" s="1"/>
  <c r="O69" i="37"/>
  <c r="O70" i="37" s="1"/>
  <c r="O72" i="37" s="1"/>
  <c r="O74" i="37" s="1"/>
  <c r="O80" i="37" s="1"/>
  <c r="O15" i="37"/>
  <c r="O17" i="37" s="1"/>
  <c r="O19" i="37" s="1"/>
  <c r="O25" i="37" s="1"/>
  <c r="L47" i="43"/>
  <c r="L48" i="43" s="1"/>
  <c r="L50" i="43" s="1"/>
  <c r="L52" i="43" s="1"/>
  <c r="L47" i="42"/>
  <c r="L48" i="42" s="1"/>
  <c r="L50" i="42" s="1"/>
  <c r="L52" i="42" s="1"/>
  <c r="AA33" i="38"/>
  <c r="AA7" i="38"/>
  <c r="AA61" i="38"/>
  <c r="R44" i="36"/>
  <c r="S39" i="36" s="1"/>
  <c r="P14" i="38"/>
  <c r="P14" i="39"/>
  <c r="P14" i="37"/>
  <c r="AA10" i="38"/>
  <c r="AA10" i="39"/>
  <c r="AA10" i="37"/>
  <c r="AA61" i="37"/>
  <c r="AA7" i="37"/>
  <c r="AA33" i="37"/>
  <c r="AA40" i="37"/>
  <c r="AA68" i="37"/>
  <c r="O69" i="39"/>
  <c r="O70" i="39" s="1"/>
  <c r="O72" i="39" s="1"/>
  <c r="O74" i="39" s="1"/>
  <c r="O15" i="39"/>
  <c r="O17" i="39" s="1"/>
  <c r="O19" i="39" s="1"/>
  <c r="O25" i="39" s="1"/>
  <c r="Z62" i="39"/>
  <c r="Z34" i="39"/>
  <c r="O28" i="43"/>
  <c r="P17" i="43"/>
  <c r="P17" i="42"/>
  <c r="AA68" i="39"/>
  <c r="AA40" i="39"/>
  <c r="Z34" i="38"/>
  <c r="Z62" i="38"/>
  <c r="O83" i="33"/>
  <c r="Z62" i="37"/>
  <c r="Z34" i="37"/>
  <c r="Z65" i="37"/>
  <c r="Z37" i="37"/>
  <c r="AA39" i="37"/>
  <c r="AA67" i="37"/>
  <c r="Y35" i="34"/>
  <c r="P54" i="36"/>
  <c r="Q49" i="36" s="1"/>
  <c r="N41" i="39"/>
  <c r="N42" i="39" s="1"/>
  <c r="N44" i="39" s="1"/>
  <c r="N46" i="39" s="1"/>
  <c r="N52" i="39" s="1"/>
  <c r="N41" i="37"/>
  <c r="N42" i="37" s="1"/>
  <c r="N44" i="37" s="1"/>
  <c r="N46" i="37" s="1"/>
  <c r="N52" i="37" s="1"/>
  <c r="N41" i="38"/>
  <c r="N42" i="38" s="1"/>
  <c r="N44" i="38" s="1"/>
  <c r="N46" i="38" s="1"/>
  <c r="N52" i="38" s="1"/>
  <c r="Z65" i="39"/>
  <c r="Z37" i="39"/>
  <c r="AA40" i="38"/>
  <c r="AA68" i="38"/>
  <c r="AA39" i="38"/>
  <c r="AA67" i="38"/>
  <c r="O80" i="39"/>
  <c r="U67" i="45"/>
  <c r="U69" i="45" s="1"/>
  <c r="U70" i="45" s="1"/>
  <c r="V65" i="45" s="1"/>
  <c r="U58" i="45"/>
  <c r="U60" i="45" s="1"/>
  <c r="U61" i="45" s="1"/>
  <c r="V56" i="45" s="1"/>
  <c r="Y14" i="34"/>
  <c r="Y42" i="34" s="1"/>
  <c r="Y71" i="34"/>
  <c r="Z14" i="34"/>
  <c r="Z42" i="34" s="1"/>
  <c r="Z71" i="34"/>
  <c r="Z63" i="35"/>
  <c r="Z34" i="35"/>
  <c r="Z34" i="34"/>
  <c r="P72" i="34"/>
  <c r="P73" i="34" s="1"/>
  <c r="P75" i="34" s="1"/>
  <c r="P77" i="34" s="1"/>
  <c r="P83" i="34" s="1"/>
  <c r="P16" i="34"/>
  <c r="P18" i="34" s="1"/>
  <c r="P20" i="34" s="1"/>
  <c r="P26" i="34" s="1"/>
  <c r="W66" i="37"/>
  <c r="W38" i="37"/>
  <c r="Z69" i="34"/>
  <c r="Z40" i="34"/>
  <c r="Z11" i="34"/>
  <c r="Q15" i="35"/>
  <c r="Q15" i="34"/>
  <c r="Z7" i="34"/>
  <c r="Z64" i="34" s="1"/>
  <c r="P72" i="35"/>
  <c r="P73" i="35" s="1"/>
  <c r="P75" i="35" s="1"/>
  <c r="P77" i="35" s="1"/>
  <c r="P83" i="35" s="1"/>
  <c r="P16" i="35"/>
  <c r="P18" i="35" s="1"/>
  <c r="P20" i="35" s="1"/>
  <c r="P26" i="35" s="1"/>
  <c r="X11" i="39"/>
  <c r="X11" i="38"/>
  <c r="X11" i="37"/>
  <c r="AA154" i="36"/>
  <c r="Z70" i="35"/>
  <c r="Z41" i="35"/>
  <c r="Z67" i="34"/>
  <c r="Z38" i="34"/>
  <c r="W66" i="38"/>
  <c r="W38" i="38"/>
  <c r="Z67" i="35"/>
  <c r="Z38" i="35"/>
  <c r="Y68" i="35"/>
  <c r="Y39" i="35"/>
  <c r="O43" i="35"/>
  <c r="O44" i="35" s="1"/>
  <c r="O46" i="35" s="1"/>
  <c r="O48" i="35" s="1"/>
  <c r="O54" i="35" s="1"/>
  <c r="O43" i="34"/>
  <c r="O44" i="34" s="1"/>
  <c r="O46" i="34" s="1"/>
  <c r="O48" i="34" s="1"/>
  <c r="O54" i="34" s="1"/>
  <c r="W66" i="39"/>
  <c r="W38" i="39"/>
  <c r="Z40" i="35"/>
  <c r="Z69" i="35"/>
  <c r="Z70" i="34"/>
  <c r="Z41" i="34"/>
  <c r="Z11" i="35"/>
  <c r="N47" i="40"/>
  <c r="O42" i="40" s="1"/>
  <c r="O44" i="40" s="1"/>
  <c r="L47" i="41"/>
  <c r="L48" i="41" s="1"/>
  <c r="L50" i="41" s="1"/>
  <c r="S36" i="40"/>
  <c r="P17" i="41"/>
  <c r="R37" i="40"/>
  <c r="O22" i="41"/>
  <c r="O28" i="41" s="1"/>
  <c r="O89" i="41"/>
  <c r="O45" i="40"/>
  <c r="O55" i="40" s="1"/>
  <c r="O64" i="40" s="1"/>
  <c r="O65" i="40" s="1"/>
  <c r="O66" i="40" s="1"/>
  <c r="P61" i="40" s="1"/>
  <c r="P63" i="40" s="1"/>
  <c r="U61" i="36"/>
  <c r="U63" i="36" s="1"/>
  <c r="U64" i="36" s="1"/>
  <c r="V59" i="36" s="1"/>
  <c r="S41" i="36"/>
  <c r="S43" i="36" s="1"/>
  <c r="Q51" i="36"/>
  <c r="Q53" i="36" s="1"/>
  <c r="T70" i="36"/>
  <c r="T72" i="36" s="1"/>
  <c r="T73" i="36" s="1"/>
  <c r="U68" i="36" s="1"/>
  <c r="Z64" i="35"/>
  <c r="Z35" i="35"/>
  <c r="N54" i="33"/>
  <c r="Y35" i="33"/>
  <c r="Y64" i="33"/>
  <c r="Z63" i="33"/>
  <c r="Z34" i="33"/>
  <c r="Z7" i="33"/>
  <c r="Z69" i="33"/>
  <c r="Z40" i="33"/>
  <c r="Z38" i="33"/>
  <c r="Z67" i="33"/>
  <c r="Z41" i="33"/>
  <c r="Z70" i="33"/>
  <c r="Z68" i="33"/>
  <c r="Z39" i="33"/>
  <c r="Y39" i="33"/>
  <c r="Y68" i="33"/>
  <c r="S44" i="32"/>
  <c r="T39" i="32" s="1"/>
  <c r="T41" i="32" s="1"/>
  <c r="T43" i="32" s="1"/>
  <c r="Q15" i="33"/>
  <c r="Q54" i="32"/>
  <c r="R49" i="32" s="1"/>
  <c r="R51" i="32" s="1"/>
  <c r="R53" i="32" s="1"/>
  <c r="O43" i="33"/>
  <c r="O44" i="33" s="1"/>
  <c r="O46" i="33" s="1"/>
  <c r="O48" i="33" s="1"/>
  <c r="P72" i="33"/>
  <c r="P73" i="33" s="1"/>
  <c r="P75" i="33" s="1"/>
  <c r="P77" i="33" s="1"/>
  <c r="P83" i="33" s="1"/>
  <c r="P16" i="33"/>
  <c r="P18" i="33" s="1"/>
  <c r="P20" i="33" s="1"/>
  <c r="P26" i="33" s="1"/>
  <c r="Y51" i="30"/>
  <c r="Y84" i="30" s="1"/>
  <c r="Y51" i="31"/>
  <c r="Y84" i="31" s="1"/>
  <c r="Z46" i="30"/>
  <c r="Z79" i="30"/>
  <c r="Z81" i="1"/>
  <c r="Z48" i="1"/>
  <c r="Z49" i="31"/>
  <c r="Z82" i="31"/>
  <c r="Z48" i="31"/>
  <c r="Z81" i="31"/>
  <c r="Z80" i="1"/>
  <c r="Z47" i="1"/>
  <c r="Z78" i="1"/>
  <c r="Z45" i="1"/>
  <c r="Z50" i="31"/>
  <c r="Z83" i="31"/>
  <c r="Z79" i="1"/>
  <c r="Z46" i="1"/>
  <c r="Z79" i="31"/>
  <c r="Z46" i="31"/>
  <c r="Z47" i="30"/>
  <c r="Z80" i="30"/>
  <c r="Z38" i="30"/>
  <c r="Z71" i="30"/>
  <c r="Z78" i="30"/>
  <c r="Z45" i="30"/>
  <c r="Z48" i="30"/>
  <c r="Z81" i="30"/>
  <c r="Z50" i="30"/>
  <c r="Z83" i="30"/>
  <c r="Z49" i="30"/>
  <c r="Z82" i="30"/>
  <c r="Z49" i="1"/>
  <c r="Z82" i="1"/>
  <c r="Z47" i="31"/>
  <c r="Z80" i="31"/>
  <c r="Z38" i="31"/>
  <c r="Z71" i="31"/>
  <c r="Z78" i="31"/>
  <c r="Z45" i="31"/>
  <c r="U70" i="32"/>
  <c r="U72" i="32" s="1"/>
  <c r="U73" i="32" s="1"/>
  <c r="V68" i="32" s="1"/>
  <c r="U61" i="32"/>
  <c r="U63" i="32" s="1"/>
  <c r="U64" i="32" s="1"/>
  <c r="V59" i="32" s="1"/>
  <c r="Z83" i="1"/>
  <c r="Z50" i="1"/>
  <c r="Z71" i="1"/>
  <c r="Z38" i="1"/>
  <c r="Y51" i="1"/>
  <c r="Y84" i="1" s="1"/>
  <c r="Y72" i="25"/>
  <c r="Y73" i="25" s="1"/>
  <c r="Z68" i="25" s="1"/>
  <c r="Z70" i="25" s="1"/>
  <c r="S61" i="25"/>
  <c r="S63" i="25" s="1"/>
  <c r="S64" i="25" s="1"/>
  <c r="T59" i="25" s="1"/>
  <c r="AA54" i="25"/>
  <c r="AB49" i="25" s="1"/>
  <c r="AB51" i="25" s="1"/>
  <c r="AB53" i="25" s="1"/>
  <c r="O52" i="38" l="1"/>
  <c r="P80" i="38"/>
  <c r="P78" i="42"/>
  <c r="P79" i="42" s="1"/>
  <c r="P81" i="42" s="1"/>
  <c r="P18" i="42"/>
  <c r="P20" i="42" s="1"/>
  <c r="AA65" i="37"/>
  <c r="AA37" i="37"/>
  <c r="P69" i="38"/>
  <c r="P70" i="38" s="1"/>
  <c r="P72" i="38" s="1"/>
  <c r="P74" i="38" s="1"/>
  <c r="P15" i="38"/>
  <c r="P17" i="38" s="1"/>
  <c r="P19" i="38" s="1"/>
  <c r="P25" i="38" s="1"/>
  <c r="Z35" i="34"/>
  <c r="P78" i="43"/>
  <c r="P79" i="43" s="1"/>
  <c r="P81" i="43" s="1"/>
  <c r="P18" i="43"/>
  <c r="P20" i="43" s="1"/>
  <c r="AA65" i="39"/>
  <c r="AA37" i="39"/>
  <c r="L58" i="42"/>
  <c r="P69" i="39"/>
  <c r="P70" i="39" s="1"/>
  <c r="P72" i="39" s="1"/>
  <c r="P74" i="39" s="1"/>
  <c r="P80" i="39" s="1"/>
  <c r="P15" i="39"/>
  <c r="P17" i="39" s="1"/>
  <c r="P19" i="39" s="1"/>
  <c r="P25" i="39" s="1"/>
  <c r="AA65" i="38"/>
  <c r="AA37" i="38"/>
  <c r="Q54" i="36"/>
  <c r="R49" i="36" s="1"/>
  <c r="O41" i="38"/>
  <c r="O42" i="38" s="1"/>
  <c r="O44" i="38" s="1"/>
  <c r="O46" i="38" s="1"/>
  <c r="O41" i="39"/>
  <c r="O42" i="39" s="1"/>
  <c r="O44" i="39" s="1"/>
  <c r="O46" i="39" s="1"/>
  <c r="O52" i="39" s="1"/>
  <c r="O41" i="37"/>
  <c r="O42" i="37" s="1"/>
  <c r="O44" i="37" s="1"/>
  <c r="O46" i="37" s="1"/>
  <c r="O52" i="37" s="1"/>
  <c r="AA34" i="38"/>
  <c r="AA62" i="38"/>
  <c r="S44" i="36"/>
  <c r="T39" i="36" s="1"/>
  <c r="Q14" i="39"/>
  <c r="Q14" i="38"/>
  <c r="Q14" i="37"/>
  <c r="AA62" i="37"/>
  <c r="AA34" i="37"/>
  <c r="P69" i="37"/>
  <c r="P70" i="37" s="1"/>
  <c r="P72" i="37" s="1"/>
  <c r="P74" i="37" s="1"/>
  <c r="P80" i="37" s="1"/>
  <c r="P15" i="37"/>
  <c r="P17" i="37" s="1"/>
  <c r="P19" i="37" s="1"/>
  <c r="P25" i="37" s="1"/>
  <c r="AA62" i="39"/>
  <c r="AA34" i="39"/>
  <c r="V58" i="45"/>
  <c r="V60" i="45" s="1"/>
  <c r="V61" i="45" s="1"/>
  <c r="W56" i="45" s="1"/>
  <c r="V67" i="45"/>
  <c r="V69" i="45" s="1"/>
  <c r="V70" i="45" s="1"/>
  <c r="W65" i="45" s="1"/>
  <c r="X66" i="37"/>
  <c r="X38" i="37"/>
  <c r="P43" i="34"/>
  <c r="P44" i="34" s="1"/>
  <c r="P46" i="34" s="1"/>
  <c r="P48" i="34" s="1"/>
  <c r="P54" i="34" s="1"/>
  <c r="P43" i="35"/>
  <c r="P44" i="35" s="1"/>
  <c r="P46" i="35" s="1"/>
  <c r="P48" i="35" s="1"/>
  <c r="P54" i="35" s="1"/>
  <c r="Q72" i="35"/>
  <c r="Q73" i="35" s="1"/>
  <c r="Q75" i="35" s="1"/>
  <c r="Q77" i="35" s="1"/>
  <c r="Q83" i="35" s="1"/>
  <c r="Q16" i="35"/>
  <c r="Q18" i="35" s="1"/>
  <c r="Q20" i="35" s="1"/>
  <c r="Q26" i="35" s="1"/>
  <c r="X38" i="38"/>
  <c r="X66" i="38"/>
  <c r="Z68" i="35"/>
  <c r="Z39" i="35"/>
  <c r="X66" i="39"/>
  <c r="X38" i="39"/>
  <c r="Z39" i="34"/>
  <c r="Z68" i="34"/>
  <c r="R15" i="35"/>
  <c r="R15" i="34"/>
  <c r="Y11" i="38"/>
  <c r="Y11" i="39"/>
  <c r="Y11" i="37"/>
  <c r="AB154" i="36"/>
  <c r="Q72" i="34"/>
  <c r="Q73" i="34" s="1"/>
  <c r="Q75" i="34" s="1"/>
  <c r="Q77" i="34" s="1"/>
  <c r="Q83" i="34" s="1"/>
  <c r="Q16" i="34"/>
  <c r="Q18" i="34" s="1"/>
  <c r="Q20" i="34" s="1"/>
  <c r="Q26" i="34" s="1"/>
  <c r="P78" i="41"/>
  <c r="P79" i="41" s="1"/>
  <c r="P81" i="41" s="1"/>
  <c r="P18" i="41"/>
  <c r="P20" i="41" s="1"/>
  <c r="L52" i="41"/>
  <c r="L58" i="41" s="1"/>
  <c r="O46" i="40"/>
  <c r="O56" i="40"/>
  <c r="O57" i="40" s="1"/>
  <c r="P52" i="40" s="1"/>
  <c r="P54" i="40" s="1"/>
  <c r="R51" i="36"/>
  <c r="R53" i="36" s="1"/>
  <c r="U70" i="36"/>
  <c r="U72" i="36" s="1"/>
  <c r="U73" i="36" s="1"/>
  <c r="V68" i="36" s="1"/>
  <c r="V61" i="36"/>
  <c r="V63" i="36" s="1"/>
  <c r="V64" i="36" s="1"/>
  <c r="W59" i="36" s="1"/>
  <c r="T41" i="36"/>
  <c r="T43" i="36" s="1"/>
  <c r="O54" i="33"/>
  <c r="Z35" i="33"/>
  <c r="Z64" i="33"/>
  <c r="Q72" i="33"/>
  <c r="Q73" i="33" s="1"/>
  <c r="Q75" i="33" s="1"/>
  <c r="Q77" i="33" s="1"/>
  <c r="Q83" i="33" s="1"/>
  <c r="Q16" i="33"/>
  <c r="Q18" i="33" s="1"/>
  <c r="Q20" i="33" s="1"/>
  <c r="Q26" i="33" s="1"/>
  <c r="T44" i="32"/>
  <c r="U39" i="32" s="1"/>
  <c r="U41" i="32" s="1"/>
  <c r="U43" i="32" s="1"/>
  <c r="R15" i="33"/>
  <c r="R54" i="32"/>
  <c r="S49" i="32" s="1"/>
  <c r="S51" i="32" s="1"/>
  <c r="S53" i="32" s="1"/>
  <c r="P43" i="33"/>
  <c r="P44" i="33" s="1"/>
  <c r="P46" i="33" s="1"/>
  <c r="P48" i="33" s="1"/>
  <c r="Z51" i="31"/>
  <c r="Z84" i="31" s="1"/>
  <c r="Z51" i="30"/>
  <c r="Z84" i="30" s="1"/>
  <c r="V61" i="32"/>
  <c r="V63" i="32" s="1"/>
  <c r="V64" i="32" s="1"/>
  <c r="W59" i="32" s="1"/>
  <c r="V70" i="32"/>
  <c r="V72" i="32" s="1"/>
  <c r="V73" i="32" s="1"/>
  <c r="W68" i="32" s="1"/>
  <c r="Z51" i="1"/>
  <c r="Z72" i="25"/>
  <c r="Z73" i="25" s="1"/>
  <c r="AA68" i="25" s="1"/>
  <c r="AA70" i="25" s="1"/>
  <c r="T61" i="25"/>
  <c r="T63" i="25" s="1"/>
  <c r="T64" i="25" s="1"/>
  <c r="U59" i="25" s="1"/>
  <c r="AB54" i="25"/>
  <c r="C47" i="14"/>
  <c r="F47" i="14"/>
  <c r="P83" i="42" l="1"/>
  <c r="P89" i="42" s="1"/>
  <c r="B87" i="42"/>
  <c r="H10" i="14" s="1"/>
  <c r="B85" i="42"/>
  <c r="E10" i="14" s="1"/>
  <c r="R54" i="36"/>
  <c r="S49" i="36" s="1"/>
  <c r="P41" i="39"/>
  <c r="P42" i="39" s="1"/>
  <c r="P44" i="39" s="1"/>
  <c r="P46" i="39" s="1"/>
  <c r="P52" i="39" s="1"/>
  <c r="P41" i="37"/>
  <c r="P42" i="37" s="1"/>
  <c r="P44" i="37" s="1"/>
  <c r="P46" i="37" s="1"/>
  <c r="P52" i="37" s="1"/>
  <c r="P41" i="38"/>
  <c r="P42" i="38" s="1"/>
  <c r="P44" i="38" s="1"/>
  <c r="P46" i="38" s="1"/>
  <c r="Q69" i="39"/>
  <c r="Q70" i="39" s="1"/>
  <c r="Q72" i="39" s="1"/>
  <c r="Q74" i="39" s="1"/>
  <c r="Q80" i="39" s="1"/>
  <c r="Q15" i="39"/>
  <c r="Q17" i="39" s="1"/>
  <c r="Q19" i="39" s="1"/>
  <c r="Q25" i="39" s="1"/>
  <c r="P83" i="43"/>
  <c r="P89" i="43" s="1"/>
  <c r="B85" i="43"/>
  <c r="D10" i="14" s="1"/>
  <c r="B87" i="43"/>
  <c r="G10" i="14" s="1"/>
  <c r="Q69" i="38"/>
  <c r="Q70" i="38" s="1"/>
  <c r="Q72" i="38" s="1"/>
  <c r="Q74" i="38" s="1"/>
  <c r="Q80" i="38" s="1"/>
  <c r="Q15" i="38"/>
  <c r="Q17" i="38" s="1"/>
  <c r="Q19" i="38" s="1"/>
  <c r="Q25" i="38" s="1"/>
  <c r="P22" i="43"/>
  <c r="P28" i="43" s="1"/>
  <c r="B26" i="43"/>
  <c r="G8" i="14" s="1"/>
  <c r="B24" i="43"/>
  <c r="D8" i="14" s="1"/>
  <c r="M47" i="42"/>
  <c r="M48" i="42" s="1"/>
  <c r="M50" i="42" s="1"/>
  <c r="M52" i="42" s="1"/>
  <c r="M47" i="43"/>
  <c r="M48" i="43" s="1"/>
  <c r="M50" i="43" s="1"/>
  <c r="M52" i="43" s="1"/>
  <c r="M58" i="43" s="1"/>
  <c r="M58" i="42"/>
  <c r="T44" i="36"/>
  <c r="U39" i="36" s="1"/>
  <c r="R14" i="38"/>
  <c r="R14" i="39"/>
  <c r="R14" i="37"/>
  <c r="Q69" i="37"/>
  <c r="Q70" i="37" s="1"/>
  <c r="Q72" i="37" s="1"/>
  <c r="Q74" i="37" s="1"/>
  <c r="Q80" i="37" s="1"/>
  <c r="Q15" i="37"/>
  <c r="Q17" i="37" s="1"/>
  <c r="Q19" i="37" s="1"/>
  <c r="Q25" i="37" s="1"/>
  <c r="P22" i="42"/>
  <c r="P28" i="42" s="1"/>
  <c r="B24" i="42"/>
  <c r="E8" i="14" s="1"/>
  <c r="B26" i="42"/>
  <c r="H8" i="14" s="1"/>
  <c r="P52" i="38"/>
  <c r="W67" i="45"/>
  <c r="W69" i="45" s="1"/>
  <c r="W70" i="45" s="1"/>
  <c r="X65" i="45" s="1"/>
  <c r="W58" i="45"/>
  <c r="W60" i="45" s="1"/>
  <c r="W61" i="45" s="1"/>
  <c r="X56" i="45" s="1"/>
  <c r="P54" i="33"/>
  <c r="Q43" i="35"/>
  <c r="Q44" i="35" s="1"/>
  <c r="Q46" i="35" s="1"/>
  <c r="Q43" i="34"/>
  <c r="Q44" i="34" s="1"/>
  <c r="Q46" i="34" s="1"/>
  <c r="Y66" i="37"/>
  <c r="Y38" i="37"/>
  <c r="R72" i="34"/>
  <c r="R73" i="34" s="1"/>
  <c r="R75" i="34" s="1"/>
  <c r="R16" i="34"/>
  <c r="R18" i="34" s="1"/>
  <c r="S15" i="35"/>
  <c r="S15" i="34"/>
  <c r="Y66" i="39"/>
  <c r="Y38" i="39"/>
  <c r="R72" i="35"/>
  <c r="R73" i="35" s="1"/>
  <c r="R75" i="35" s="1"/>
  <c r="R16" i="35"/>
  <c r="R18" i="35" s="1"/>
  <c r="Y66" i="38"/>
  <c r="Y38" i="38"/>
  <c r="Z11" i="38"/>
  <c r="Z11" i="39"/>
  <c r="Z11" i="37"/>
  <c r="AC154" i="36"/>
  <c r="O47" i="40"/>
  <c r="P42" i="40" s="1"/>
  <c r="P44" i="40" s="1"/>
  <c r="M47" i="41"/>
  <c r="M48" i="41" s="1"/>
  <c r="M50" i="41" s="1"/>
  <c r="P22" i="41"/>
  <c r="P28" i="41" s="1"/>
  <c r="B24" i="41"/>
  <c r="C8" i="14" s="1"/>
  <c r="B26" i="41"/>
  <c r="P83" i="41"/>
  <c r="P89" i="41" s="1"/>
  <c r="B85" i="41"/>
  <c r="C10" i="14" s="1"/>
  <c r="B87" i="41"/>
  <c r="F10" i="14" s="1"/>
  <c r="W61" i="36"/>
  <c r="W63" i="36" s="1"/>
  <c r="W64" i="36" s="1"/>
  <c r="X59" i="36" s="1"/>
  <c r="V70" i="36"/>
  <c r="V72" i="36" s="1"/>
  <c r="V73" i="36" s="1"/>
  <c r="W68" i="36" s="1"/>
  <c r="S51" i="36"/>
  <c r="S53" i="36" s="1"/>
  <c r="U41" i="36"/>
  <c r="U43" i="36" s="1"/>
  <c r="U44" i="32"/>
  <c r="V39" i="32" s="1"/>
  <c r="V41" i="32" s="1"/>
  <c r="V43" i="32" s="1"/>
  <c r="S15" i="33"/>
  <c r="S54" i="32"/>
  <c r="T49" i="32" s="1"/>
  <c r="T51" i="32" s="1"/>
  <c r="T53" i="32" s="1"/>
  <c r="Q43" i="33"/>
  <c r="Q44" i="33" s="1"/>
  <c r="Q46" i="33" s="1"/>
  <c r="Q48" i="33" s="1"/>
  <c r="R72" i="33"/>
  <c r="R73" i="33" s="1"/>
  <c r="R75" i="33" s="1"/>
  <c r="R77" i="33" s="1"/>
  <c r="R83" i="33" s="1"/>
  <c r="R16" i="33"/>
  <c r="R18" i="33" s="1"/>
  <c r="R20" i="33" s="1"/>
  <c r="R26" i="33" s="1"/>
  <c r="W61" i="32"/>
  <c r="W63" i="32" s="1"/>
  <c r="W64" i="32" s="1"/>
  <c r="X59" i="32" s="1"/>
  <c r="W70" i="32"/>
  <c r="W72" i="32" s="1"/>
  <c r="W73" i="32" s="1"/>
  <c r="X68" i="32" s="1"/>
  <c r="Z84" i="1"/>
  <c r="AA72" i="25"/>
  <c r="AA73" i="25" s="1"/>
  <c r="AB68" i="25" s="1"/>
  <c r="AB70" i="25" s="1"/>
  <c r="U61" i="25"/>
  <c r="U63" i="25" s="1"/>
  <c r="U64" i="25" s="1"/>
  <c r="V59" i="25" s="1"/>
  <c r="V61" i="25" s="1"/>
  <c r="V63" i="25" s="1"/>
  <c r="V64" i="25" s="1"/>
  <c r="W59" i="25" s="1"/>
  <c r="W61" i="25" s="1"/>
  <c r="W63" i="25" s="1"/>
  <c r="W64" i="25" s="1"/>
  <c r="X59" i="25" s="1"/>
  <c r="X61" i="25" s="1"/>
  <c r="X63" i="25" s="1"/>
  <c r="X64" i="25" s="1"/>
  <c r="Y59" i="25" s="1"/>
  <c r="Y61" i="25" s="1"/>
  <c r="Y63" i="25" s="1"/>
  <c r="Y64" i="25" s="1"/>
  <c r="Z59" i="25" s="1"/>
  <c r="Z61" i="25" s="1"/>
  <c r="Z63" i="25" s="1"/>
  <c r="Z64" i="25" s="1"/>
  <c r="AA59" i="25" s="1"/>
  <c r="AA61" i="25" s="1"/>
  <c r="AA63" i="25" s="1"/>
  <c r="AA64" i="25" s="1"/>
  <c r="AB59" i="25" s="1"/>
  <c r="AB61" i="25" s="1"/>
  <c r="AB63" i="25" s="1"/>
  <c r="AB64" i="25" s="1"/>
  <c r="AC53" i="25"/>
  <c r="AC51" i="25"/>
  <c r="F48" i="14"/>
  <c r="C48" i="14"/>
  <c r="P45" i="40" l="1"/>
  <c r="P55" i="40" s="1"/>
  <c r="P64" i="40" s="1"/>
  <c r="P65" i="40" s="1"/>
  <c r="P66" i="40" s="1"/>
  <c r="Q61" i="40" s="1"/>
  <c r="Q63" i="40" s="1"/>
  <c r="R69" i="38"/>
  <c r="R70" i="38" s="1"/>
  <c r="R72" i="38" s="1"/>
  <c r="R74" i="38" s="1"/>
  <c r="R80" i="38" s="1"/>
  <c r="R15" i="38"/>
  <c r="R17" i="38" s="1"/>
  <c r="R19" i="38" s="1"/>
  <c r="R25" i="38" s="1"/>
  <c r="R69" i="39"/>
  <c r="R70" i="39" s="1"/>
  <c r="R72" i="39" s="1"/>
  <c r="R74" i="39" s="1"/>
  <c r="R80" i="39" s="1"/>
  <c r="R15" i="39"/>
  <c r="R17" i="39" s="1"/>
  <c r="R19" i="39" s="1"/>
  <c r="R25" i="39" s="1"/>
  <c r="U44" i="36"/>
  <c r="V39" i="36" s="1"/>
  <c r="S14" i="39"/>
  <c r="S14" i="38"/>
  <c r="S14" i="37"/>
  <c r="S54" i="36"/>
  <c r="T49" i="36" s="1"/>
  <c r="Q41" i="38"/>
  <c r="Q42" i="38" s="1"/>
  <c r="Q44" i="38" s="1"/>
  <c r="Q46" i="38" s="1"/>
  <c r="Q52" i="38" s="1"/>
  <c r="Q41" i="39"/>
  <c r="Q42" i="39" s="1"/>
  <c r="Q44" i="39" s="1"/>
  <c r="Q46" i="39" s="1"/>
  <c r="Q52" i="39" s="1"/>
  <c r="Q41" i="37"/>
  <c r="Q42" i="37" s="1"/>
  <c r="Q44" i="37" s="1"/>
  <c r="Q46" i="37" s="1"/>
  <c r="Q52" i="37" s="1"/>
  <c r="R69" i="37"/>
  <c r="R70" i="37" s="1"/>
  <c r="R72" i="37" s="1"/>
  <c r="R74" i="37" s="1"/>
  <c r="R80" i="37" s="1"/>
  <c r="R15" i="37"/>
  <c r="R17" i="37" s="1"/>
  <c r="R19" i="37" s="1"/>
  <c r="R25" i="37" s="1"/>
  <c r="X58" i="45"/>
  <c r="X60" i="45" s="1"/>
  <c r="X61" i="45" s="1"/>
  <c r="Y56" i="45" s="1"/>
  <c r="X67" i="45"/>
  <c r="X69" i="45" s="1"/>
  <c r="X70" i="45" s="1"/>
  <c r="Y65" i="45" s="1"/>
  <c r="Q54" i="33"/>
  <c r="R43" i="35"/>
  <c r="R44" i="35" s="1"/>
  <c r="R46" i="35" s="1"/>
  <c r="R48" i="35" s="1"/>
  <c r="R43" i="34"/>
  <c r="R44" i="34" s="1"/>
  <c r="R46" i="34" s="1"/>
  <c r="R48" i="34" s="1"/>
  <c r="AA11" i="37"/>
  <c r="AA11" i="39"/>
  <c r="AA11" i="38"/>
  <c r="S72" i="35"/>
  <c r="S73" i="35" s="1"/>
  <c r="S75" i="35" s="1"/>
  <c r="S77" i="35" s="1"/>
  <c r="S16" i="35"/>
  <c r="S18" i="35" s="1"/>
  <c r="S20" i="35" s="1"/>
  <c r="Z38" i="37"/>
  <c r="Z66" i="37"/>
  <c r="Z70" i="37" s="1"/>
  <c r="Z72" i="37" s="1"/>
  <c r="Z15" i="37"/>
  <c r="Z17" i="37" s="1"/>
  <c r="R20" i="35"/>
  <c r="R26" i="35" s="1"/>
  <c r="R20" i="34"/>
  <c r="R26" i="34" s="1"/>
  <c r="T15" i="34"/>
  <c r="T15" i="35"/>
  <c r="Z38" i="39"/>
  <c r="Z66" i="39"/>
  <c r="Z70" i="39" s="1"/>
  <c r="Z72" i="39" s="1"/>
  <c r="Z15" i="39"/>
  <c r="Z17" i="39" s="1"/>
  <c r="R77" i="35"/>
  <c r="R83" i="35" s="1"/>
  <c r="S83" i="35" s="1"/>
  <c r="R77" i="34"/>
  <c r="R83" i="34" s="1"/>
  <c r="Q48" i="34"/>
  <c r="Q54" i="34" s="1"/>
  <c r="Z15" i="38"/>
  <c r="Z17" i="38" s="1"/>
  <c r="Z66" i="38"/>
  <c r="Z70" i="38" s="1"/>
  <c r="Z72" i="38" s="1"/>
  <c r="Z38" i="38"/>
  <c r="S72" i="34"/>
  <c r="S73" i="34" s="1"/>
  <c r="S75" i="34" s="1"/>
  <c r="S77" i="34" s="1"/>
  <c r="S16" i="34"/>
  <c r="S18" i="34" s="1"/>
  <c r="S20" i="34" s="1"/>
  <c r="Q48" i="35"/>
  <c r="Q54" i="35" s="1"/>
  <c r="M52" i="41"/>
  <c r="M58" i="41" s="1"/>
  <c r="F8" i="14"/>
  <c r="P46" i="40"/>
  <c r="P56" i="40"/>
  <c r="P57" i="40" s="1"/>
  <c r="Q52" i="40" s="1"/>
  <c r="Q54" i="40" s="1"/>
  <c r="T51" i="36"/>
  <c r="T53" i="36" s="1"/>
  <c r="W70" i="36"/>
  <c r="W72" i="36" s="1"/>
  <c r="W73" i="36" s="1"/>
  <c r="X68" i="36" s="1"/>
  <c r="V41" i="36"/>
  <c r="V43" i="36" s="1"/>
  <c r="X61" i="36"/>
  <c r="X63" i="36" s="1"/>
  <c r="X64" i="36" s="1"/>
  <c r="Y59" i="36" s="1"/>
  <c r="V44" i="32"/>
  <c r="W39" i="32" s="1"/>
  <c r="W41" i="32" s="1"/>
  <c r="W43" i="32" s="1"/>
  <c r="T15" i="33"/>
  <c r="T54" i="32"/>
  <c r="U49" i="32" s="1"/>
  <c r="U51" i="32" s="1"/>
  <c r="U53" i="32" s="1"/>
  <c r="R43" i="33"/>
  <c r="R44" i="33" s="1"/>
  <c r="R46" i="33" s="1"/>
  <c r="R48" i="33" s="1"/>
  <c r="S72" i="33"/>
  <c r="S73" i="33" s="1"/>
  <c r="S75" i="33" s="1"/>
  <c r="S77" i="33" s="1"/>
  <c r="S83" i="33" s="1"/>
  <c r="S16" i="33"/>
  <c r="S18" i="33" s="1"/>
  <c r="S20" i="33" s="1"/>
  <c r="S26" i="33" s="1"/>
  <c r="X70" i="32"/>
  <c r="X72" i="32" s="1"/>
  <c r="X73" i="32" s="1"/>
  <c r="Y68" i="32" s="1"/>
  <c r="X61" i="32"/>
  <c r="X63" i="32" s="1"/>
  <c r="X64" i="32" s="1"/>
  <c r="Y59" i="32" s="1"/>
  <c r="AB72" i="25"/>
  <c r="AB73" i="25" s="1"/>
  <c r="AC61" i="25"/>
  <c r="C49" i="14"/>
  <c r="F49" i="14"/>
  <c r="R52" i="39" l="1"/>
  <c r="S69" i="39"/>
  <c r="S70" i="39" s="1"/>
  <c r="S72" i="39" s="1"/>
  <c r="S74" i="39" s="1"/>
  <c r="S80" i="39" s="1"/>
  <c r="S15" i="39"/>
  <c r="S17" i="39" s="1"/>
  <c r="S19" i="39" s="1"/>
  <c r="S25" i="39" s="1"/>
  <c r="V44" i="36"/>
  <c r="W39" i="36" s="1"/>
  <c r="T14" i="38"/>
  <c r="T14" i="39"/>
  <c r="T14" i="37"/>
  <c r="N47" i="43"/>
  <c r="N48" i="43" s="1"/>
  <c r="N50" i="43" s="1"/>
  <c r="N52" i="43" s="1"/>
  <c r="N58" i="43" s="1"/>
  <c r="N47" i="42"/>
  <c r="N48" i="42" s="1"/>
  <c r="N50" i="42" s="1"/>
  <c r="N52" i="42" s="1"/>
  <c r="N58" i="42" s="1"/>
  <c r="S69" i="38"/>
  <c r="S70" i="38" s="1"/>
  <c r="S72" i="38" s="1"/>
  <c r="S74" i="38" s="1"/>
  <c r="S80" i="38" s="1"/>
  <c r="S15" i="38"/>
  <c r="S17" i="38" s="1"/>
  <c r="S19" i="38" s="1"/>
  <c r="S25" i="38" s="1"/>
  <c r="T54" i="36"/>
  <c r="U49" i="36" s="1"/>
  <c r="R41" i="39"/>
  <c r="R42" i="39" s="1"/>
  <c r="R44" i="39" s="1"/>
  <c r="R46" i="39" s="1"/>
  <c r="R41" i="38"/>
  <c r="R42" i="38" s="1"/>
  <c r="R44" i="38" s="1"/>
  <c r="R46" i="38" s="1"/>
  <c r="R52" i="38" s="1"/>
  <c r="R41" i="37"/>
  <c r="R42" i="37" s="1"/>
  <c r="R44" i="37" s="1"/>
  <c r="R46" i="37" s="1"/>
  <c r="R52" i="37" s="1"/>
  <c r="S69" i="37"/>
  <c r="S70" i="37" s="1"/>
  <c r="S72" i="37" s="1"/>
  <c r="S74" i="37" s="1"/>
  <c r="S80" i="37" s="1"/>
  <c r="S15" i="37"/>
  <c r="S17" i="37" s="1"/>
  <c r="S19" i="37" s="1"/>
  <c r="S25" i="37" s="1"/>
  <c r="Y67" i="45"/>
  <c r="Y69" i="45" s="1"/>
  <c r="Y70" i="45" s="1"/>
  <c r="Z65" i="45" s="1"/>
  <c r="Y58" i="45"/>
  <c r="Y60" i="45" s="1"/>
  <c r="Y61" i="45" s="1"/>
  <c r="Z56" i="45" s="1"/>
  <c r="R54" i="33"/>
  <c r="R54" i="34"/>
  <c r="S26" i="34"/>
  <c r="R54" i="35"/>
  <c r="Z19" i="38"/>
  <c r="S26" i="35"/>
  <c r="AA66" i="39"/>
  <c r="AA70" i="39" s="1"/>
  <c r="AA72" i="39" s="1"/>
  <c r="AA74" i="39" s="1"/>
  <c r="AA38" i="39"/>
  <c r="AA15" i="39"/>
  <c r="AA17" i="39" s="1"/>
  <c r="AA19" i="39" s="1"/>
  <c r="S43" i="35"/>
  <c r="S44" i="35" s="1"/>
  <c r="S46" i="35" s="1"/>
  <c r="S43" i="34"/>
  <c r="S44" i="34" s="1"/>
  <c r="S46" i="34" s="1"/>
  <c r="T72" i="35"/>
  <c r="T73" i="35" s="1"/>
  <c r="T75" i="35" s="1"/>
  <c r="T16" i="35"/>
  <c r="T18" i="35" s="1"/>
  <c r="AA66" i="37"/>
  <c r="AA70" i="37" s="1"/>
  <c r="AA72" i="37" s="1"/>
  <c r="AA74" i="37" s="1"/>
  <c r="AA38" i="37"/>
  <c r="AA15" i="37"/>
  <c r="AA17" i="37" s="1"/>
  <c r="AA19" i="37" s="1"/>
  <c r="U15" i="35"/>
  <c r="U15" i="34"/>
  <c r="Z74" i="38"/>
  <c r="S83" i="34"/>
  <c r="Z19" i="39"/>
  <c r="T72" i="34"/>
  <c r="T73" i="34" s="1"/>
  <c r="T75" i="34" s="1"/>
  <c r="T16" i="34"/>
  <c r="T18" i="34" s="1"/>
  <c r="T20" i="34" s="1"/>
  <c r="Z19" i="37"/>
  <c r="Z74" i="39"/>
  <c r="Z74" i="37"/>
  <c r="AA66" i="38"/>
  <c r="AA70" i="38" s="1"/>
  <c r="AA72" i="38" s="1"/>
  <c r="AA74" i="38" s="1"/>
  <c r="AA15" i="38"/>
  <c r="AA17" i="38" s="1"/>
  <c r="AA19" i="38" s="1"/>
  <c r="AA38" i="38"/>
  <c r="P47" i="40"/>
  <c r="Q42" i="40" s="1"/>
  <c r="Q44" i="40" s="1"/>
  <c r="N47" i="41"/>
  <c r="N48" i="41" s="1"/>
  <c r="N50" i="41" s="1"/>
  <c r="N52" i="41" s="1"/>
  <c r="N58" i="41" s="1"/>
  <c r="Y61" i="36"/>
  <c r="Y63" i="36" s="1"/>
  <c r="Y64" i="36" s="1"/>
  <c r="Z59" i="36" s="1"/>
  <c r="W41" i="36"/>
  <c r="W43" i="36" s="1"/>
  <c r="X70" i="36"/>
  <c r="X72" i="36" s="1"/>
  <c r="X73" i="36" s="1"/>
  <c r="Y68" i="36" s="1"/>
  <c r="U51" i="36"/>
  <c r="U53" i="36" s="1"/>
  <c r="W44" i="32"/>
  <c r="X39" i="32" s="1"/>
  <c r="X41" i="32" s="1"/>
  <c r="X43" i="32" s="1"/>
  <c r="U15" i="33"/>
  <c r="U54" i="32"/>
  <c r="V49" i="32" s="1"/>
  <c r="V51" i="32" s="1"/>
  <c r="V53" i="32" s="1"/>
  <c r="S43" i="33"/>
  <c r="S44" i="33" s="1"/>
  <c r="S46" i="33" s="1"/>
  <c r="S48" i="33" s="1"/>
  <c r="T72" i="33"/>
  <c r="T73" i="33" s="1"/>
  <c r="T75" i="33" s="1"/>
  <c r="T77" i="33" s="1"/>
  <c r="T83" i="33" s="1"/>
  <c r="T16" i="33"/>
  <c r="T18" i="33" s="1"/>
  <c r="T20" i="33" s="1"/>
  <c r="T26" i="33" s="1"/>
  <c r="Y61" i="32"/>
  <c r="Y63" i="32" s="1"/>
  <c r="Y64" i="32" s="1"/>
  <c r="Z59" i="32" s="1"/>
  <c r="Y70" i="32"/>
  <c r="Y72" i="32" s="1"/>
  <c r="Y73" i="32" s="1"/>
  <c r="Z68" i="32" s="1"/>
  <c r="AC63" i="25"/>
  <c r="C67" i="14"/>
  <c r="U54" i="36" l="1"/>
  <c r="V49" i="36" s="1"/>
  <c r="S41" i="38"/>
  <c r="S42" i="38" s="1"/>
  <c r="S44" i="38" s="1"/>
  <c r="S41" i="39"/>
  <c r="S42" i="39" s="1"/>
  <c r="S44" i="39" s="1"/>
  <c r="S41" i="37"/>
  <c r="S42" i="37" s="1"/>
  <c r="S44" i="37" s="1"/>
  <c r="T69" i="38"/>
  <c r="T70" i="38" s="1"/>
  <c r="T72" i="38" s="1"/>
  <c r="T15" i="38"/>
  <c r="T17" i="38" s="1"/>
  <c r="T19" i="38" s="1"/>
  <c r="T25" i="38" s="1"/>
  <c r="W44" i="36"/>
  <c r="X39" i="36" s="1"/>
  <c r="U14" i="39"/>
  <c r="U14" i="38"/>
  <c r="U14" i="37"/>
  <c r="T69" i="39"/>
  <c r="T70" i="39" s="1"/>
  <c r="T72" i="39" s="1"/>
  <c r="T15" i="39"/>
  <c r="T17" i="39" s="1"/>
  <c r="T69" i="37"/>
  <c r="T70" i="37" s="1"/>
  <c r="T72" i="37" s="1"/>
  <c r="T15" i="37"/>
  <c r="T17" i="37" s="1"/>
  <c r="Z67" i="45"/>
  <c r="Z69" i="45" s="1"/>
  <c r="Z70" i="45" s="1"/>
  <c r="AA65" i="45" s="1"/>
  <c r="Z58" i="45"/>
  <c r="Z60" i="45" s="1"/>
  <c r="Z61" i="45" s="1"/>
  <c r="AA56" i="45" s="1"/>
  <c r="S54" i="33"/>
  <c r="T26" i="34"/>
  <c r="T77" i="34"/>
  <c r="T83" i="34" s="1"/>
  <c r="U72" i="34"/>
  <c r="U73" i="34" s="1"/>
  <c r="U75" i="34" s="1"/>
  <c r="U77" i="34" s="1"/>
  <c r="U16" i="34"/>
  <c r="U18" i="34" s="1"/>
  <c r="U72" i="35"/>
  <c r="U73" i="35" s="1"/>
  <c r="U75" i="35" s="1"/>
  <c r="U77" i="35" s="1"/>
  <c r="U16" i="35"/>
  <c r="U18" i="35" s="1"/>
  <c r="T20" i="35"/>
  <c r="T26" i="35" s="1"/>
  <c r="V15" i="35"/>
  <c r="V15" i="34"/>
  <c r="T77" i="35"/>
  <c r="T83" i="35" s="1"/>
  <c r="S48" i="34"/>
  <c r="S54" i="34" s="1"/>
  <c r="T43" i="34"/>
  <c r="T44" i="34" s="1"/>
  <c r="T46" i="34" s="1"/>
  <c r="T48" i="34" s="1"/>
  <c r="T43" i="35"/>
  <c r="T44" i="35" s="1"/>
  <c r="T46" i="35" s="1"/>
  <c r="T48" i="35" s="1"/>
  <c r="S48" i="35"/>
  <c r="S54" i="35" s="1"/>
  <c r="Q45" i="40"/>
  <c r="Q55" i="40" s="1"/>
  <c r="Q64" i="40" s="1"/>
  <c r="Q65" i="40" s="1"/>
  <c r="Q66" i="40" s="1"/>
  <c r="R61" i="40" s="1"/>
  <c r="R63" i="40" s="1"/>
  <c r="V51" i="36"/>
  <c r="V53" i="36" s="1"/>
  <c r="Y70" i="36"/>
  <c r="Y72" i="36" s="1"/>
  <c r="Y73" i="36" s="1"/>
  <c r="Z68" i="36" s="1"/>
  <c r="Z61" i="36"/>
  <c r="Z63" i="36" s="1"/>
  <c r="Z64" i="36" s="1"/>
  <c r="AA59" i="36" s="1"/>
  <c r="X41" i="36"/>
  <c r="X43" i="36" s="1"/>
  <c r="V54" i="32"/>
  <c r="W49" i="32" s="1"/>
  <c r="W51" i="32" s="1"/>
  <c r="W53" i="32" s="1"/>
  <c r="T43" i="33"/>
  <c r="T44" i="33" s="1"/>
  <c r="T46" i="33" s="1"/>
  <c r="T48" i="33" s="1"/>
  <c r="X44" i="32"/>
  <c r="Y39" i="32" s="1"/>
  <c r="Y41" i="32" s="1"/>
  <c r="Y43" i="32" s="1"/>
  <c r="V15" i="33"/>
  <c r="U72" i="33"/>
  <c r="U73" i="33" s="1"/>
  <c r="U75" i="33" s="1"/>
  <c r="U77" i="33" s="1"/>
  <c r="U83" i="33" s="1"/>
  <c r="U16" i="33"/>
  <c r="U18" i="33" s="1"/>
  <c r="U20" i="33" s="1"/>
  <c r="U26" i="33" s="1"/>
  <c r="Z61" i="32"/>
  <c r="Z63" i="32" s="1"/>
  <c r="Z64" i="32" s="1"/>
  <c r="AA59" i="32" s="1"/>
  <c r="Z70" i="32"/>
  <c r="Z72" i="32" s="1"/>
  <c r="Z73" i="32" s="1"/>
  <c r="AA68" i="32" s="1"/>
  <c r="AC70" i="25"/>
  <c r="F70" i="14"/>
  <c r="C70" i="14"/>
  <c r="F67" i="14"/>
  <c r="T74" i="38" l="1"/>
  <c r="T80" i="38" s="1"/>
  <c r="X44" i="36"/>
  <c r="Y39" i="36" s="1"/>
  <c r="V14" i="38"/>
  <c r="V14" i="37"/>
  <c r="V14" i="39"/>
  <c r="T74" i="37"/>
  <c r="T80" i="37" s="1"/>
  <c r="U69" i="37"/>
  <c r="U70" i="37" s="1"/>
  <c r="U72" i="37" s="1"/>
  <c r="U74" i="37" s="1"/>
  <c r="U80" i="37" s="1"/>
  <c r="U15" i="37"/>
  <c r="U17" i="37" s="1"/>
  <c r="U19" i="37" s="1"/>
  <c r="U25" i="37" s="1"/>
  <c r="U69" i="38"/>
  <c r="U70" i="38" s="1"/>
  <c r="U72" i="38" s="1"/>
  <c r="U74" i="38" s="1"/>
  <c r="U80" i="38" s="1"/>
  <c r="U15" i="38"/>
  <c r="U17" i="38" s="1"/>
  <c r="U19" i="38" s="1"/>
  <c r="U25" i="38" s="1"/>
  <c r="S46" i="37"/>
  <c r="S52" i="37" s="1"/>
  <c r="T19" i="39"/>
  <c r="T25" i="39" s="1"/>
  <c r="U69" i="39"/>
  <c r="U70" i="39" s="1"/>
  <c r="U72" i="39" s="1"/>
  <c r="U74" i="39" s="1"/>
  <c r="U15" i="39"/>
  <c r="U17" i="39" s="1"/>
  <c r="U19" i="39" s="1"/>
  <c r="S46" i="39"/>
  <c r="S52" i="39" s="1"/>
  <c r="T19" i="37"/>
  <c r="T25" i="37" s="1"/>
  <c r="V54" i="36"/>
  <c r="W49" i="36" s="1"/>
  <c r="W51" i="36" s="1"/>
  <c r="W53" i="36" s="1"/>
  <c r="T41" i="39"/>
  <c r="T42" i="39" s="1"/>
  <c r="T44" i="39" s="1"/>
  <c r="T46" i="39" s="1"/>
  <c r="T41" i="38"/>
  <c r="T42" i="38" s="1"/>
  <c r="T44" i="38" s="1"/>
  <c r="T41" i="37"/>
  <c r="T42" i="37" s="1"/>
  <c r="T44" i="37" s="1"/>
  <c r="T74" i="39"/>
  <c r="T80" i="39" s="1"/>
  <c r="S46" i="38"/>
  <c r="S52" i="38" s="1"/>
  <c r="AA58" i="45"/>
  <c r="AA60" i="45" s="1"/>
  <c r="AA61" i="45" s="1"/>
  <c r="AB56" i="45" s="1"/>
  <c r="AA67" i="45"/>
  <c r="AA69" i="45" s="1"/>
  <c r="AA70" i="45" s="1"/>
  <c r="AB65" i="45" s="1"/>
  <c r="T54" i="33"/>
  <c r="U83" i="34"/>
  <c r="T54" i="34"/>
  <c r="U43" i="35"/>
  <c r="U44" i="35" s="1"/>
  <c r="U46" i="35" s="1"/>
  <c r="U43" i="34"/>
  <c r="U44" i="34" s="1"/>
  <c r="U46" i="34" s="1"/>
  <c r="V72" i="35"/>
  <c r="V73" i="35" s="1"/>
  <c r="V75" i="35" s="1"/>
  <c r="V16" i="35"/>
  <c r="V18" i="35" s="1"/>
  <c r="V20" i="35" s="1"/>
  <c r="U83" i="35"/>
  <c r="U20" i="34"/>
  <c r="U26" i="34" s="1"/>
  <c r="V72" i="34"/>
  <c r="V73" i="34" s="1"/>
  <c r="V75" i="34" s="1"/>
  <c r="V16" i="34"/>
  <c r="V18" i="34" s="1"/>
  <c r="U20" i="35"/>
  <c r="U26" i="35" s="1"/>
  <c r="W15" i="35"/>
  <c r="W15" i="34"/>
  <c r="T54" i="35"/>
  <c r="Q56" i="40"/>
  <c r="Q57" i="40" s="1"/>
  <c r="R52" i="40" s="1"/>
  <c r="R54" i="40" s="1"/>
  <c r="Q46" i="40"/>
  <c r="AA61" i="36"/>
  <c r="AA63" i="36" s="1"/>
  <c r="AA64" i="36" s="1"/>
  <c r="AB59" i="36" s="1"/>
  <c r="Z70" i="36"/>
  <c r="Z72" i="36" s="1"/>
  <c r="Z73" i="36" s="1"/>
  <c r="AA68" i="36" s="1"/>
  <c r="Y41" i="36"/>
  <c r="Y43" i="36" s="1"/>
  <c r="Y44" i="32"/>
  <c r="Z39" i="32" s="1"/>
  <c r="Z41" i="32" s="1"/>
  <c r="Z43" i="32" s="1"/>
  <c r="W15" i="33"/>
  <c r="W54" i="32"/>
  <c r="X49" i="32" s="1"/>
  <c r="X51" i="32" s="1"/>
  <c r="X53" i="32" s="1"/>
  <c r="U43" i="33"/>
  <c r="U44" i="33" s="1"/>
  <c r="U46" i="33" s="1"/>
  <c r="U48" i="33" s="1"/>
  <c r="U54" i="33" s="1"/>
  <c r="V16" i="33"/>
  <c r="V18" i="33" s="1"/>
  <c r="V20" i="33" s="1"/>
  <c r="V26" i="33" s="1"/>
  <c r="V72" i="33"/>
  <c r="V73" i="33" s="1"/>
  <c r="V75" i="33" s="1"/>
  <c r="V77" i="33" s="1"/>
  <c r="V83" i="33" s="1"/>
  <c r="AA61" i="32"/>
  <c r="AA63" i="32" s="1"/>
  <c r="AA64" i="32" s="1"/>
  <c r="AB59" i="32" s="1"/>
  <c r="AA70" i="32"/>
  <c r="AA72" i="32" s="1"/>
  <c r="AA73" i="32" s="1"/>
  <c r="AB68" i="32" s="1"/>
  <c r="AC72" i="25"/>
  <c r="C69" i="14"/>
  <c r="F69" i="14"/>
  <c r="W54" i="36" l="1"/>
  <c r="X49" i="36" s="1"/>
  <c r="U41" i="38"/>
  <c r="U42" i="38" s="1"/>
  <c r="U44" i="38" s="1"/>
  <c r="U41" i="39"/>
  <c r="U42" i="39" s="1"/>
  <c r="U44" i="39" s="1"/>
  <c r="U41" i="37"/>
  <c r="U42" i="37" s="1"/>
  <c r="U44" i="37" s="1"/>
  <c r="U25" i="39"/>
  <c r="V69" i="38"/>
  <c r="V70" i="38" s="1"/>
  <c r="V72" i="38" s="1"/>
  <c r="V15" i="38"/>
  <c r="V17" i="38" s="1"/>
  <c r="U80" i="39"/>
  <c r="V69" i="37"/>
  <c r="V70" i="37" s="1"/>
  <c r="V72" i="37" s="1"/>
  <c r="V74" i="37" s="1"/>
  <c r="V80" i="37" s="1"/>
  <c r="V15" i="37"/>
  <c r="V17" i="37" s="1"/>
  <c r="V19" i="37" s="1"/>
  <c r="V25" i="37" s="1"/>
  <c r="Y44" i="36"/>
  <c r="Z39" i="36" s="1"/>
  <c r="W14" i="39"/>
  <c r="W14" i="38"/>
  <c r="W14" i="37"/>
  <c r="Q47" i="40"/>
  <c r="R42" i="40" s="1"/>
  <c r="R45" i="40" s="1"/>
  <c r="R55" i="40" s="1"/>
  <c r="R64" i="40" s="1"/>
  <c r="R65" i="40" s="1"/>
  <c r="R66" i="40" s="1"/>
  <c r="S61" i="40" s="1"/>
  <c r="S63" i="40" s="1"/>
  <c r="O47" i="43"/>
  <c r="O48" i="43" s="1"/>
  <c r="O50" i="43" s="1"/>
  <c r="O52" i="43" s="1"/>
  <c r="O58" i="43" s="1"/>
  <c r="O47" i="42"/>
  <c r="O48" i="42" s="1"/>
  <c r="O50" i="42" s="1"/>
  <c r="O52" i="42" s="1"/>
  <c r="O58" i="42" s="1"/>
  <c r="T46" i="37"/>
  <c r="T52" i="37" s="1"/>
  <c r="T46" i="38"/>
  <c r="T52" i="38" s="1"/>
  <c r="T52" i="39"/>
  <c r="V69" i="39"/>
  <c r="V70" i="39" s="1"/>
  <c r="V72" i="39" s="1"/>
  <c r="V15" i="39"/>
  <c r="V17" i="39" s="1"/>
  <c r="V19" i="39" s="1"/>
  <c r="AB58" i="45"/>
  <c r="AB67" i="45"/>
  <c r="V77" i="35"/>
  <c r="V83" i="35" s="1"/>
  <c r="X15" i="35"/>
  <c r="X15" i="34"/>
  <c r="W72" i="34"/>
  <c r="W73" i="34" s="1"/>
  <c r="W75" i="34" s="1"/>
  <c r="W77" i="34" s="1"/>
  <c r="W16" i="34"/>
  <c r="W18" i="34" s="1"/>
  <c r="V20" i="34"/>
  <c r="V26" i="34" s="1"/>
  <c r="U48" i="34"/>
  <c r="U54" i="34" s="1"/>
  <c r="W72" i="35"/>
  <c r="W73" i="35" s="1"/>
  <c r="W75" i="35" s="1"/>
  <c r="W77" i="35" s="1"/>
  <c r="W16" i="35"/>
  <c r="W18" i="35" s="1"/>
  <c r="V77" i="34"/>
  <c r="V83" i="34" s="1"/>
  <c r="U48" i="35"/>
  <c r="U54" i="35" s="1"/>
  <c r="V43" i="35"/>
  <c r="V44" i="35" s="1"/>
  <c r="V46" i="35" s="1"/>
  <c r="V48" i="35" s="1"/>
  <c r="V43" i="34"/>
  <c r="V44" i="34" s="1"/>
  <c r="V46" i="34" s="1"/>
  <c r="V48" i="34" s="1"/>
  <c r="V26" i="35"/>
  <c r="O47" i="41"/>
  <c r="O48" i="41" s="1"/>
  <c r="O50" i="41" s="1"/>
  <c r="O52" i="41" s="1"/>
  <c r="O58" i="41" s="1"/>
  <c r="S45" i="40"/>
  <c r="S55" i="40" s="1"/>
  <c r="S64" i="40" s="1"/>
  <c r="AD64" i="40" s="1"/>
  <c r="R44" i="40"/>
  <c r="R56" i="40"/>
  <c r="R57" i="40" s="1"/>
  <c r="S52" i="40" s="1"/>
  <c r="S54" i="40" s="1"/>
  <c r="X51" i="36"/>
  <c r="X53" i="36" s="1"/>
  <c r="AA70" i="36"/>
  <c r="AA72" i="36" s="1"/>
  <c r="AA73" i="36" s="1"/>
  <c r="AB68" i="36" s="1"/>
  <c r="Z41" i="36"/>
  <c r="Z43" i="36" s="1"/>
  <c r="AB61" i="36"/>
  <c r="Z44" i="32"/>
  <c r="AA39" i="32" s="1"/>
  <c r="AA41" i="32" s="1"/>
  <c r="AA43" i="32" s="1"/>
  <c r="X15" i="33"/>
  <c r="X54" i="32"/>
  <c r="Y49" i="32" s="1"/>
  <c r="Y51" i="32" s="1"/>
  <c r="Y53" i="32" s="1"/>
  <c r="V43" i="33"/>
  <c r="V44" i="33" s="1"/>
  <c r="V46" i="33" s="1"/>
  <c r="V48" i="33" s="1"/>
  <c r="V54" i="33" s="1"/>
  <c r="W72" i="33"/>
  <c r="W73" i="33" s="1"/>
  <c r="W75" i="33" s="1"/>
  <c r="W77" i="33" s="1"/>
  <c r="W83" i="33" s="1"/>
  <c r="W16" i="33"/>
  <c r="W18" i="33" s="1"/>
  <c r="W20" i="33" s="1"/>
  <c r="W26" i="33" s="1"/>
  <c r="AB61" i="32"/>
  <c r="AB70" i="32"/>
  <c r="W69" i="37" l="1"/>
  <c r="W70" i="37" s="1"/>
  <c r="W72" i="37" s="1"/>
  <c r="W74" i="37" s="1"/>
  <c r="W80" i="37" s="1"/>
  <c r="W15" i="37"/>
  <c r="W17" i="37" s="1"/>
  <c r="W69" i="38"/>
  <c r="W70" i="38" s="1"/>
  <c r="W72" i="38" s="1"/>
  <c r="W15" i="38"/>
  <c r="W17" i="38" s="1"/>
  <c r="W69" i="39"/>
  <c r="W70" i="39" s="1"/>
  <c r="W72" i="39" s="1"/>
  <c r="W74" i="39" s="1"/>
  <c r="W80" i="39" s="1"/>
  <c r="W15" i="39"/>
  <c r="W17" i="39" s="1"/>
  <c r="U46" i="37"/>
  <c r="U52" i="37" s="1"/>
  <c r="X54" i="36"/>
  <c r="Y49" i="36" s="1"/>
  <c r="V41" i="39"/>
  <c r="V42" i="39" s="1"/>
  <c r="V44" i="39" s="1"/>
  <c r="V41" i="37"/>
  <c r="V42" i="37" s="1"/>
  <c r="V44" i="37" s="1"/>
  <c r="V41" i="38"/>
  <c r="V42" i="38" s="1"/>
  <c r="V44" i="38" s="1"/>
  <c r="V46" i="38" s="1"/>
  <c r="V25" i="39"/>
  <c r="U46" i="39"/>
  <c r="U52" i="39" s="1"/>
  <c r="V19" i="38"/>
  <c r="V25" i="38" s="1"/>
  <c r="U46" i="38"/>
  <c r="U52" i="38" s="1"/>
  <c r="Z44" i="36"/>
  <c r="AA39" i="36" s="1"/>
  <c r="X14" i="38"/>
  <c r="X14" i="39"/>
  <c r="X14" i="37"/>
  <c r="V74" i="39"/>
  <c r="V80" i="39" s="1"/>
  <c r="V74" i="38"/>
  <c r="V80" i="38" s="1"/>
  <c r="AB69" i="45"/>
  <c r="AC67" i="45"/>
  <c r="AB60" i="45"/>
  <c r="AC58" i="45"/>
  <c r="V54" i="34"/>
  <c r="W83" i="35"/>
  <c r="X72" i="35"/>
  <c r="X73" i="35" s="1"/>
  <c r="X75" i="35" s="1"/>
  <c r="X16" i="35"/>
  <c r="X18" i="35" s="1"/>
  <c r="X20" i="35" s="1"/>
  <c r="W43" i="35"/>
  <c r="W44" i="35" s="1"/>
  <c r="W46" i="35" s="1"/>
  <c r="W43" i="34"/>
  <c r="W44" i="34" s="1"/>
  <c r="W46" i="34" s="1"/>
  <c r="W48" i="34" s="1"/>
  <c r="W83" i="34"/>
  <c r="W20" i="34"/>
  <c r="W26" i="34" s="1"/>
  <c r="W20" i="35"/>
  <c r="W26" i="35" s="1"/>
  <c r="Y15" i="35"/>
  <c r="Y15" i="34"/>
  <c r="V54" i="35"/>
  <c r="X72" i="34"/>
  <c r="X73" i="34" s="1"/>
  <c r="X75" i="34" s="1"/>
  <c r="X77" i="34" s="1"/>
  <c r="X16" i="34"/>
  <c r="X18" i="34" s="1"/>
  <c r="S56" i="40"/>
  <c r="S57" i="40" s="1"/>
  <c r="T52" i="40" s="1"/>
  <c r="T54" i="40" s="1"/>
  <c r="T56" i="40" s="1"/>
  <c r="T57" i="40" s="1"/>
  <c r="U52" i="40" s="1"/>
  <c r="U54" i="40" s="1"/>
  <c r="U56" i="40" s="1"/>
  <c r="U57" i="40" s="1"/>
  <c r="V52" i="40" s="1"/>
  <c r="V54" i="40" s="1"/>
  <c r="V56" i="40" s="1"/>
  <c r="V57" i="40" s="1"/>
  <c r="W52" i="40" s="1"/>
  <c r="W54" i="40" s="1"/>
  <c r="W56" i="40" s="1"/>
  <c r="W57" i="40" s="1"/>
  <c r="X52" i="40" s="1"/>
  <c r="X54" i="40" s="1"/>
  <c r="X56" i="40" s="1"/>
  <c r="X57" i="40" s="1"/>
  <c r="Y52" i="40" s="1"/>
  <c r="Y54" i="40" s="1"/>
  <c r="Y56" i="40" s="1"/>
  <c r="Y57" i="40" s="1"/>
  <c r="Z52" i="40" s="1"/>
  <c r="Z54" i="40" s="1"/>
  <c r="Z56" i="40" s="1"/>
  <c r="Z57" i="40" s="1"/>
  <c r="AA52" i="40" s="1"/>
  <c r="AA54" i="40" s="1"/>
  <c r="AA56" i="40" s="1"/>
  <c r="AA57" i="40" s="1"/>
  <c r="AB52" i="40" s="1"/>
  <c r="AB54" i="40" s="1"/>
  <c r="AD55" i="40"/>
  <c r="S44" i="40"/>
  <c r="R46" i="40"/>
  <c r="S65" i="40"/>
  <c r="S66" i="40" s="1"/>
  <c r="T61" i="40" s="1"/>
  <c r="T63" i="40" s="1"/>
  <c r="T65" i="40" s="1"/>
  <c r="T66" i="40" s="1"/>
  <c r="U61" i="40" s="1"/>
  <c r="U63" i="40" s="1"/>
  <c r="U65" i="40" s="1"/>
  <c r="U66" i="40" s="1"/>
  <c r="V61" i="40" s="1"/>
  <c r="V63" i="40" s="1"/>
  <c r="V65" i="40" s="1"/>
  <c r="V66" i="40" s="1"/>
  <c r="W61" i="40" s="1"/>
  <c r="W63" i="40" s="1"/>
  <c r="W65" i="40" s="1"/>
  <c r="W66" i="40" s="1"/>
  <c r="X61" i="40" s="1"/>
  <c r="X63" i="40" s="1"/>
  <c r="X65" i="40" s="1"/>
  <c r="X66" i="40" s="1"/>
  <c r="Y61" i="40" s="1"/>
  <c r="Y63" i="40" s="1"/>
  <c r="Y65" i="40" s="1"/>
  <c r="Y66" i="40" s="1"/>
  <c r="Z61" i="40" s="1"/>
  <c r="Z63" i="40" s="1"/>
  <c r="Z65" i="40" s="1"/>
  <c r="Z66" i="40" s="1"/>
  <c r="AA61" i="40" s="1"/>
  <c r="Y51" i="36"/>
  <c r="Y53" i="36" s="1"/>
  <c r="AB63" i="36"/>
  <c r="AD61" i="36"/>
  <c r="AB70" i="36"/>
  <c r="AA41" i="36"/>
  <c r="AA44" i="32"/>
  <c r="AB39" i="32" s="1"/>
  <c r="AB41" i="32" s="1"/>
  <c r="Y15" i="33"/>
  <c r="Y54" i="32"/>
  <c r="Z49" i="32" s="1"/>
  <c r="Z51" i="32" s="1"/>
  <c r="Z53" i="32" s="1"/>
  <c r="W43" i="33"/>
  <c r="W44" i="33" s="1"/>
  <c r="W46" i="33" s="1"/>
  <c r="W48" i="33" s="1"/>
  <c r="W54" i="33" s="1"/>
  <c r="X72" i="33"/>
  <c r="X73" i="33" s="1"/>
  <c r="X75" i="33" s="1"/>
  <c r="X77" i="33" s="1"/>
  <c r="X83" i="33" s="1"/>
  <c r="X16" i="33"/>
  <c r="X18" i="33" s="1"/>
  <c r="X20" i="33" s="1"/>
  <c r="X26" i="33" s="1"/>
  <c r="AB63" i="32"/>
  <c r="AC61" i="32"/>
  <c r="AB72" i="32"/>
  <c r="AC70" i="32"/>
  <c r="V46" i="39" l="1"/>
  <c r="V52" i="39" s="1"/>
  <c r="Y54" i="36"/>
  <c r="Z49" i="36" s="1"/>
  <c r="W41" i="38"/>
  <c r="W42" i="38" s="1"/>
  <c r="W44" i="38" s="1"/>
  <c r="W41" i="37"/>
  <c r="W42" i="37" s="1"/>
  <c r="W44" i="37" s="1"/>
  <c r="W46" i="37" s="1"/>
  <c r="W41" i="39"/>
  <c r="W42" i="39" s="1"/>
  <c r="W44" i="39" s="1"/>
  <c r="X69" i="37"/>
  <c r="X70" i="37" s="1"/>
  <c r="X72" i="37" s="1"/>
  <c r="X15" i="37"/>
  <c r="X17" i="37" s="1"/>
  <c r="X19" i="37" s="1"/>
  <c r="W19" i="38"/>
  <c r="W25" i="38" s="1"/>
  <c r="V46" i="37"/>
  <c r="V52" i="37" s="1"/>
  <c r="X69" i="39"/>
  <c r="X70" i="39" s="1"/>
  <c r="X72" i="39" s="1"/>
  <c r="X15" i="39"/>
  <c r="X17" i="39" s="1"/>
  <c r="W74" i="38"/>
  <c r="W80" i="38" s="1"/>
  <c r="AA43" i="36"/>
  <c r="AD41" i="36"/>
  <c r="P47" i="42"/>
  <c r="P48" i="42" s="1"/>
  <c r="P50" i="42" s="1"/>
  <c r="P47" i="43"/>
  <c r="P48" i="43" s="1"/>
  <c r="P50" i="43" s="1"/>
  <c r="X69" i="38"/>
  <c r="X70" i="38" s="1"/>
  <c r="X72" i="38" s="1"/>
  <c r="X15" i="38"/>
  <c r="X17" i="38" s="1"/>
  <c r="W19" i="37"/>
  <c r="W25" i="37" s="1"/>
  <c r="V52" i="38"/>
  <c r="W19" i="39"/>
  <c r="W25" i="39" s="1"/>
  <c r="AC60" i="45"/>
  <c r="AB61" i="45"/>
  <c r="AC69" i="45"/>
  <c r="AB70" i="45"/>
  <c r="W54" i="34"/>
  <c r="Y72" i="35"/>
  <c r="Y73" i="35" s="1"/>
  <c r="Y75" i="35" s="1"/>
  <c r="Y16" i="35"/>
  <c r="Y18" i="35" s="1"/>
  <c r="Y20" i="35" s="1"/>
  <c r="X83" i="34"/>
  <c r="X26" i="35"/>
  <c r="X77" i="35"/>
  <c r="X83" i="35" s="1"/>
  <c r="X43" i="34"/>
  <c r="X44" i="34" s="1"/>
  <c r="X46" i="34" s="1"/>
  <c r="X48" i="34" s="1"/>
  <c r="X43" i="35"/>
  <c r="X44" i="35" s="1"/>
  <c r="X46" i="35" s="1"/>
  <c r="X48" i="35" s="1"/>
  <c r="X20" i="34"/>
  <c r="X26" i="34" s="1"/>
  <c r="Y72" i="34"/>
  <c r="Y73" i="34" s="1"/>
  <c r="Y75" i="34" s="1"/>
  <c r="Y77" i="34" s="1"/>
  <c r="Y16" i="34"/>
  <c r="Y18" i="34" s="1"/>
  <c r="Y20" i="34" s="1"/>
  <c r="W48" i="35"/>
  <c r="W54" i="35" s="1"/>
  <c r="P47" i="41"/>
  <c r="P48" i="41" s="1"/>
  <c r="P50" i="41" s="1"/>
  <c r="R47" i="40"/>
  <c r="S46" i="40"/>
  <c r="AA63" i="40"/>
  <c r="AA65" i="40" s="1"/>
  <c r="AA66" i="40" s="1"/>
  <c r="AB61" i="40" s="1"/>
  <c r="AB56" i="40"/>
  <c r="AD54" i="40"/>
  <c r="Z51" i="36"/>
  <c r="Z53" i="36" s="1"/>
  <c r="AD63" i="36"/>
  <c r="AB64" i="36"/>
  <c r="AB72" i="36"/>
  <c r="AD70" i="36"/>
  <c r="Z54" i="32"/>
  <c r="AA49" i="32" s="1"/>
  <c r="AA51" i="32" s="1"/>
  <c r="AA53" i="32" s="1"/>
  <c r="X43" i="33"/>
  <c r="X44" i="33" s="1"/>
  <c r="X46" i="33" s="1"/>
  <c r="X48" i="33" s="1"/>
  <c r="X54" i="33" s="1"/>
  <c r="Y16" i="33"/>
  <c r="Y18" i="33" s="1"/>
  <c r="Y20" i="33" s="1"/>
  <c r="Y26" i="33" s="1"/>
  <c r="Y72" i="33"/>
  <c r="Y73" i="33" s="1"/>
  <c r="Y75" i="33" s="1"/>
  <c r="Y77" i="33" s="1"/>
  <c r="Y83" i="33" s="1"/>
  <c r="AB43" i="32"/>
  <c r="AC41" i="32"/>
  <c r="AC63" i="32"/>
  <c r="AB64" i="32"/>
  <c r="AC72" i="32"/>
  <c r="AB73" i="32"/>
  <c r="X19" i="38" l="1"/>
  <c r="X25" i="38" s="1"/>
  <c r="X74" i="38"/>
  <c r="X80" i="38" s="1"/>
  <c r="W46" i="38"/>
  <c r="W52" i="38" s="1"/>
  <c r="AA44" i="36"/>
  <c r="AB39" i="36" s="1"/>
  <c r="AB44" i="36" s="1"/>
  <c r="AC39" i="36" s="1"/>
  <c r="AC44" i="36" s="1"/>
  <c r="Y14" i="39"/>
  <c r="Y14" i="38"/>
  <c r="Y14" i="37"/>
  <c r="AD43" i="36"/>
  <c r="W46" i="39"/>
  <c r="W52" i="39" s="1"/>
  <c r="Z54" i="36"/>
  <c r="AA49" i="36" s="1"/>
  <c r="X41" i="39"/>
  <c r="X42" i="39" s="1"/>
  <c r="X44" i="39" s="1"/>
  <c r="X46" i="39" s="1"/>
  <c r="X52" i="39" s="1"/>
  <c r="X41" i="38"/>
  <c r="X42" i="38" s="1"/>
  <c r="X44" i="38" s="1"/>
  <c r="X46" i="38" s="1"/>
  <c r="X52" i="38" s="1"/>
  <c r="X41" i="37"/>
  <c r="X42" i="37" s="1"/>
  <c r="X44" i="37" s="1"/>
  <c r="W52" i="37"/>
  <c r="P52" i="43"/>
  <c r="P58" i="43" s="1"/>
  <c r="B56" i="43"/>
  <c r="G9" i="14" s="1"/>
  <c r="B54" i="43"/>
  <c r="D9" i="14" s="1"/>
  <c r="P52" i="42"/>
  <c r="P58" i="42" s="1"/>
  <c r="B56" i="42"/>
  <c r="H9" i="14" s="1"/>
  <c r="B54" i="42"/>
  <c r="E9" i="14" s="1"/>
  <c r="X19" i="39"/>
  <c r="X25" i="39" s="1"/>
  <c r="X25" i="37"/>
  <c r="X74" i="39"/>
  <c r="X80" i="39" s="1"/>
  <c r="X74" i="37"/>
  <c r="X80" i="37" s="1"/>
  <c r="X54" i="34"/>
  <c r="Y26" i="35"/>
  <c r="Y43" i="35"/>
  <c r="Y44" i="35" s="1"/>
  <c r="Y46" i="35" s="1"/>
  <c r="Y43" i="34"/>
  <c r="Y44" i="34" s="1"/>
  <c r="Y46" i="34" s="1"/>
  <c r="Y48" i="34" s="1"/>
  <c r="Y77" i="35"/>
  <c r="Y83" i="35" s="1"/>
  <c r="Z15" i="33"/>
  <c r="Z72" i="33" s="1"/>
  <c r="Z73" i="33" s="1"/>
  <c r="Z75" i="33" s="1"/>
  <c r="Z15" i="35"/>
  <c r="Z15" i="34"/>
  <c r="Y26" i="34"/>
  <c r="Y83" i="34"/>
  <c r="X54" i="35"/>
  <c r="P52" i="41"/>
  <c r="P58" i="41" s="1"/>
  <c r="B56" i="41"/>
  <c r="F9" i="14" s="1"/>
  <c r="B54" i="41"/>
  <c r="C9" i="14" s="1"/>
  <c r="AB63" i="40"/>
  <c r="AD56" i="40"/>
  <c r="AB57" i="40"/>
  <c r="AA51" i="36"/>
  <c r="AA53" i="36" s="1"/>
  <c r="AD72" i="36"/>
  <c r="AB73" i="36"/>
  <c r="AA54" i="32"/>
  <c r="AB49" i="32" s="1"/>
  <c r="AB51" i="32" s="1"/>
  <c r="Y43" i="33"/>
  <c r="Y44" i="33" s="1"/>
  <c r="Y46" i="33" s="1"/>
  <c r="Y48" i="33" s="1"/>
  <c r="Y54" i="33" s="1"/>
  <c r="AC43" i="32"/>
  <c r="AB44" i="32"/>
  <c r="Y69" i="37" l="1"/>
  <c r="Y70" i="37" s="1"/>
  <c r="Y72" i="37" s="1"/>
  <c r="Y15" i="37"/>
  <c r="Y17" i="37" s="1"/>
  <c r="Y69" i="38"/>
  <c r="Y70" i="38" s="1"/>
  <c r="Y72" i="38" s="1"/>
  <c r="Y15" i="38"/>
  <c r="Y17" i="38" s="1"/>
  <c r="Y69" i="39"/>
  <c r="Y70" i="39" s="1"/>
  <c r="Y72" i="39" s="1"/>
  <c r="Y15" i="39"/>
  <c r="Y17" i="39" s="1"/>
  <c r="AA54" i="36"/>
  <c r="AB49" i="36" s="1"/>
  <c r="AB51" i="36" s="1"/>
  <c r="Y41" i="38"/>
  <c r="Y42" i="38" s="1"/>
  <c r="Y44" i="38" s="1"/>
  <c r="Y41" i="39"/>
  <c r="Y42" i="39" s="1"/>
  <c r="Y44" i="39" s="1"/>
  <c r="Y41" i="37"/>
  <c r="Y42" i="37" s="1"/>
  <c r="Y44" i="37" s="1"/>
  <c r="Y46" i="37" s="1"/>
  <c r="X46" i="37"/>
  <c r="X52" i="37" s="1"/>
  <c r="Y54" i="34"/>
  <c r="Z16" i="33"/>
  <c r="Z18" i="33" s="1"/>
  <c r="Z20" i="33" s="1"/>
  <c r="Z26" i="33" s="1"/>
  <c r="Z72" i="35"/>
  <c r="Z73" i="35" s="1"/>
  <c r="Z75" i="35" s="1"/>
  <c r="Z16" i="35"/>
  <c r="Z18" i="35" s="1"/>
  <c r="Z72" i="34"/>
  <c r="Z73" i="34" s="1"/>
  <c r="Z75" i="34" s="1"/>
  <c r="Z16" i="34"/>
  <c r="Z18" i="34" s="1"/>
  <c r="Y48" i="35"/>
  <c r="Y54" i="35" s="1"/>
  <c r="AB65" i="40"/>
  <c r="AD63" i="40"/>
  <c r="Z77" i="33"/>
  <c r="Z83" i="33" s="1"/>
  <c r="B81" i="33"/>
  <c r="F60" i="14" s="1"/>
  <c r="B79" i="33"/>
  <c r="C60" i="14" s="1"/>
  <c r="AB53" i="32"/>
  <c r="AC51" i="32"/>
  <c r="Y19" i="37" l="1"/>
  <c r="Y25" i="37" s="1"/>
  <c r="Z25" i="37" s="1"/>
  <c r="AA25" i="37" s="1"/>
  <c r="B23" i="37"/>
  <c r="F78" i="14" s="1"/>
  <c r="B21" i="37"/>
  <c r="C78" i="14" s="1"/>
  <c r="Y52" i="37"/>
  <c r="Y19" i="38"/>
  <c r="Y25" i="38" s="1"/>
  <c r="Z25" i="38" s="1"/>
  <c r="AA25" i="38" s="1"/>
  <c r="B21" i="38"/>
  <c r="E78" i="14" s="1"/>
  <c r="B23" i="38"/>
  <c r="H78" i="14" s="1"/>
  <c r="Y46" i="38"/>
  <c r="Y52" i="38" s="1"/>
  <c r="Y74" i="39"/>
  <c r="Y80" i="39" s="1"/>
  <c r="Z80" i="39" s="1"/>
  <c r="AA80" i="39" s="1"/>
  <c r="B78" i="39"/>
  <c r="G80" i="14" s="1"/>
  <c r="B76" i="39"/>
  <c r="D80" i="14" s="1"/>
  <c r="Y46" i="39"/>
  <c r="Y52" i="39" s="1"/>
  <c r="Y74" i="38"/>
  <c r="Y80" i="38" s="1"/>
  <c r="Z80" i="38" s="1"/>
  <c r="AA80" i="38" s="1"/>
  <c r="B78" i="38"/>
  <c r="H80" i="14" s="1"/>
  <c r="B76" i="38"/>
  <c r="E80" i="14" s="1"/>
  <c r="Y74" i="37"/>
  <c r="Y80" i="37" s="1"/>
  <c r="Z80" i="37" s="1"/>
  <c r="AA80" i="37" s="1"/>
  <c r="B78" i="37"/>
  <c r="F80" i="14" s="1"/>
  <c r="B76" i="37"/>
  <c r="C80" i="14" s="1"/>
  <c r="Y19" i="39"/>
  <c r="Y25" i="39" s="1"/>
  <c r="Z25" i="39" s="1"/>
  <c r="AA25" i="39" s="1"/>
  <c r="B23" i="39"/>
  <c r="G78" i="14" s="1"/>
  <c r="B21" i="39"/>
  <c r="D78" i="14" s="1"/>
  <c r="B22" i="33"/>
  <c r="C58" i="14" s="1"/>
  <c r="B24" i="33"/>
  <c r="F58" i="14" s="1"/>
  <c r="Z77" i="34"/>
  <c r="Z83" i="34" s="1"/>
  <c r="B81" i="34"/>
  <c r="H60" i="14" s="1"/>
  <c r="B79" i="34"/>
  <c r="E60" i="14" s="1"/>
  <c r="Z20" i="35"/>
  <c r="Z26" i="35" s="1"/>
  <c r="B24" i="35"/>
  <c r="G58" i="14" s="1"/>
  <c r="B22" i="35"/>
  <c r="D58" i="14" s="1"/>
  <c r="Z77" i="35"/>
  <c r="Z83" i="35" s="1"/>
  <c r="B79" i="35"/>
  <c r="D60" i="14" s="1"/>
  <c r="B81" i="35"/>
  <c r="G60" i="14" s="1"/>
  <c r="Z43" i="33"/>
  <c r="Z44" i="33" s="1"/>
  <c r="Z46" i="33" s="1"/>
  <c r="Z48" i="33" s="1"/>
  <c r="Z54" i="33" s="1"/>
  <c r="Z43" i="35"/>
  <c r="Z44" i="35" s="1"/>
  <c r="Z46" i="35" s="1"/>
  <c r="Z43" i="34"/>
  <c r="Z44" i="34" s="1"/>
  <c r="Z46" i="34" s="1"/>
  <c r="Z20" i="34"/>
  <c r="Z26" i="34" s="1"/>
  <c r="B22" i="34"/>
  <c r="E58" i="14" s="1"/>
  <c r="B24" i="34"/>
  <c r="H58" i="14" s="1"/>
  <c r="AD65" i="40"/>
  <c r="AB66" i="40"/>
  <c r="AB53" i="36"/>
  <c r="AC53" i="32"/>
  <c r="AB54" i="32"/>
  <c r="U40" i="25"/>
  <c r="L40" i="25"/>
  <c r="M40" i="25"/>
  <c r="O42" i="25" s="1"/>
  <c r="S40" i="25"/>
  <c r="U42" i="25" s="1"/>
  <c r="F40" i="25"/>
  <c r="Q40" i="25"/>
  <c r="K40" i="25"/>
  <c r="Z40" i="25"/>
  <c r="G40" i="25"/>
  <c r="I42" i="25" s="1"/>
  <c r="V42" i="25"/>
  <c r="T40" i="25"/>
  <c r="P40" i="25"/>
  <c r="R42" i="25" s="1"/>
  <c r="X40" i="25"/>
  <c r="Z42" i="25" s="1"/>
  <c r="W40" i="25"/>
  <c r="N40" i="25"/>
  <c r="P42" i="25" s="1"/>
  <c r="H40" i="25"/>
  <c r="J42" i="25" s="1"/>
  <c r="O40" i="25"/>
  <c r="Q42" i="25" s="1"/>
  <c r="E40" i="25"/>
  <c r="F42" i="25" s="1"/>
  <c r="I40" i="25"/>
  <c r="J40" i="25"/>
  <c r="AA40" i="25"/>
  <c r="AB40" i="25"/>
  <c r="R40" i="25"/>
  <c r="T42" i="25" s="1"/>
  <c r="V40" i="25"/>
  <c r="Y40" i="25"/>
  <c r="AA42" i="25"/>
  <c r="D40" i="25"/>
  <c r="AC40" i="25" s="1"/>
  <c r="D44" i="25"/>
  <c r="E39" i="25" s="1"/>
  <c r="E41" i="25" s="1"/>
  <c r="C128" i="25"/>
  <c r="D151" i="25" s="1"/>
  <c r="D147" i="25"/>
  <c r="E147" i="25" s="1"/>
  <c r="H147" i="25" s="1"/>
  <c r="M42" i="25" l="1"/>
  <c r="W42" i="25"/>
  <c r="AB42" i="25"/>
  <c r="N42" i="25"/>
  <c r="S42" i="25"/>
  <c r="X42" i="25"/>
  <c r="G42" i="25"/>
  <c r="Y42" i="25"/>
  <c r="Z41" i="39"/>
  <c r="Z42" i="39" s="1"/>
  <c r="Z44" i="39" s="1"/>
  <c r="Z41" i="38"/>
  <c r="Z42" i="38" s="1"/>
  <c r="Z44" i="38" s="1"/>
  <c r="Z41" i="37"/>
  <c r="Z42" i="37" s="1"/>
  <c r="Z44" i="37" s="1"/>
  <c r="B52" i="33"/>
  <c r="F59" i="14" s="1"/>
  <c r="B50" i="33"/>
  <c r="C59" i="14" s="1"/>
  <c r="Z48" i="34"/>
  <c r="Z54" i="34" s="1"/>
  <c r="B52" i="34"/>
  <c r="H59" i="14" s="1"/>
  <c r="B50" i="34"/>
  <c r="E59" i="14" s="1"/>
  <c r="Z48" i="35"/>
  <c r="Z54" i="35" s="1"/>
  <c r="B50" i="35"/>
  <c r="D59" i="14" s="1"/>
  <c r="B52" i="35"/>
  <c r="G59" i="14" s="1"/>
  <c r="AB54" i="36"/>
  <c r="AC49" i="36" s="1"/>
  <c r="F7" i="1"/>
  <c r="F7" i="30"/>
  <c r="F7" i="31"/>
  <c r="I147" i="25"/>
  <c r="E43" i="25"/>
  <c r="B7" i="1"/>
  <c r="B11" i="31"/>
  <c r="B11" i="1"/>
  <c r="B11" i="30"/>
  <c r="E151" i="25"/>
  <c r="B7" i="30"/>
  <c r="F147" i="25"/>
  <c r="C7" i="30"/>
  <c r="C7" i="31"/>
  <c r="B7" i="31"/>
  <c r="C7" i="1"/>
  <c r="K42" i="25"/>
  <c r="L42" i="25"/>
  <c r="H42" i="25"/>
  <c r="Z46" i="39" l="1"/>
  <c r="Z52" i="39" s="1"/>
  <c r="B50" i="39"/>
  <c r="G79" i="14" s="1"/>
  <c r="B48" i="39"/>
  <c r="D79" i="14" s="1"/>
  <c r="AC51" i="36"/>
  <c r="Z46" i="37"/>
  <c r="Z52" i="37" s="1"/>
  <c r="B50" i="37"/>
  <c r="F79" i="14" s="1"/>
  <c r="B48" i="37"/>
  <c r="C79" i="14" s="1"/>
  <c r="Z46" i="38"/>
  <c r="Z52" i="38" s="1"/>
  <c r="B50" i="38"/>
  <c r="H79" i="14" s="1"/>
  <c r="B48" i="38"/>
  <c r="E79" i="14" s="1"/>
  <c r="C39" i="30"/>
  <c r="C40" i="30" s="1"/>
  <c r="C72" i="30"/>
  <c r="C73" i="30" s="1"/>
  <c r="C8" i="30"/>
  <c r="B20" i="30"/>
  <c r="B76" i="30"/>
  <c r="B85" i="30" s="1"/>
  <c r="B43" i="30"/>
  <c r="B52" i="30" s="1"/>
  <c r="C39" i="1"/>
  <c r="C40" i="1" s="1"/>
  <c r="C8" i="1"/>
  <c r="C72" i="1"/>
  <c r="C73" i="1" s="1"/>
  <c r="D7" i="30"/>
  <c r="D7" i="1"/>
  <c r="D7" i="31"/>
  <c r="G147" i="25"/>
  <c r="B43" i="1"/>
  <c r="B52" i="1" s="1"/>
  <c r="B20" i="1"/>
  <c r="B76" i="1"/>
  <c r="B85" i="1" s="1"/>
  <c r="C19" i="30"/>
  <c r="C19" i="31"/>
  <c r="C19" i="1"/>
  <c r="E44" i="25"/>
  <c r="F39" i="25" s="1"/>
  <c r="AC42" i="25"/>
  <c r="B72" i="31"/>
  <c r="B73" i="31" s="1"/>
  <c r="B39" i="31"/>
  <c r="B40" i="31" s="1"/>
  <c r="B8" i="31"/>
  <c r="B39" i="30"/>
  <c r="B40" i="30" s="1"/>
  <c r="B54" i="30" s="1"/>
  <c r="B72" i="30"/>
  <c r="B73" i="30" s="1"/>
  <c r="B8" i="30"/>
  <c r="B43" i="31"/>
  <c r="B52" i="31" s="1"/>
  <c r="B76" i="31"/>
  <c r="B85" i="31" s="1"/>
  <c r="B20" i="31"/>
  <c r="G7" i="30"/>
  <c r="G7" i="1"/>
  <c r="G7" i="31"/>
  <c r="J147" i="25"/>
  <c r="K147" i="25"/>
  <c r="C8" i="31"/>
  <c r="C72" i="31"/>
  <c r="C73" i="31" s="1"/>
  <c r="C39" i="31"/>
  <c r="C40" i="31" s="1"/>
  <c r="C11" i="1"/>
  <c r="C11" i="31"/>
  <c r="C11" i="30"/>
  <c r="F151" i="25"/>
  <c r="B72" i="1"/>
  <c r="B73" i="1" s="1"/>
  <c r="B8" i="1"/>
  <c r="B22" i="1" s="1"/>
  <c r="B39" i="1"/>
  <c r="B40" i="1" s="1"/>
  <c r="F39" i="31"/>
  <c r="F40" i="31" s="1"/>
  <c r="F8" i="31"/>
  <c r="F72" i="31"/>
  <c r="F73" i="31" s="1"/>
  <c r="F39" i="30"/>
  <c r="F40" i="30" s="1"/>
  <c r="F8" i="30"/>
  <c r="F72" i="30"/>
  <c r="F73" i="30" s="1"/>
  <c r="F8" i="1"/>
  <c r="F39" i="1"/>
  <c r="F40" i="1" s="1"/>
  <c r="F72" i="1"/>
  <c r="F73" i="1" s="1"/>
  <c r="B22" i="31" l="1"/>
  <c r="B87" i="1"/>
  <c r="AC53" i="36"/>
  <c r="AD51" i="36"/>
  <c r="B54" i="1"/>
  <c r="B56" i="1" s="1"/>
  <c r="B62" i="1" s="1"/>
  <c r="B22" i="30"/>
  <c r="B24" i="30" s="1"/>
  <c r="B30" i="30" s="1"/>
  <c r="B89" i="1"/>
  <c r="B95" i="1" s="1"/>
  <c r="C76" i="1"/>
  <c r="C85" i="1" s="1"/>
  <c r="C43" i="1"/>
  <c r="C52" i="1" s="1"/>
  <c r="C54" i="1" s="1"/>
  <c r="C20" i="1"/>
  <c r="I7" i="1"/>
  <c r="I7" i="30"/>
  <c r="I7" i="31"/>
  <c r="L147" i="25"/>
  <c r="N147" i="25"/>
  <c r="G72" i="30"/>
  <c r="G73" i="30" s="1"/>
  <c r="G39" i="30"/>
  <c r="G40" i="30" s="1"/>
  <c r="G8" i="30"/>
  <c r="B54" i="31"/>
  <c r="D8" i="31"/>
  <c r="D39" i="31"/>
  <c r="D40" i="31" s="1"/>
  <c r="D72" i="31"/>
  <c r="D73" i="31" s="1"/>
  <c r="C22" i="1"/>
  <c r="D11" i="1"/>
  <c r="D11" i="31"/>
  <c r="D11" i="30"/>
  <c r="G151" i="25"/>
  <c r="C54" i="31"/>
  <c r="H7" i="30"/>
  <c r="H7" i="1"/>
  <c r="H7" i="31"/>
  <c r="B87" i="30"/>
  <c r="B87" i="31"/>
  <c r="D72" i="1"/>
  <c r="D73" i="1" s="1"/>
  <c r="D8" i="1"/>
  <c r="D39" i="1"/>
  <c r="D40" i="1" s="1"/>
  <c r="C20" i="30"/>
  <c r="C22" i="30" s="1"/>
  <c r="C76" i="30"/>
  <c r="C85" i="30" s="1"/>
  <c r="C87" i="30" s="1"/>
  <c r="C43" i="30"/>
  <c r="C52" i="30" s="1"/>
  <c r="C54" i="30" s="1"/>
  <c r="G72" i="31"/>
  <c r="G73" i="31" s="1"/>
  <c r="G39" i="31"/>
  <c r="G40" i="31" s="1"/>
  <c r="G8" i="31"/>
  <c r="B56" i="30"/>
  <c r="B62" i="30" s="1"/>
  <c r="D72" i="30"/>
  <c r="D73" i="30" s="1"/>
  <c r="D8" i="30"/>
  <c r="D39" i="30"/>
  <c r="D40" i="30" s="1"/>
  <c r="B24" i="1"/>
  <c r="B30" i="1" s="1"/>
  <c r="C43" i="31"/>
  <c r="C52" i="31" s="1"/>
  <c r="C20" i="31"/>
  <c r="C76" i="31"/>
  <c r="C85" i="31" s="1"/>
  <c r="C87" i="31" s="1"/>
  <c r="C22" i="31"/>
  <c r="G8" i="1"/>
  <c r="G72" i="1"/>
  <c r="G73" i="1" s="1"/>
  <c r="G39" i="1"/>
  <c r="G40" i="1" s="1"/>
  <c r="B24" i="31"/>
  <c r="B30" i="31" s="1"/>
  <c r="F41" i="25"/>
  <c r="E7" i="30"/>
  <c r="E7" i="1"/>
  <c r="E7" i="31"/>
  <c r="C87" i="1"/>
  <c r="AA41" i="38" l="1"/>
  <c r="AA42" i="38" s="1"/>
  <c r="AA44" i="38" s="1"/>
  <c r="AA46" i="38" s="1"/>
  <c r="AA41" i="39"/>
  <c r="AA42" i="39" s="1"/>
  <c r="AA44" i="39" s="1"/>
  <c r="AA46" i="39" s="1"/>
  <c r="AA41" i="37"/>
  <c r="AA42" i="37" s="1"/>
  <c r="AA44" i="37" s="1"/>
  <c r="AA46" i="37" s="1"/>
  <c r="AD53" i="36"/>
  <c r="AC54" i="36"/>
  <c r="C24" i="30"/>
  <c r="C30" i="30" s="1"/>
  <c r="C89" i="31"/>
  <c r="C56" i="30"/>
  <c r="C56" i="1"/>
  <c r="B89" i="30"/>
  <c r="B95" i="30" s="1"/>
  <c r="D76" i="1"/>
  <c r="D85" i="1" s="1"/>
  <c r="D43" i="1"/>
  <c r="D52" i="1" s="1"/>
  <c r="D54" i="1" s="1"/>
  <c r="D56" i="1" s="1"/>
  <c r="B56" i="31"/>
  <c r="B62" i="31" s="1"/>
  <c r="I72" i="31"/>
  <c r="I73" i="31" s="1"/>
  <c r="I39" i="31"/>
  <c r="I40" i="31" s="1"/>
  <c r="I8" i="31"/>
  <c r="E72" i="31"/>
  <c r="E73" i="31" s="1"/>
  <c r="E8" i="31"/>
  <c r="E39" i="31"/>
  <c r="E40" i="31" s="1"/>
  <c r="H8" i="31"/>
  <c r="H39" i="31"/>
  <c r="H40" i="31" s="1"/>
  <c r="H72" i="31"/>
  <c r="H73" i="31" s="1"/>
  <c r="E11" i="30"/>
  <c r="E11" i="1"/>
  <c r="E11" i="31"/>
  <c r="H151" i="25"/>
  <c r="I39" i="30"/>
  <c r="I40" i="30" s="1"/>
  <c r="I8" i="30"/>
  <c r="I72" i="30"/>
  <c r="I73" i="30" s="1"/>
  <c r="C89" i="1"/>
  <c r="C95" i="1" s="1"/>
  <c r="C56" i="31"/>
  <c r="C24" i="1"/>
  <c r="F43" i="25"/>
  <c r="E8" i="1"/>
  <c r="E39" i="1"/>
  <c r="E40" i="1" s="1"/>
  <c r="E72" i="1"/>
  <c r="E73" i="1" s="1"/>
  <c r="C89" i="30"/>
  <c r="C62" i="30"/>
  <c r="D87" i="1"/>
  <c r="D89" i="1" s="1"/>
  <c r="H8" i="1"/>
  <c r="H72" i="1"/>
  <c r="H73" i="1" s="1"/>
  <c r="H39" i="1"/>
  <c r="H40" i="1" s="1"/>
  <c r="D43" i="30"/>
  <c r="D52" i="30" s="1"/>
  <c r="D54" i="30" s="1"/>
  <c r="D76" i="30"/>
  <c r="D85" i="30" s="1"/>
  <c r="D87" i="30" s="1"/>
  <c r="L7" i="1"/>
  <c r="L7" i="31"/>
  <c r="O147" i="25"/>
  <c r="L7" i="30"/>
  <c r="I39" i="1"/>
  <c r="I40" i="1" s="1"/>
  <c r="I8" i="1"/>
  <c r="I72" i="1"/>
  <c r="I73" i="1" s="1"/>
  <c r="E8" i="30"/>
  <c r="E72" i="30"/>
  <c r="E73" i="30" s="1"/>
  <c r="E39" i="30"/>
  <c r="E40" i="30" s="1"/>
  <c r="C24" i="31"/>
  <c r="C30" i="31" s="1"/>
  <c r="C30" i="1"/>
  <c r="C62" i="1"/>
  <c r="B89" i="31"/>
  <c r="B95" i="31" s="1"/>
  <c r="C95" i="31" s="1"/>
  <c r="H8" i="30"/>
  <c r="H72" i="30"/>
  <c r="H73" i="30" s="1"/>
  <c r="H39" i="30"/>
  <c r="H40" i="30" s="1"/>
  <c r="D76" i="31"/>
  <c r="D85" i="31" s="1"/>
  <c r="D87" i="31" s="1"/>
  <c r="D43" i="31"/>
  <c r="D52" i="31" s="1"/>
  <c r="D54" i="31" s="1"/>
  <c r="D56" i="31" s="1"/>
  <c r="J7" i="30"/>
  <c r="M147" i="25"/>
  <c r="J7" i="31"/>
  <c r="J7" i="1"/>
  <c r="D62" i="1" l="1"/>
  <c r="D95" i="1"/>
  <c r="D89" i="31"/>
  <c r="D56" i="30"/>
  <c r="D89" i="30"/>
  <c r="J8" i="1"/>
  <c r="J72" i="1"/>
  <c r="J73" i="1" s="1"/>
  <c r="J39" i="1"/>
  <c r="J40" i="1" s="1"/>
  <c r="J72" i="31"/>
  <c r="J73" i="31" s="1"/>
  <c r="J39" i="31"/>
  <c r="J40" i="31" s="1"/>
  <c r="J8" i="31"/>
  <c r="K7" i="31"/>
  <c r="K7" i="1"/>
  <c r="K7" i="30"/>
  <c r="M7" i="1"/>
  <c r="M7" i="30"/>
  <c r="P147" i="25"/>
  <c r="M7" i="31"/>
  <c r="Q147" i="25"/>
  <c r="D62" i="30"/>
  <c r="D19" i="1"/>
  <c r="D20" i="1" s="1"/>
  <c r="D22" i="1" s="1"/>
  <c r="D19" i="31"/>
  <c r="D20" i="31" s="1"/>
  <c r="D22" i="31" s="1"/>
  <c r="D19" i="30"/>
  <c r="D20" i="30" s="1"/>
  <c r="D22" i="30" s="1"/>
  <c r="F44" i="25"/>
  <c r="G39" i="25" s="1"/>
  <c r="F11" i="31"/>
  <c r="F11" i="1"/>
  <c r="F11" i="30"/>
  <c r="I151" i="25"/>
  <c r="J39" i="30"/>
  <c r="J40" i="30" s="1"/>
  <c r="J8" i="30"/>
  <c r="J72" i="30"/>
  <c r="J73" i="30" s="1"/>
  <c r="L8" i="31"/>
  <c r="L39" i="31"/>
  <c r="L40" i="31" s="1"/>
  <c r="L72" i="31"/>
  <c r="L73" i="31" s="1"/>
  <c r="E43" i="31"/>
  <c r="E52" i="31" s="1"/>
  <c r="E54" i="31" s="1"/>
  <c r="E76" i="31"/>
  <c r="E85" i="31" s="1"/>
  <c r="E87" i="31" s="1"/>
  <c r="E89" i="31" s="1"/>
  <c r="C62" i="31"/>
  <c r="D62" i="31" s="1"/>
  <c r="D95" i="31"/>
  <c r="L8" i="1"/>
  <c r="L72" i="1"/>
  <c r="L73" i="1" s="1"/>
  <c r="L39" i="1"/>
  <c r="L40" i="1" s="1"/>
  <c r="E43" i="1"/>
  <c r="E52" i="1" s="1"/>
  <c r="E54" i="1" s="1"/>
  <c r="E76" i="1"/>
  <c r="E85" i="1" s="1"/>
  <c r="E87" i="1" s="1"/>
  <c r="C95" i="30"/>
  <c r="L72" i="30"/>
  <c r="L73" i="30" s="1"/>
  <c r="L39" i="30"/>
  <c r="L40" i="30" s="1"/>
  <c r="L8" i="30"/>
  <c r="E43" i="30"/>
  <c r="E52" i="30" s="1"/>
  <c r="E54" i="30" s="1"/>
  <c r="E76" i="30"/>
  <c r="E85" i="30" s="1"/>
  <c r="E87" i="30" s="1"/>
  <c r="E89" i="30" s="1"/>
  <c r="D95" i="30" l="1"/>
  <c r="E89" i="1"/>
  <c r="E95" i="1" s="1"/>
  <c r="E56" i="1"/>
  <c r="E62" i="1" s="1"/>
  <c r="E56" i="31"/>
  <c r="E62" i="31" s="1"/>
  <c r="E56" i="30"/>
  <c r="E62" i="30" s="1"/>
  <c r="F62" i="30" s="1"/>
  <c r="E95" i="30"/>
  <c r="E95" i="31"/>
  <c r="G11" i="31"/>
  <c r="G11" i="30"/>
  <c r="G11" i="1"/>
  <c r="J151" i="25"/>
  <c r="D24" i="31"/>
  <c r="D30" i="31" s="1"/>
  <c r="M72" i="30"/>
  <c r="M73" i="30" s="1"/>
  <c r="M39" i="30"/>
  <c r="M40" i="30" s="1"/>
  <c r="M8" i="30"/>
  <c r="K8" i="31"/>
  <c r="K39" i="31"/>
  <c r="K40" i="31" s="1"/>
  <c r="K72" i="31"/>
  <c r="K73" i="31" s="1"/>
  <c r="F76" i="31"/>
  <c r="F85" i="31" s="1"/>
  <c r="F87" i="31" s="1"/>
  <c r="F89" i="31" s="1"/>
  <c r="F43" i="31"/>
  <c r="F52" i="31" s="1"/>
  <c r="F54" i="31" s="1"/>
  <c r="F56" i="31" s="1"/>
  <c r="N7" i="30"/>
  <c r="N7" i="1"/>
  <c r="N7" i="31"/>
  <c r="F76" i="30"/>
  <c r="F85" i="30" s="1"/>
  <c r="F87" i="30" s="1"/>
  <c r="F89" i="30" s="1"/>
  <c r="F43" i="30"/>
  <c r="F52" i="30" s="1"/>
  <c r="F54" i="30" s="1"/>
  <c r="F56" i="30" s="1"/>
  <c r="G41" i="25"/>
  <c r="D24" i="1"/>
  <c r="D30" i="1" s="1"/>
  <c r="O7" i="1"/>
  <c r="O7" i="30"/>
  <c r="O7" i="31"/>
  <c r="R147" i="25"/>
  <c r="M8" i="1"/>
  <c r="M39" i="1"/>
  <c r="M40" i="1" s="1"/>
  <c r="M72" i="1"/>
  <c r="M73" i="1" s="1"/>
  <c r="D24" i="30"/>
  <c r="D30" i="30" s="1"/>
  <c r="K8" i="1"/>
  <c r="K72" i="1"/>
  <c r="K73" i="1" s="1"/>
  <c r="K39" i="1"/>
  <c r="K40" i="1" s="1"/>
  <c r="F43" i="1"/>
  <c r="F52" i="1" s="1"/>
  <c r="F54" i="1" s="1"/>
  <c r="F56" i="1" s="1"/>
  <c r="F76" i="1"/>
  <c r="F85" i="1" s="1"/>
  <c r="F87" i="1" s="1"/>
  <c r="F89" i="1" s="1"/>
  <c r="M72" i="31"/>
  <c r="M73" i="31" s="1"/>
  <c r="M39" i="31"/>
  <c r="M40" i="31" s="1"/>
  <c r="M8" i="31"/>
  <c r="K8" i="30"/>
  <c r="K39" i="30"/>
  <c r="K40" i="30" s="1"/>
  <c r="K72" i="30"/>
  <c r="K73" i="30" s="1"/>
  <c r="F62" i="31" l="1"/>
  <c r="O72" i="31"/>
  <c r="O73" i="31" s="1"/>
  <c r="O39" i="31"/>
  <c r="O40" i="31" s="1"/>
  <c r="O8" i="31"/>
  <c r="N72" i="30"/>
  <c r="N73" i="30" s="1"/>
  <c r="N39" i="30"/>
  <c r="N40" i="30" s="1"/>
  <c r="N8" i="30"/>
  <c r="H11" i="30"/>
  <c r="H11" i="1"/>
  <c r="H11" i="31"/>
  <c r="K151" i="25"/>
  <c r="F62" i="1"/>
  <c r="G62" i="1" s="1"/>
  <c r="O39" i="30"/>
  <c r="O40" i="30" s="1"/>
  <c r="O8" i="30"/>
  <c r="O72" i="30"/>
  <c r="O73" i="30" s="1"/>
  <c r="G43" i="1"/>
  <c r="G52" i="1" s="1"/>
  <c r="G54" i="1" s="1"/>
  <c r="G56" i="1" s="1"/>
  <c r="G76" i="1"/>
  <c r="G85" i="1" s="1"/>
  <c r="G87" i="1" s="1"/>
  <c r="G89" i="1" s="1"/>
  <c r="F95" i="31"/>
  <c r="O8" i="1"/>
  <c r="O39" i="1"/>
  <c r="O40" i="1" s="1"/>
  <c r="O72" i="1"/>
  <c r="O73" i="1" s="1"/>
  <c r="N8" i="31"/>
  <c r="N39" i="31"/>
  <c r="N40" i="31" s="1"/>
  <c r="N72" i="31"/>
  <c r="N73" i="31" s="1"/>
  <c r="G76" i="30"/>
  <c r="G85" i="30" s="1"/>
  <c r="G87" i="30" s="1"/>
  <c r="G43" i="30"/>
  <c r="G52" i="30" s="1"/>
  <c r="G54" i="30" s="1"/>
  <c r="G56" i="30" s="1"/>
  <c r="G62" i="30" s="1"/>
  <c r="P7" i="30"/>
  <c r="S147" i="25"/>
  <c r="P7" i="1"/>
  <c r="P7" i="31"/>
  <c r="T147" i="25"/>
  <c r="G43" i="25"/>
  <c r="N8" i="1"/>
  <c r="N39" i="1"/>
  <c r="N40" i="1" s="1"/>
  <c r="N72" i="1"/>
  <c r="N73" i="1" s="1"/>
  <c r="G43" i="31"/>
  <c r="G52" i="31" s="1"/>
  <c r="G54" i="31" s="1"/>
  <c r="G56" i="31" s="1"/>
  <c r="G62" i="31" s="1"/>
  <c r="G76" i="31"/>
  <c r="G85" i="31" s="1"/>
  <c r="G87" i="31" s="1"/>
  <c r="G89" i="31" s="1"/>
  <c r="F95" i="30"/>
  <c r="F95" i="1"/>
  <c r="G95" i="1" s="1"/>
  <c r="H43" i="31" l="1"/>
  <c r="H52" i="31" s="1"/>
  <c r="H54" i="31" s="1"/>
  <c r="H76" i="31"/>
  <c r="H85" i="31" s="1"/>
  <c r="H87" i="31" s="1"/>
  <c r="H89" i="31" s="1"/>
  <c r="P39" i="1"/>
  <c r="P40" i="1" s="1"/>
  <c r="P72" i="1"/>
  <c r="P73" i="1" s="1"/>
  <c r="P8" i="1"/>
  <c r="H43" i="1"/>
  <c r="H52" i="1" s="1"/>
  <c r="H54" i="1" s="1"/>
  <c r="H76" i="1"/>
  <c r="H85" i="1" s="1"/>
  <c r="H87" i="1" s="1"/>
  <c r="P72" i="31"/>
  <c r="P73" i="31" s="1"/>
  <c r="P8" i="31"/>
  <c r="P39" i="31"/>
  <c r="P40" i="31" s="1"/>
  <c r="E19" i="30"/>
  <c r="E20" i="30" s="1"/>
  <c r="E22" i="30" s="1"/>
  <c r="E19" i="1"/>
  <c r="E20" i="1" s="1"/>
  <c r="E22" i="1" s="1"/>
  <c r="E19" i="31"/>
  <c r="E20" i="31" s="1"/>
  <c r="E22" i="31" s="1"/>
  <c r="G44" i="25"/>
  <c r="H39" i="25" s="1"/>
  <c r="Q7" i="30"/>
  <c r="Q7" i="31"/>
  <c r="Q7" i="1"/>
  <c r="G89" i="30"/>
  <c r="G95" i="30" s="1"/>
  <c r="G95" i="31"/>
  <c r="H76" i="30"/>
  <c r="H85" i="30" s="1"/>
  <c r="H87" i="30" s="1"/>
  <c r="H89" i="30" s="1"/>
  <c r="H43" i="30"/>
  <c r="H52" i="30" s="1"/>
  <c r="H54" i="30" s="1"/>
  <c r="H56" i="30" s="1"/>
  <c r="H62" i="30" s="1"/>
  <c r="R7" i="30"/>
  <c r="R7" i="1"/>
  <c r="R7" i="31"/>
  <c r="U147" i="25"/>
  <c r="P8" i="30"/>
  <c r="P72" i="30"/>
  <c r="P73" i="30" s="1"/>
  <c r="P39" i="30"/>
  <c r="P40" i="30" s="1"/>
  <c r="I11" i="31"/>
  <c r="I11" i="1"/>
  <c r="I11" i="30"/>
  <c r="L151" i="25"/>
  <c r="H95" i="30" l="1"/>
  <c r="R8" i="1"/>
  <c r="R39" i="1"/>
  <c r="R40" i="1" s="1"/>
  <c r="R72" i="1"/>
  <c r="R73" i="1" s="1"/>
  <c r="Q8" i="30"/>
  <c r="Q72" i="30"/>
  <c r="Q73" i="30" s="1"/>
  <c r="Q39" i="30"/>
  <c r="Q40" i="30" s="1"/>
  <c r="E24" i="1"/>
  <c r="E30" i="1" s="1"/>
  <c r="I43" i="30"/>
  <c r="I52" i="30" s="1"/>
  <c r="I54" i="30" s="1"/>
  <c r="I56" i="30" s="1"/>
  <c r="I62" i="30" s="1"/>
  <c r="I76" i="30"/>
  <c r="I85" i="30" s="1"/>
  <c r="I87" i="30" s="1"/>
  <c r="I89" i="30" s="1"/>
  <c r="R72" i="30"/>
  <c r="R73" i="30" s="1"/>
  <c r="R8" i="30"/>
  <c r="R39" i="30"/>
  <c r="R40" i="30" s="1"/>
  <c r="H95" i="31"/>
  <c r="H41" i="25"/>
  <c r="E24" i="30"/>
  <c r="E30" i="30" s="1"/>
  <c r="H89" i="1"/>
  <c r="H95" i="1" s="1"/>
  <c r="I76" i="1"/>
  <c r="I85" i="1" s="1"/>
  <c r="I87" i="1" s="1"/>
  <c r="I89" i="1" s="1"/>
  <c r="I43" i="1"/>
  <c r="I52" i="1" s="1"/>
  <c r="I54" i="1" s="1"/>
  <c r="I56" i="1" s="1"/>
  <c r="V147" i="25"/>
  <c r="S7" i="31"/>
  <c r="S7" i="1"/>
  <c r="S7" i="30"/>
  <c r="W147" i="25"/>
  <c r="Q72" i="1"/>
  <c r="Q73" i="1" s="1"/>
  <c r="Q8" i="1"/>
  <c r="Q39" i="1"/>
  <c r="Q40" i="1" s="1"/>
  <c r="J11" i="31"/>
  <c r="J11" i="1"/>
  <c r="J11" i="30"/>
  <c r="M151" i="25"/>
  <c r="I76" i="31"/>
  <c r="I85" i="31" s="1"/>
  <c r="I87" i="31" s="1"/>
  <c r="I89" i="31" s="1"/>
  <c r="I43" i="31"/>
  <c r="I52" i="31" s="1"/>
  <c r="I54" i="31" s="1"/>
  <c r="I56" i="31" s="1"/>
  <c r="R8" i="31"/>
  <c r="R39" i="31"/>
  <c r="R40" i="31" s="1"/>
  <c r="R72" i="31"/>
  <c r="R73" i="31" s="1"/>
  <c r="Q72" i="31"/>
  <c r="Q73" i="31" s="1"/>
  <c r="Q39" i="31"/>
  <c r="Q40" i="31" s="1"/>
  <c r="Q8" i="31"/>
  <c r="E24" i="31"/>
  <c r="E30" i="31" s="1"/>
  <c r="H56" i="1"/>
  <c r="H62" i="1" s="1"/>
  <c r="H56" i="31"/>
  <c r="H62" i="31" s="1"/>
  <c r="I62" i="31" s="1"/>
  <c r="I95" i="30" l="1"/>
  <c r="J43" i="31"/>
  <c r="J52" i="31" s="1"/>
  <c r="J54" i="31" s="1"/>
  <c r="J56" i="31" s="1"/>
  <c r="J76" i="31"/>
  <c r="J85" i="31" s="1"/>
  <c r="J87" i="31" s="1"/>
  <c r="J89" i="31" s="1"/>
  <c r="S72" i="1"/>
  <c r="S73" i="1" s="1"/>
  <c r="S8" i="1"/>
  <c r="S39" i="1"/>
  <c r="S40" i="1" s="1"/>
  <c r="I95" i="31"/>
  <c r="K11" i="30"/>
  <c r="K11" i="1"/>
  <c r="K11" i="31"/>
  <c r="N151" i="25"/>
  <c r="S72" i="31"/>
  <c r="S73" i="31" s="1"/>
  <c r="S8" i="31"/>
  <c r="S39" i="31"/>
  <c r="S40" i="31" s="1"/>
  <c r="I95" i="1"/>
  <c r="I62" i="1"/>
  <c r="J76" i="30"/>
  <c r="J85" i="30" s="1"/>
  <c r="J87" i="30" s="1"/>
  <c r="J89" i="30" s="1"/>
  <c r="J95" i="30" s="1"/>
  <c r="J43" i="30"/>
  <c r="J52" i="30" s="1"/>
  <c r="J54" i="30" s="1"/>
  <c r="J56" i="30" s="1"/>
  <c r="J62" i="30" s="1"/>
  <c r="U7" i="30"/>
  <c r="U7" i="1"/>
  <c r="U7" i="31"/>
  <c r="X147" i="25"/>
  <c r="T7" i="31"/>
  <c r="T7" i="30"/>
  <c r="T7" i="1"/>
  <c r="J62" i="31"/>
  <c r="J76" i="1"/>
  <c r="J85" i="1" s="1"/>
  <c r="J87" i="1" s="1"/>
  <c r="J89" i="1" s="1"/>
  <c r="J43" i="1"/>
  <c r="J52" i="1" s="1"/>
  <c r="J54" i="1" s="1"/>
  <c r="J56" i="1" s="1"/>
  <c r="S72" i="30"/>
  <c r="S73" i="30" s="1"/>
  <c r="S39" i="30"/>
  <c r="S40" i="30" s="1"/>
  <c r="S8" i="30"/>
  <c r="H43" i="25"/>
  <c r="T8" i="30" l="1"/>
  <c r="T72" i="30"/>
  <c r="T73" i="30" s="1"/>
  <c r="T39" i="30"/>
  <c r="T40" i="30" s="1"/>
  <c r="U72" i="1"/>
  <c r="U73" i="1" s="1"/>
  <c r="U39" i="1"/>
  <c r="U40" i="1" s="1"/>
  <c r="U8" i="1"/>
  <c r="K43" i="1"/>
  <c r="K52" i="1" s="1"/>
  <c r="K54" i="1" s="1"/>
  <c r="K56" i="1" s="1"/>
  <c r="K76" i="1"/>
  <c r="K85" i="1" s="1"/>
  <c r="K87" i="1" s="1"/>
  <c r="K89" i="1" s="1"/>
  <c r="T39" i="31"/>
  <c r="T40" i="31" s="1"/>
  <c r="T72" i="31"/>
  <c r="T73" i="31" s="1"/>
  <c r="T8" i="31"/>
  <c r="U39" i="30"/>
  <c r="U40" i="30" s="1"/>
  <c r="U8" i="30"/>
  <c r="U72" i="30"/>
  <c r="U73" i="30" s="1"/>
  <c r="J95" i="1"/>
  <c r="K76" i="30"/>
  <c r="K85" i="30" s="1"/>
  <c r="K87" i="30" s="1"/>
  <c r="K89" i="30" s="1"/>
  <c r="K95" i="30" s="1"/>
  <c r="K43" i="30"/>
  <c r="K52" i="30" s="1"/>
  <c r="K54" i="30" s="1"/>
  <c r="K56" i="30" s="1"/>
  <c r="K62" i="30" s="1"/>
  <c r="J95" i="31"/>
  <c r="F19" i="31"/>
  <c r="F20" i="31" s="1"/>
  <c r="F22" i="31" s="1"/>
  <c r="F19" i="1"/>
  <c r="F20" i="1" s="1"/>
  <c r="F22" i="1" s="1"/>
  <c r="F19" i="30"/>
  <c r="F20" i="30" s="1"/>
  <c r="F22" i="30" s="1"/>
  <c r="H44" i="25"/>
  <c r="I39" i="25" s="1"/>
  <c r="V7" i="30"/>
  <c r="V7" i="1"/>
  <c r="V7" i="31"/>
  <c r="Z147" i="25"/>
  <c r="Y147" i="25"/>
  <c r="L11" i="31"/>
  <c r="L11" i="30"/>
  <c r="L11" i="1"/>
  <c r="O151" i="25"/>
  <c r="T39" i="1"/>
  <c r="T40" i="1" s="1"/>
  <c r="T8" i="1"/>
  <c r="T72" i="1"/>
  <c r="T73" i="1" s="1"/>
  <c r="U39" i="31"/>
  <c r="U40" i="31" s="1"/>
  <c r="U8" i="31"/>
  <c r="U72" i="31"/>
  <c r="U73" i="31" s="1"/>
  <c r="J62" i="1"/>
  <c r="K43" i="31"/>
  <c r="K52" i="31" s="1"/>
  <c r="K54" i="31" s="1"/>
  <c r="K56" i="31" s="1"/>
  <c r="K62" i="31" s="1"/>
  <c r="K76" i="31"/>
  <c r="K85" i="31" s="1"/>
  <c r="K87" i="31" s="1"/>
  <c r="K89" i="31" s="1"/>
  <c r="K95" i="1" l="1"/>
  <c r="L43" i="30"/>
  <c r="L52" i="30" s="1"/>
  <c r="L54" i="30" s="1"/>
  <c r="L56" i="30" s="1"/>
  <c r="L62" i="30" s="1"/>
  <c r="L76" i="30"/>
  <c r="L85" i="30" s="1"/>
  <c r="L87" i="30" s="1"/>
  <c r="L89" i="30" s="1"/>
  <c r="L95" i="30" s="1"/>
  <c r="I41" i="25"/>
  <c r="L76" i="31"/>
  <c r="L85" i="31" s="1"/>
  <c r="L87" i="31" s="1"/>
  <c r="L89" i="31" s="1"/>
  <c r="L43" i="31"/>
  <c r="L52" i="31" s="1"/>
  <c r="L54" i="31" s="1"/>
  <c r="L56" i="31" s="1"/>
  <c r="L62" i="31" s="1"/>
  <c r="V72" i="31"/>
  <c r="V73" i="31" s="1"/>
  <c r="V39" i="31"/>
  <c r="V40" i="31" s="1"/>
  <c r="V8" i="31"/>
  <c r="K95" i="31"/>
  <c r="L95" i="31" s="1"/>
  <c r="K62" i="1"/>
  <c r="M11" i="31"/>
  <c r="M11" i="30"/>
  <c r="M11" i="1"/>
  <c r="P151" i="25"/>
  <c r="V8" i="1"/>
  <c r="V39" i="1"/>
  <c r="V40" i="1" s="1"/>
  <c r="V72" i="1"/>
  <c r="V73" i="1" s="1"/>
  <c r="F24" i="30"/>
  <c r="F30" i="30" s="1"/>
  <c r="L43" i="1"/>
  <c r="L52" i="1" s="1"/>
  <c r="L54" i="1" s="1"/>
  <c r="L56" i="1" s="1"/>
  <c r="L76" i="1"/>
  <c r="L85" i="1" s="1"/>
  <c r="L87" i="1" s="1"/>
  <c r="L89" i="1" s="1"/>
  <c r="L95" i="1" s="1"/>
  <c r="W7" i="30"/>
  <c r="W7" i="1"/>
  <c r="W7" i="31"/>
  <c r="V39" i="30"/>
  <c r="V40" i="30" s="1"/>
  <c r="V72" i="30"/>
  <c r="V73" i="30" s="1"/>
  <c r="V8" i="30"/>
  <c r="F24" i="1"/>
  <c r="F30" i="1" s="1"/>
  <c r="X7" i="1"/>
  <c r="X7" i="31"/>
  <c r="X7" i="30"/>
  <c r="AA147" i="25"/>
  <c r="F24" i="31"/>
  <c r="F30" i="31" s="1"/>
  <c r="M43" i="30" l="1"/>
  <c r="M52" i="30" s="1"/>
  <c r="M54" i="30" s="1"/>
  <c r="M56" i="30" s="1"/>
  <c r="M62" i="30" s="1"/>
  <c r="M76" i="30"/>
  <c r="M85" i="30" s="1"/>
  <c r="M87" i="30" s="1"/>
  <c r="M89" i="30" s="1"/>
  <c r="M95" i="30" s="1"/>
  <c r="I43" i="25"/>
  <c r="AB147" i="25"/>
  <c r="Y7" i="30"/>
  <c r="Y7" i="1"/>
  <c r="Y7" i="31"/>
  <c r="W39" i="31"/>
  <c r="W40" i="31" s="1"/>
  <c r="W72" i="31"/>
  <c r="W73" i="31" s="1"/>
  <c r="W8" i="31"/>
  <c r="M76" i="31"/>
  <c r="M85" i="31" s="1"/>
  <c r="M87" i="31" s="1"/>
  <c r="M89" i="31" s="1"/>
  <c r="M95" i="31" s="1"/>
  <c r="M43" i="31"/>
  <c r="M52" i="31" s="1"/>
  <c r="M54" i="31" s="1"/>
  <c r="M56" i="31" s="1"/>
  <c r="M62" i="31" s="1"/>
  <c r="X39" i="1"/>
  <c r="X40" i="1" s="1"/>
  <c r="X72" i="1"/>
  <c r="X73" i="1" s="1"/>
  <c r="X8" i="1"/>
  <c r="X39" i="30"/>
  <c r="X40" i="30" s="1"/>
  <c r="X72" i="30"/>
  <c r="X73" i="30" s="1"/>
  <c r="X8" i="30"/>
  <c r="W39" i="1"/>
  <c r="W40" i="1" s="1"/>
  <c r="W72" i="1"/>
  <c r="W73" i="1" s="1"/>
  <c r="W8" i="1"/>
  <c r="N11" i="30"/>
  <c r="N11" i="31"/>
  <c r="N11" i="1"/>
  <c r="Q151" i="25"/>
  <c r="X8" i="31"/>
  <c r="X72" i="31"/>
  <c r="X73" i="31" s="1"/>
  <c r="X39" i="31"/>
  <c r="X40" i="31" s="1"/>
  <c r="W72" i="30"/>
  <c r="W73" i="30" s="1"/>
  <c r="W39" i="30"/>
  <c r="W40" i="30" s="1"/>
  <c r="W8" i="30"/>
  <c r="M43" i="1"/>
  <c r="M52" i="1" s="1"/>
  <c r="M54" i="1" s="1"/>
  <c r="M56" i="1" s="1"/>
  <c r="M76" i="1"/>
  <c r="M85" i="1" s="1"/>
  <c r="M87" i="1" s="1"/>
  <c r="M89" i="1" s="1"/>
  <c r="M95" i="1" s="1"/>
  <c r="L62" i="1"/>
  <c r="M62" i="1" l="1"/>
  <c r="O11" i="31"/>
  <c r="O11" i="30"/>
  <c r="R151" i="25"/>
  <c r="O11" i="1"/>
  <c r="Y72" i="31"/>
  <c r="Y73" i="31" s="1"/>
  <c r="Y39" i="31"/>
  <c r="Y40" i="31" s="1"/>
  <c r="Y8" i="31"/>
  <c r="N43" i="1"/>
  <c r="N52" i="1" s="1"/>
  <c r="N54" i="1" s="1"/>
  <c r="N56" i="1" s="1"/>
  <c r="N62" i="1" s="1"/>
  <c r="N76" i="1"/>
  <c r="N85" i="1" s="1"/>
  <c r="N87" i="1" s="1"/>
  <c r="N89" i="1" s="1"/>
  <c r="N95" i="1" s="1"/>
  <c r="Y72" i="1"/>
  <c r="Y73" i="1" s="1"/>
  <c r="Y39" i="1"/>
  <c r="Y40" i="1" s="1"/>
  <c r="Y8" i="1"/>
  <c r="G19" i="31"/>
  <c r="G20" i="31" s="1"/>
  <c r="G22" i="31" s="1"/>
  <c r="G19" i="1"/>
  <c r="G20" i="1" s="1"/>
  <c r="G22" i="1" s="1"/>
  <c r="G19" i="30"/>
  <c r="G20" i="30" s="1"/>
  <c r="G22" i="30" s="1"/>
  <c r="I44" i="25"/>
  <c r="J39" i="25" s="1"/>
  <c r="N43" i="31"/>
  <c r="N52" i="31" s="1"/>
  <c r="N54" i="31" s="1"/>
  <c r="N56" i="31" s="1"/>
  <c r="N62" i="31" s="1"/>
  <c r="N76" i="31"/>
  <c r="N85" i="31" s="1"/>
  <c r="N87" i="31" s="1"/>
  <c r="N89" i="31" s="1"/>
  <c r="N95" i="31" s="1"/>
  <c r="Y72" i="30"/>
  <c r="Y73" i="30" s="1"/>
  <c r="Y39" i="30"/>
  <c r="Y40" i="30" s="1"/>
  <c r="Y8" i="30"/>
  <c r="N43" i="30"/>
  <c r="N52" i="30" s="1"/>
  <c r="N54" i="30" s="1"/>
  <c r="N56" i="30" s="1"/>
  <c r="N62" i="30" s="1"/>
  <c r="N76" i="30"/>
  <c r="N85" i="30" s="1"/>
  <c r="N87" i="30" s="1"/>
  <c r="N89" i="30" s="1"/>
  <c r="N95" i="30" s="1"/>
  <c r="Z7" i="31"/>
  <c r="Z7" i="30"/>
  <c r="Z7" i="1"/>
  <c r="Z8" i="1" l="1"/>
  <c r="Z72" i="1"/>
  <c r="Z73" i="1" s="1"/>
  <c r="Z39" i="1"/>
  <c r="Z40" i="1" s="1"/>
  <c r="Z39" i="31"/>
  <c r="Z40" i="31" s="1"/>
  <c r="Z8" i="31"/>
  <c r="Z72" i="31"/>
  <c r="Z73" i="31" s="1"/>
  <c r="G24" i="1"/>
  <c r="G30" i="1" s="1"/>
  <c r="P11" i="31"/>
  <c r="P11" i="1"/>
  <c r="S151" i="25"/>
  <c r="P11" i="30"/>
  <c r="J41" i="25"/>
  <c r="J43" i="25" s="1"/>
  <c r="J44" i="25" s="1"/>
  <c r="K39" i="25" s="1"/>
  <c r="G24" i="31"/>
  <c r="G30" i="31" s="1"/>
  <c r="O76" i="30"/>
  <c r="O85" i="30" s="1"/>
  <c r="O87" i="30" s="1"/>
  <c r="O89" i="30" s="1"/>
  <c r="O95" i="30" s="1"/>
  <c r="O43" i="30"/>
  <c r="O52" i="30" s="1"/>
  <c r="O54" i="30" s="1"/>
  <c r="O56" i="30" s="1"/>
  <c r="O62" i="30" s="1"/>
  <c r="O43" i="31"/>
  <c r="O52" i="31" s="1"/>
  <c r="O54" i="31" s="1"/>
  <c r="O56" i="31" s="1"/>
  <c r="O62" i="31" s="1"/>
  <c r="O76" i="31"/>
  <c r="O85" i="31" s="1"/>
  <c r="O87" i="31" s="1"/>
  <c r="O89" i="31" s="1"/>
  <c r="O95" i="31" s="1"/>
  <c r="Z8" i="30"/>
  <c r="Z39" i="30"/>
  <c r="Z40" i="30" s="1"/>
  <c r="Z72" i="30"/>
  <c r="Z73" i="30" s="1"/>
  <c r="G24" i="30"/>
  <c r="G30" i="30" s="1"/>
  <c r="O76" i="1"/>
  <c r="O85" i="1" s="1"/>
  <c r="O87" i="1" s="1"/>
  <c r="O89" i="1" s="1"/>
  <c r="O95" i="1" s="1"/>
  <c r="O43" i="1"/>
  <c r="O52" i="1" s="1"/>
  <c r="O54" i="1" s="1"/>
  <c r="O56" i="1" s="1"/>
  <c r="O62" i="1" s="1"/>
  <c r="K41" i="25" l="1"/>
  <c r="K43" i="25" s="1"/>
  <c r="K44" i="25" s="1"/>
  <c r="L39" i="25" s="1"/>
  <c r="P62" i="30"/>
  <c r="P43" i="31"/>
  <c r="P52" i="31" s="1"/>
  <c r="P54" i="31" s="1"/>
  <c r="P56" i="31" s="1"/>
  <c r="P62" i="31" s="1"/>
  <c r="P76" i="31"/>
  <c r="P85" i="31" s="1"/>
  <c r="P87" i="31" s="1"/>
  <c r="P89" i="31" s="1"/>
  <c r="P95" i="31" s="1"/>
  <c r="P43" i="30"/>
  <c r="P52" i="30" s="1"/>
  <c r="P54" i="30" s="1"/>
  <c r="P56" i="30" s="1"/>
  <c r="P76" i="30"/>
  <c r="P85" i="30" s="1"/>
  <c r="P87" i="30" s="1"/>
  <c r="P89" i="30" s="1"/>
  <c r="P95" i="30" s="1"/>
  <c r="H19" i="1"/>
  <c r="H20" i="1" s="1"/>
  <c r="H22" i="1" s="1"/>
  <c r="H24" i="1" s="1"/>
  <c r="H30" i="1" s="1"/>
  <c r="H19" i="30"/>
  <c r="H20" i="30" s="1"/>
  <c r="H22" i="30" s="1"/>
  <c r="H24" i="30" s="1"/>
  <c r="H30" i="30" s="1"/>
  <c r="H19" i="31"/>
  <c r="H20" i="31" s="1"/>
  <c r="H22" i="31" s="1"/>
  <c r="H24" i="31" s="1"/>
  <c r="H30" i="31" s="1"/>
  <c r="Q11" i="31"/>
  <c r="Q11" i="1"/>
  <c r="Q11" i="30"/>
  <c r="T151" i="25"/>
  <c r="P43" i="1"/>
  <c r="P52" i="1" s="1"/>
  <c r="P54" i="1" s="1"/>
  <c r="P56" i="1" s="1"/>
  <c r="P62" i="1" s="1"/>
  <c r="P76" i="1"/>
  <c r="P85" i="1" s="1"/>
  <c r="P87" i="1" s="1"/>
  <c r="P89" i="1" s="1"/>
  <c r="P95" i="1" s="1"/>
  <c r="Q43" i="1" l="1"/>
  <c r="Q52" i="1" s="1"/>
  <c r="Q54" i="1" s="1"/>
  <c r="Q56" i="1" s="1"/>
  <c r="Q62" i="1" s="1"/>
  <c r="Q76" i="1"/>
  <c r="Q85" i="1" s="1"/>
  <c r="Q87" i="1" s="1"/>
  <c r="Q89" i="1" s="1"/>
  <c r="Q95" i="1" s="1"/>
  <c r="Q76" i="31"/>
  <c r="Q85" i="31" s="1"/>
  <c r="Q87" i="31" s="1"/>
  <c r="Q89" i="31" s="1"/>
  <c r="Q95" i="31" s="1"/>
  <c r="Q43" i="31"/>
  <c r="Q52" i="31" s="1"/>
  <c r="Q54" i="31" s="1"/>
  <c r="Q56" i="31" s="1"/>
  <c r="Q62" i="31" s="1"/>
  <c r="L41" i="25"/>
  <c r="L43" i="25" s="1"/>
  <c r="Q76" i="30"/>
  <c r="Q85" i="30" s="1"/>
  <c r="Q87" i="30" s="1"/>
  <c r="Q89" i="30" s="1"/>
  <c r="Q95" i="30" s="1"/>
  <c r="Q43" i="30"/>
  <c r="Q52" i="30" s="1"/>
  <c r="Q54" i="30" s="1"/>
  <c r="Q56" i="30" s="1"/>
  <c r="Q62" i="30" s="1"/>
  <c r="R11" i="31"/>
  <c r="R11" i="30"/>
  <c r="U151" i="25"/>
  <c r="R11" i="1"/>
  <c r="I19" i="1"/>
  <c r="I20" i="1" s="1"/>
  <c r="I22" i="1" s="1"/>
  <c r="I24" i="1" s="1"/>
  <c r="I30" i="1" s="1"/>
  <c r="I19" i="30"/>
  <c r="I20" i="30" s="1"/>
  <c r="I22" i="30" s="1"/>
  <c r="I24" i="30" s="1"/>
  <c r="I30" i="30" s="1"/>
  <c r="I19" i="31"/>
  <c r="I20" i="31" s="1"/>
  <c r="I22" i="31" s="1"/>
  <c r="I24" i="31" s="1"/>
  <c r="I30" i="31" s="1"/>
  <c r="R43" i="1" l="1"/>
  <c r="R52" i="1" s="1"/>
  <c r="R54" i="1" s="1"/>
  <c r="R56" i="1" s="1"/>
  <c r="R62" i="1" s="1"/>
  <c r="R76" i="1"/>
  <c r="R85" i="1" s="1"/>
  <c r="R87" i="1" s="1"/>
  <c r="R89" i="1" s="1"/>
  <c r="R95" i="1" s="1"/>
  <c r="S11" i="31"/>
  <c r="S11" i="1"/>
  <c r="S11" i="30"/>
  <c r="V151" i="25"/>
  <c r="R43" i="30"/>
  <c r="R52" i="30" s="1"/>
  <c r="R54" i="30" s="1"/>
  <c r="R56" i="30" s="1"/>
  <c r="R62" i="30" s="1"/>
  <c r="R76" i="30"/>
  <c r="R85" i="30" s="1"/>
  <c r="R87" i="30" s="1"/>
  <c r="R89" i="30" s="1"/>
  <c r="R95" i="30" s="1"/>
  <c r="J19" i="1"/>
  <c r="J20" i="1" s="1"/>
  <c r="J22" i="1" s="1"/>
  <c r="J24" i="1" s="1"/>
  <c r="J30" i="1" s="1"/>
  <c r="J19" i="31"/>
  <c r="J20" i="31" s="1"/>
  <c r="J22" i="31" s="1"/>
  <c r="J24" i="31" s="1"/>
  <c r="J30" i="31" s="1"/>
  <c r="J19" i="30"/>
  <c r="J20" i="30" s="1"/>
  <c r="J22" i="30" s="1"/>
  <c r="J24" i="30" s="1"/>
  <c r="J30" i="30" s="1"/>
  <c r="R43" i="31"/>
  <c r="R52" i="31" s="1"/>
  <c r="R54" i="31" s="1"/>
  <c r="R56" i="31" s="1"/>
  <c r="R62" i="31" s="1"/>
  <c r="R76" i="31"/>
  <c r="R85" i="31" s="1"/>
  <c r="R87" i="31" s="1"/>
  <c r="R89" i="31" s="1"/>
  <c r="R95" i="31" s="1"/>
  <c r="L44" i="25"/>
  <c r="M39" i="25" s="1"/>
  <c r="S76" i="31" l="1"/>
  <c r="S85" i="31" s="1"/>
  <c r="S87" i="31" s="1"/>
  <c r="S89" i="31" s="1"/>
  <c r="S95" i="31" s="1"/>
  <c r="S43" i="31"/>
  <c r="S52" i="31" s="1"/>
  <c r="S54" i="31" s="1"/>
  <c r="S56" i="31" s="1"/>
  <c r="S62" i="31" s="1"/>
  <c r="T11" i="1"/>
  <c r="T11" i="31"/>
  <c r="T11" i="30"/>
  <c r="W151" i="25"/>
  <c r="S43" i="30"/>
  <c r="S52" i="30" s="1"/>
  <c r="S54" i="30" s="1"/>
  <c r="S56" i="30" s="1"/>
  <c r="S62" i="30" s="1"/>
  <c r="S76" i="30"/>
  <c r="S85" i="30" s="1"/>
  <c r="S87" i="30" s="1"/>
  <c r="S89" i="30" s="1"/>
  <c r="S95" i="30" s="1"/>
  <c r="M41" i="25"/>
  <c r="M43" i="25" s="1"/>
  <c r="M44" i="25" s="1"/>
  <c r="N39" i="25" s="1"/>
  <c r="S43" i="1"/>
  <c r="S52" i="1" s="1"/>
  <c r="S54" i="1" s="1"/>
  <c r="S56" i="1" s="1"/>
  <c r="S62" i="1" s="1"/>
  <c r="S76" i="1"/>
  <c r="S85" i="1" s="1"/>
  <c r="S87" i="1" s="1"/>
  <c r="S89" i="1" s="1"/>
  <c r="S95" i="1" s="1"/>
  <c r="N41" i="25" l="1"/>
  <c r="N43" i="25" s="1"/>
  <c r="N44" i="25"/>
  <c r="O39" i="25" s="1"/>
  <c r="T76" i="1"/>
  <c r="T85" i="1" s="1"/>
  <c r="T87" i="1" s="1"/>
  <c r="T89" i="1" s="1"/>
  <c r="T95" i="1" s="1"/>
  <c r="T43" i="1"/>
  <c r="T52" i="1" s="1"/>
  <c r="T54" i="1" s="1"/>
  <c r="T56" i="1" s="1"/>
  <c r="T62" i="1" s="1"/>
  <c r="T76" i="31"/>
  <c r="T85" i="31" s="1"/>
  <c r="T87" i="31" s="1"/>
  <c r="T89" i="31" s="1"/>
  <c r="T95" i="31" s="1"/>
  <c r="T43" i="31"/>
  <c r="T52" i="31" s="1"/>
  <c r="T54" i="31" s="1"/>
  <c r="T56" i="31" s="1"/>
  <c r="T62" i="31" s="1"/>
  <c r="K19" i="31"/>
  <c r="K20" i="31" s="1"/>
  <c r="K22" i="31" s="1"/>
  <c r="K24" i="31" s="1"/>
  <c r="K30" i="31" s="1"/>
  <c r="K19" i="1"/>
  <c r="K20" i="1" s="1"/>
  <c r="K22" i="1" s="1"/>
  <c r="K24" i="1" s="1"/>
  <c r="K30" i="1" s="1"/>
  <c r="K19" i="30"/>
  <c r="K20" i="30" s="1"/>
  <c r="K22" i="30" s="1"/>
  <c r="K24" i="30" s="1"/>
  <c r="K30" i="30" s="1"/>
  <c r="U11" i="31"/>
  <c r="U11" i="1"/>
  <c r="U11" i="30"/>
  <c r="X151" i="25"/>
  <c r="T76" i="30"/>
  <c r="T85" i="30" s="1"/>
  <c r="T87" i="30" s="1"/>
  <c r="T89" i="30" s="1"/>
  <c r="T95" i="30" s="1"/>
  <c r="T43" i="30"/>
  <c r="T52" i="30" s="1"/>
  <c r="T54" i="30" s="1"/>
  <c r="T56" i="30" s="1"/>
  <c r="T62" i="30" s="1"/>
  <c r="U43" i="30" l="1"/>
  <c r="U52" i="30" s="1"/>
  <c r="U54" i="30" s="1"/>
  <c r="U56" i="30" s="1"/>
  <c r="U62" i="30" s="1"/>
  <c r="U76" i="30"/>
  <c r="U85" i="30" s="1"/>
  <c r="U87" i="30" s="1"/>
  <c r="U89" i="30" s="1"/>
  <c r="U95" i="30" s="1"/>
  <c r="U76" i="1"/>
  <c r="U85" i="1" s="1"/>
  <c r="U87" i="1" s="1"/>
  <c r="U89" i="1" s="1"/>
  <c r="U95" i="1" s="1"/>
  <c r="U43" i="1"/>
  <c r="U52" i="1" s="1"/>
  <c r="U54" i="1" s="1"/>
  <c r="U56" i="1" s="1"/>
  <c r="U62" i="1" s="1"/>
  <c r="U43" i="31"/>
  <c r="U52" i="31" s="1"/>
  <c r="U54" i="31" s="1"/>
  <c r="U56" i="31" s="1"/>
  <c r="U62" i="31" s="1"/>
  <c r="U76" i="31"/>
  <c r="U85" i="31" s="1"/>
  <c r="U87" i="31" s="1"/>
  <c r="U89" i="31" s="1"/>
  <c r="U95" i="31" s="1"/>
  <c r="O41" i="25"/>
  <c r="O43" i="25" s="1"/>
  <c r="O44" i="25" s="1"/>
  <c r="P39" i="25" s="1"/>
  <c r="V11" i="31"/>
  <c r="V11" i="30"/>
  <c r="Y151" i="25"/>
  <c r="V11" i="1"/>
  <c r="L19" i="1"/>
  <c r="L20" i="1" s="1"/>
  <c r="L22" i="1" s="1"/>
  <c r="L24" i="1" s="1"/>
  <c r="L30" i="1" s="1"/>
  <c r="L19" i="30"/>
  <c r="L20" i="30" s="1"/>
  <c r="L22" i="30" s="1"/>
  <c r="L24" i="30" s="1"/>
  <c r="L30" i="30" s="1"/>
  <c r="L19" i="31"/>
  <c r="L20" i="31" s="1"/>
  <c r="L22" i="31" s="1"/>
  <c r="L24" i="31" s="1"/>
  <c r="L30" i="31" s="1"/>
  <c r="P41" i="25" l="1"/>
  <c r="P43" i="25" s="1"/>
  <c r="P44" i="25" s="1"/>
  <c r="Q39" i="25" s="1"/>
  <c r="V43" i="30"/>
  <c r="V52" i="30" s="1"/>
  <c r="V54" i="30" s="1"/>
  <c r="V56" i="30" s="1"/>
  <c r="V62" i="30" s="1"/>
  <c r="V76" i="30"/>
  <c r="V85" i="30" s="1"/>
  <c r="V87" i="30" s="1"/>
  <c r="V89" i="30" s="1"/>
  <c r="V95" i="30" s="1"/>
  <c r="V76" i="31"/>
  <c r="V85" i="31" s="1"/>
  <c r="V87" i="31" s="1"/>
  <c r="V89" i="31" s="1"/>
  <c r="V95" i="31" s="1"/>
  <c r="V43" i="31"/>
  <c r="V52" i="31" s="1"/>
  <c r="V54" i="31" s="1"/>
  <c r="V56" i="31" s="1"/>
  <c r="V62" i="31" s="1"/>
  <c r="V43" i="1"/>
  <c r="V52" i="1" s="1"/>
  <c r="V54" i="1" s="1"/>
  <c r="V56" i="1" s="1"/>
  <c r="V62" i="1" s="1"/>
  <c r="V76" i="1"/>
  <c r="V85" i="1" s="1"/>
  <c r="V87" i="1" s="1"/>
  <c r="V89" i="1" s="1"/>
  <c r="V95" i="1" s="1"/>
  <c r="M19" i="31"/>
  <c r="M20" i="31" s="1"/>
  <c r="M22" i="31" s="1"/>
  <c r="M24" i="31" s="1"/>
  <c r="M30" i="31" s="1"/>
  <c r="M19" i="30"/>
  <c r="M20" i="30" s="1"/>
  <c r="M22" i="30" s="1"/>
  <c r="M24" i="30" s="1"/>
  <c r="M30" i="30" s="1"/>
  <c r="M19" i="1"/>
  <c r="M20" i="1" s="1"/>
  <c r="M22" i="1" s="1"/>
  <c r="M24" i="1" s="1"/>
  <c r="M30" i="1" s="1"/>
  <c r="W11" i="31"/>
  <c r="W11" i="30"/>
  <c r="W11" i="1"/>
  <c r="Z151" i="25"/>
  <c r="Q41" i="25" l="1"/>
  <c r="Q43" i="25" s="1"/>
  <c r="Q44" i="25" s="1"/>
  <c r="R39" i="25" s="1"/>
  <c r="W43" i="30"/>
  <c r="W52" i="30" s="1"/>
  <c r="W54" i="30" s="1"/>
  <c r="W56" i="30" s="1"/>
  <c r="W62" i="30" s="1"/>
  <c r="W76" i="30"/>
  <c r="W85" i="30" s="1"/>
  <c r="W87" i="30" s="1"/>
  <c r="W89" i="30" s="1"/>
  <c r="W95" i="30" s="1"/>
  <c r="W76" i="31"/>
  <c r="W85" i="31" s="1"/>
  <c r="W87" i="31" s="1"/>
  <c r="W89" i="31" s="1"/>
  <c r="W95" i="31" s="1"/>
  <c r="W43" i="31"/>
  <c r="W52" i="31" s="1"/>
  <c r="W54" i="31" s="1"/>
  <c r="W56" i="31" s="1"/>
  <c r="W62" i="31" s="1"/>
  <c r="X11" i="30"/>
  <c r="X11" i="31"/>
  <c r="X11" i="1"/>
  <c r="AA151" i="25"/>
  <c r="W43" i="1"/>
  <c r="W52" i="1" s="1"/>
  <c r="W54" i="1" s="1"/>
  <c r="W56" i="1" s="1"/>
  <c r="W62" i="1" s="1"/>
  <c r="W76" i="1"/>
  <c r="W85" i="1" s="1"/>
  <c r="W87" i="1" s="1"/>
  <c r="W89" i="1" s="1"/>
  <c r="W95" i="1" s="1"/>
  <c r="N19" i="1"/>
  <c r="N20" i="1" s="1"/>
  <c r="N22" i="1" s="1"/>
  <c r="N24" i="1" s="1"/>
  <c r="N30" i="1" s="1"/>
  <c r="N19" i="31"/>
  <c r="N20" i="31" s="1"/>
  <c r="N22" i="31" s="1"/>
  <c r="N24" i="31" s="1"/>
  <c r="N30" i="31" s="1"/>
  <c r="N19" i="30"/>
  <c r="N20" i="30" s="1"/>
  <c r="N22" i="30" s="1"/>
  <c r="N24" i="30" s="1"/>
  <c r="N30" i="30" s="1"/>
  <c r="X43" i="30" l="1"/>
  <c r="X52" i="30" s="1"/>
  <c r="X54" i="30" s="1"/>
  <c r="X56" i="30" s="1"/>
  <c r="X62" i="30" s="1"/>
  <c r="X76" i="30"/>
  <c r="X85" i="30" s="1"/>
  <c r="X87" i="30" s="1"/>
  <c r="X89" i="30" s="1"/>
  <c r="X95" i="30" s="1"/>
  <c r="Y11" i="1"/>
  <c r="Y11" i="30"/>
  <c r="AB151" i="25"/>
  <c r="Y11" i="31"/>
  <c r="R41" i="25"/>
  <c r="R43" i="25" s="1"/>
  <c r="R44" i="25" s="1"/>
  <c r="S39" i="25" s="1"/>
  <c r="X76" i="1"/>
  <c r="X85" i="1" s="1"/>
  <c r="X87" i="1" s="1"/>
  <c r="X89" i="1" s="1"/>
  <c r="X95" i="1" s="1"/>
  <c r="X43" i="1"/>
  <c r="X52" i="1" s="1"/>
  <c r="X54" i="1" s="1"/>
  <c r="X56" i="1" s="1"/>
  <c r="X62" i="1" s="1"/>
  <c r="O19" i="31"/>
  <c r="O20" i="31" s="1"/>
  <c r="O22" i="31" s="1"/>
  <c r="O24" i="31" s="1"/>
  <c r="O30" i="31" s="1"/>
  <c r="O19" i="1"/>
  <c r="O20" i="1" s="1"/>
  <c r="O22" i="1" s="1"/>
  <c r="O24" i="1" s="1"/>
  <c r="O30" i="1" s="1"/>
  <c r="O19" i="30"/>
  <c r="O20" i="30" s="1"/>
  <c r="O22" i="30" s="1"/>
  <c r="O24" i="30" s="1"/>
  <c r="O30" i="30" s="1"/>
  <c r="X76" i="31"/>
  <c r="X85" i="31" s="1"/>
  <c r="X87" i="31" s="1"/>
  <c r="X89" i="31" s="1"/>
  <c r="X95" i="31" s="1"/>
  <c r="X43" i="31"/>
  <c r="X52" i="31" s="1"/>
  <c r="X54" i="31" s="1"/>
  <c r="X56" i="31" s="1"/>
  <c r="X62" i="31" s="1"/>
  <c r="P19" i="1" l="1"/>
  <c r="P20" i="1" s="1"/>
  <c r="P22" i="1" s="1"/>
  <c r="P24" i="1" s="1"/>
  <c r="P30" i="1" s="1"/>
  <c r="P19" i="31"/>
  <c r="P20" i="31" s="1"/>
  <c r="P22" i="31" s="1"/>
  <c r="P24" i="31" s="1"/>
  <c r="P30" i="31" s="1"/>
  <c r="P19" i="30"/>
  <c r="P20" i="30" s="1"/>
  <c r="P22" i="30" s="1"/>
  <c r="P24" i="30" s="1"/>
  <c r="Y76" i="30"/>
  <c r="Y85" i="30" s="1"/>
  <c r="Y87" i="30" s="1"/>
  <c r="Y89" i="30" s="1"/>
  <c r="Y95" i="30" s="1"/>
  <c r="Y43" i="30"/>
  <c r="Y52" i="30" s="1"/>
  <c r="Y54" i="30" s="1"/>
  <c r="Y56" i="30" s="1"/>
  <c r="Y62" i="30" s="1"/>
  <c r="Y76" i="1"/>
  <c r="Y85" i="1" s="1"/>
  <c r="Y87" i="1" s="1"/>
  <c r="Y89" i="1" s="1"/>
  <c r="Y95" i="1" s="1"/>
  <c r="Y43" i="1"/>
  <c r="Y52" i="1" s="1"/>
  <c r="Y54" i="1" s="1"/>
  <c r="Y56" i="1" s="1"/>
  <c r="Y62" i="1" s="1"/>
  <c r="Y43" i="31"/>
  <c r="Y52" i="31" s="1"/>
  <c r="Y54" i="31" s="1"/>
  <c r="Y56" i="31" s="1"/>
  <c r="Y62" i="31" s="1"/>
  <c r="Y76" i="31"/>
  <c r="Y85" i="31" s="1"/>
  <c r="Y87" i="31" s="1"/>
  <c r="Y89" i="31" s="1"/>
  <c r="Y95" i="31" s="1"/>
  <c r="S41" i="25"/>
  <c r="S43" i="25" s="1"/>
  <c r="S44" i="25"/>
  <c r="T39" i="25" s="1"/>
  <c r="Z11" i="30"/>
  <c r="Z11" i="1"/>
  <c r="Z11" i="31"/>
  <c r="P30" i="30"/>
  <c r="T41" i="25" l="1"/>
  <c r="T43" i="25" s="1"/>
  <c r="T44" i="25"/>
  <c r="U39" i="25" s="1"/>
  <c r="Z76" i="31"/>
  <c r="Z85" i="31" s="1"/>
  <c r="Z87" i="31" s="1"/>
  <c r="Z43" i="31"/>
  <c r="Z52" i="31" s="1"/>
  <c r="Z54" i="31" s="1"/>
  <c r="Z76" i="1"/>
  <c r="Z85" i="1" s="1"/>
  <c r="Z87" i="1" s="1"/>
  <c r="Z43" i="1"/>
  <c r="Z52" i="1" s="1"/>
  <c r="Z54" i="1" s="1"/>
  <c r="Z43" i="30"/>
  <c r="Z52" i="30" s="1"/>
  <c r="Z54" i="30" s="1"/>
  <c r="Z76" i="30"/>
  <c r="Z85" i="30" s="1"/>
  <c r="Z87" i="30" s="1"/>
  <c r="Q19" i="31"/>
  <c r="Q20" i="31" s="1"/>
  <c r="Q22" i="31" s="1"/>
  <c r="Q24" i="31" s="1"/>
  <c r="Q30" i="31" s="1"/>
  <c r="Q19" i="1"/>
  <c r="Q20" i="1" s="1"/>
  <c r="Q22" i="1" s="1"/>
  <c r="Q24" i="1" s="1"/>
  <c r="Q30" i="1" s="1"/>
  <c r="Q19" i="30"/>
  <c r="Q20" i="30" s="1"/>
  <c r="Q22" i="30" s="1"/>
  <c r="Q24" i="30" s="1"/>
  <c r="Q30" i="30" s="1"/>
  <c r="Z89" i="1" l="1"/>
  <c r="Z95" i="1" s="1"/>
  <c r="B93" i="1"/>
  <c r="F33" i="14" s="1"/>
  <c r="B91" i="1"/>
  <c r="C33" i="14" s="1"/>
  <c r="Z56" i="30"/>
  <c r="Z62" i="30" s="1"/>
  <c r="B60" i="30"/>
  <c r="H32" i="14" s="1"/>
  <c r="B58" i="30"/>
  <c r="E32" i="14" s="1"/>
  <c r="R19" i="1"/>
  <c r="R20" i="1" s="1"/>
  <c r="R22" i="1" s="1"/>
  <c r="R24" i="1" s="1"/>
  <c r="R30" i="1" s="1"/>
  <c r="R19" i="30"/>
  <c r="R20" i="30" s="1"/>
  <c r="R22" i="30" s="1"/>
  <c r="R24" i="30" s="1"/>
  <c r="R30" i="30" s="1"/>
  <c r="R19" i="31"/>
  <c r="R20" i="31" s="1"/>
  <c r="R22" i="31" s="1"/>
  <c r="R24" i="31" s="1"/>
  <c r="R30" i="31" s="1"/>
  <c r="Z56" i="1"/>
  <c r="Z62" i="1" s="1"/>
  <c r="B60" i="1"/>
  <c r="F32" i="14" s="1"/>
  <c r="B58" i="1"/>
  <c r="C32" i="14" s="1"/>
  <c r="Z56" i="31"/>
  <c r="Z62" i="31" s="1"/>
  <c r="B58" i="31"/>
  <c r="D32" i="14" s="1"/>
  <c r="B60" i="31"/>
  <c r="G32" i="14" s="1"/>
  <c r="Z89" i="31"/>
  <c r="Z95" i="31" s="1"/>
  <c r="B91" i="31"/>
  <c r="D33" i="14" s="1"/>
  <c r="B93" i="31"/>
  <c r="G33" i="14" s="1"/>
  <c r="Z89" i="30"/>
  <c r="Z95" i="30" s="1"/>
  <c r="B91" i="30"/>
  <c r="E33" i="14" s="1"/>
  <c r="B93" i="30"/>
  <c r="H33" i="14" s="1"/>
  <c r="U41" i="25"/>
  <c r="U43" i="25" s="1"/>
  <c r="U44" i="25"/>
  <c r="V39" i="25" s="1"/>
  <c r="V41" i="25" l="1"/>
  <c r="V43" i="25" s="1"/>
  <c r="V44" i="25" s="1"/>
  <c r="W39" i="25" s="1"/>
  <c r="S19" i="31"/>
  <c r="S20" i="31" s="1"/>
  <c r="S22" i="31" s="1"/>
  <c r="S24" i="31" s="1"/>
  <c r="S30" i="31" s="1"/>
  <c r="S19" i="30"/>
  <c r="S20" i="30" s="1"/>
  <c r="S22" i="30" s="1"/>
  <c r="S24" i="30" s="1"/>
  <c r="S30" i="30" s="1"/>
  <c r="S19" i="1"/>
  <c r="S20" i="1" s="1"/>
  <c r="S22" i="1" s="1"/>
  <c r="S24" i="1" s="1"/>
  <c r="S30" i="1" s="1"/>
  <c r="W41" i="25" l="1"/>
  <c r="W43" i="25" s="1"/>
  <c r="T19" i="31"/>
  <c r="T20" i="31" s="1"/>
  <c r="T22" i="31" s="1"/>
  <c r="T24" i="31" s="1"/>
  <c r="T30" i="31" s="1"/>
  <c r="T19" i="1"/>
  <c r="T20" i="1" s="1"/>
  <c r="T22" i="1" s="1"/>
  <c r="T24" i="1" s="1"/>
  <c r="T30" i="1" s="1"/>
  <c r="T19" i="30"/>
  <c r="T20" i="30" s="1"/>
  <c r="T22" i="30" s="1"/>
  <c r="T24" i="30" s="1"/>
  <c r="T30" i="30" s="1"/>
  <c r="U19" i="31" l="1"/>
  <c r="U20" i="31" s="1"/>
  <c r="U22" i="31" s="1"/>
  <c r="U24" i="31" s="1"/>
  <c r="U30" i="31" s="1"/>
  <c r="U19" i="30"/>
  <c r="U20" i="30" s="1"/>
  <c r="U22" i="30" s="1"/>
  <c r="U24" i="30" s="1"/>
  <c r="U30" i="30" s="1"/>
  <c r="U19" i="1"/>
  <c r="U20" i="1" s="1"/>
  <c r="U22" i="1" s="1"/>
  <c r="U24" i="1" s="1"/>
  <c r="U30" i="1" s="1"/>
  <c r="W44" i="25"/>
  <c r="X39" i="25" s="1"/>
  <c r="X41" i="25" l="1"/>
  <c r="X43" i="25" s="1"/>
  <c r="X44" i="25" s="1"/>
  <c r="Y39" i="25" s="1"/>
  <c r="Y41" i="25" l="1"/>
  <c r="Y43" i="25" s="1"/>
  <c r="Y44" i="25" s="1"/>
  <c r="Z39" i="25" s="1"/>
  <c r="V19" i="31"/>
  <c r="V20" i="31" s="1"/>
  <c r="V22" i="31" s="1"/>
  <c r="V24" i="31" s="1"/>
  <c r="V30" i="31" s="1"/>
  <c r="V19" i="1"/>
  <c r="V20" i="1" s="1"/>
  <c r="V22" i="1" s="1"/>
  <c r="V24" i="1" s="1"/>
  <c r="V30" i="1" s="1"/>
  <c r="V19" i="30"/>
  <c r="V20" i="30" s="1"/>
  <c r="V22" i="30" s="1"/>
  <c r="V24" i="30" s="1"/>
  <c r="V30" i="30" s="1"/>
  <c r="Z41" i="25" l="1"/>
  <c r="Z43" i="25" s="1"/>
  <c r="Z44" i="25"/>
  <c r="AA39" i="25" s="1"/>
  <c r="W19" i="1"/>
  <c r="W20" i="1" s="1"/>
  <c r="W22" i="1" s="1"/>
  <c r="W24" i="1" s="1"/>
  <c r="W30" i="1" s="1"/>
  <c r="W19" i="31"/>
  <c r="W20" i="31" s="1"/>
  <c r="W22" i="31" s="1"/>
  <c r="W24" i="31" s="1"/>
  <c r="W30" i="31" s="1"/>
  <c r="W19" i="30"/>
  <c r="W20" i="30" s="1"/>
  <c r="W22" i="30" s="1"/>
  <c r="W24" i="30" s="1"/>
  <c r="W30" i="30" s="1"/>
  <c r="AA41" i="25" l="1"/>
  <c r="AA43" i="25" s="1"/>
  <c r="AA44" i="25" s="1"/>
  <c r="AB39" i="25" s="1"/>
  <c r="X19" i="30"/>
  <c r="X20" i="30" s="1"/>
  <c r="X22" i="30" s="1"/>
  <c r="X24" i="30" s="1"/>
  <c r="X30" i="30" s="1"/>
  <c r="X19" i="1"/>
  <c r="X20" i="1" s="1"/>
  <c r="X22" i="1" s="1"/>
  <c r="X24" i="1" s="1"/>
  <c r="X30" i="1" s="1"/>
  <c r="X19" i="31"/>
  <c r="X20" i="31" s="1"/>
  <c r="X22" i="31" s="1"/>
  <c r="X24" i="31" s="1"/>
  <c r="X30" i="31" s="1"/>
  <c r="AB41" i="25" l="1"/>
  <c r="Y19" i="1"/>
  <c r="Y20" i="1" s="1"/>
  <c r="Y22" i="1" s="1"/>
  <c r="Y24" i="1" s="1"/>
  <c r="Y30" i="1" s="1"/>
  <c r="Y19" i="31"/>
  <c r="Y20" i="31" s="1"/>
  <c r="Y22" i="31" s="1"/>
  <c r="Y24" i="31" s="1"/>
  <c r="Y30" i="31" s="1"/>
  <c r="Y19" i="30"/>
  <c r="Y20" i="30" s="1"/>
  <c r="Y22" i="30" s="1"/>
  <c r="Y24" i="30" s="1"/>
  <c r="Y30" i="30" s="1"/>
  <c r="AB43" i="25" l="1"/>
  <c r="AC41" i="25"/>
  <c r="Z19" i="1" l="1"/>
  <c r="Z20" i="1" s="1"/>
  <c r="Z22" i="1" s="1"/>
  <c r="Z19" i="31"/>
  <c r="Z20" i="31" s="1"/>
  <c r="Z22" i="31" s="1"/>
  <c r="Z19" i="30"/>
  <c r="Z20" i="30" s="1"/>
  <c r="Z22" i="30" s="1"/>
  <c r="AC43" i="25"/>
  <c r="AB44" i="25"/>
  <c r="Z24" i="31" l="1"/>
  <c r="Z30" i="31" s="1"/>
  <c r="B28" i="31"/>
  <c r="B26" i="31"/>
  <c r="D31" i="14" s="1"/>
  <c r="Z24" i="1"/>
  <c r="Z30" i="1" s="1"/>
  <c r="B26" i="1"/>
  <c r="B28" i="1"/>
  <c r="Z24" i="30"/>
  <c r="Z30" i="30" s="1"/>
  <c r="B28" i="30"/>
  <c r="H31" i="14" s="1"/>
  <c r="B26" i="30"/>
  <c r="E31" i="14" s="1"/>
  <c r="G31" i="14" l="1"/>
  <c r="F31" i="14"/>
  <c r="C31" i="14"/>
  <c r="C6" i="45"/>
</calcChain>
</file>

<file path=xl/sharedStrings.xml><?xml version="1.0" encoding="utf-8"?>
<sst xmlns="http://schemas.openxmlformats.org/spreadsheetml/2006/main" count="2010" uniqueCount="288">
  <si>
    <t>Activities</t>
  </si>
  <si>
    <t>NPV</t>
  </si>
  <si>
    <t>IRR</t>
  </si>
  <si>
    <t>Payback Period</t>
  </si>
  <si>
    <t>Without GCF**</t>
  </si>
  <si>
    <t>(50% Loan)+ (50% Grants or own fund)</t>
  </si>
  <si>
    <t>Benefits</t>
  </si>
  <si>
    <t>Value</t>
  </si>
  <si>
    <t>Unit</t>
  </si>
  <si>
    <t>Notes</t>
  </si>
  <si>
    <t>$/Year</t>
  </si>
  <si>
    <t>Residual Value</t>
  </si>
  <si>
    <t>$</t>
  </si>
  <si>
    <t>Costs</t>
  </si>
  <si>
    <t>One time establishment cost</t>
  </si>
  <si>
    <t>Labor</t>
  </si>
  <si>
    <t>Wage</t>
  </si>
  <si>
    <t>Per year</t>
  </si>
  <si>
    <t>Interest Rate (Capital Cost)</t>
  </si>
  <si>
    <t>% Per Year</t>
  </si>
  <si>
    <t>Interest Rate</t>
  </si>
  <si>
    <t>Loan portion</t>
  </si>
  <si>
    <t>Year</t>
  </si>
  <si>
    <t>Revenue</t>
  </si>
  <si>
    <t>Cost</t>
  </si>
  <si>
    <t>Internal Rate of Return</t>
  </si>
  <si>
    <t>Goat Production</t>
  </si>
  <si>
    <t>unit/Year</t>
  </si>
  <si>
    <t>Price of Goat</t>
  </si>
  <si>
    <t>$/unit</t>
  </si>
  <si>
    <t>Change in Goat Price</t>
  </si>
  <si>
    <t>/Year</t>
  </si>
  <si>
    <t>Expected change in price</t>
  </si>
  <si>
    <t>of slated house and others establishment cost</t>
  </si>
  <si>
    <t>Mother Goat Sale at Project end</t>
  </si>
  <si>
    <t>Slated House Construction</t>
  </si>
  <si>
    <t>Mother Goat Purchase</t>
  </si>
  <si>
    <t>Maintenance Cost</t>
  </si>
  <si>
    <t>From Second Year</t>
  </si>
  <si>
    <t>Feed</t>
  </si>
  <si>
    <t>Medicine</t>
  </si>
  <si>
    <t>$/Year/Workers</t>
  </si>
  <si>
    <t>Crablet Production</t>
  </si>
  <si>
    <t>Piece/Year</t>
  </si>
  <si>
    <t>Price of Crablet</t>
  </si>
  <si>
    <t>$/Piece</t>
  </si>
  <si>
    <t>Change in Crablet Price</t>
  </si>
  <si>
    <t>Residual Value of Hatchery</t>
  </si>
  <si>
    <t>of hatchery establishment cost</t>
  </si>
  <si>
    <t>Crab Hatchery Establishment</t>
  </si>
  <si>
    <t>$/per year</t>
  </si>
  <si>
    <t>Maintenance Cost (From 3rd Year)</t>
  </si>
  <si>
    <t>From Year 03</t>
  </si>
  <si>
    <t>Mother Crab purchase and rearing etc</t>
  </si>
  <si>
    <t>Every Year</t>
  </si>
  <si>
    <t>Mother Crab Feed</t>
  </si>
  <si>
    <t>Crablet Sale ($)</t>
  </si>
  <si>
    <t>Residual ($)</t>
  </si>
  <si>
    <t>Total Benefits ($)</t>
  </si>
  <si>
    <t>Total Cost ($)</t>
  </si>
  <si>
    <t>Net Benefits ($)</t>
  </si>
  <si>
    <t>Present Value Net Benefits ($)</t>
  </si>
  <si>
    <t>Net Present Value ($)</t>
  </si>
  <si>
    <t>Payback ($)</t>
  </si>
  <si>
    <t>Small Crab Production</t>
  </si>
  <si>
    <t>Small Crab/Year</t>
  </si>
  <si>
    <t>Price of small crab</t>
  </si>
  <si>
    <t>$/small Crab</t>
  </si>
  <si>
    <t>Change in Crab Price</t>
  </si>
  <si>
    <t>Crab Nursery Establishment</t>
  </si>
  <si>
    <t>Operation Cost (Crablet purchase)</t>
  </si>
  <si>
    <t>Maintenance</t>
  </si>
  <si>
    <t>Crab Production</t>
  </si>
  <si>
    <t>Price of Crab</t>
  </si>
  <si>
    <t>$/Kg</t>
  </si>
  <si>
    <t>Crab Farm Establishment</t>
  </si>
  <si>
    <t>Operation Cost (Small crab purchase)</t>
  </si>
  <si>
    <t>Aggregate Financial Analysis</t>
  </si>
  <si>
    <t>With 100% GCF grant</t>
  </si>
  <si>
    <t>Individual Results of Financial Analysis</t>
  </si>
  <si>
    <t>Aggregate Results of Financial Analysis</t>
  </si>
  <si>
    <t>Results with budget costs for consultants, travel, etc. excluded</t>
  </si>
  <si>
    <t>RCP 4.5</t>
  </si>
  <si>
    <t>No change</t>
  </si>
  <si>
    <t>BaU</t>
  </si>
  <si>
    <t>RCP 8.5</t>
  </si>
  <si>
    <t>Increase</t>
  </si>
  <si>
    <t>1. Goat/sheep rearing</t>
  </si>
  <si>
    <t>2. Vegetable Cultivation at Household Level</t>
  </si>
  <si>
    <t>Decrease</t>
  </si>
  <si>
    <t>years</t>
  </si>
  <si>
    <t>Grace Period</t>
  </si>
  <si>
    <t>Number of climate induced disasters</t>
  </si>
  <si>
    <t>$/Lump sum</t>
  </si>
  <si>
    <t>Relevant prababilty of occuring</t>
  </si>
  <si>
    <t>Beginning Amount</t>
  </si>
  <si>
    <t>Disbursement</t>
  </si>
  <si>
    <t>Interest Payment</t>
  </si>
  <si>
    <t>Ending amount</t>
  </si>
  <si>
    <t>Principal payment</t>
  </si>
  <si>
    <t>RCP 4.5  scenario (Aggregate)</t>
  </si>
  <si>
    <t>RCP 8.5  scenario (Aggregate)</t>
  </si>
  <si>
    <t>Assumtions</t>
  </si>
  <si>
    <t>Negative</t>
  </si>
  <si>
    <t>Expected results</t>
  </si>
  <si>
    <t>With GCF (GCF grant+ PKSF Loan)</t>
  </si>
  <si>
    <t>Without GCF (No grant/100% PKSF loan)</t>
  </si>
  <si>
    <t>Positive</t>
  </si>
  <si>
    <t>Positive/Negative</t>
  </si>
  <si>
    <t>10+%</t>
  </si>
  <si>
    <t>Negative/5%-</t>
  </si>
  <si>
    <t>With GCF (100%GCF grant+0%PKSF loan)</t>
  </si>
  <si>
    <t>More than/within 15 yrs</t>
  </si>
  <si>
    <t>Present Climate</t>
  </si>
  <si>
    <t>Moderate</t>
  </si>
  <si>
    <t>Extreme</t>
  </si>
  <si>
    <t>Less than 15 yrs</t>
  </si>
  <si>
    <t>1. Presently, PKSF is financing 3-4 Crab Hatchery projects. PKSF is proving 100% grant support for project cost (Crab Hatchery Establishment). Other operational costs are loan financed by PKSF (Maintenance,Mother Crab purchase and rearing etc, Mother Crab Feed, Medicine, Land rent, Labor).
2. Grant % and Loan % will be determined as per project cost Vs Operating Cost.
3. In poposed GCF project, 100% grant portion will be finanaced by GCF (for project cost) and loan portion by PKSF (for operating costs).</t>
  </si>
  <si>
    <t>1. Presently, PKSF is financing 3-4 Crab Fattening projects. PKSF is proving 100% grant support for project cost (Crab Farm Establishment). Other operational costs are loan financed by PKSF (Small crab purchase,Maintenance, Feed,Medicine, Land rent, Labor).
2. Grant % and Loan % will be determined as per project cost Vs Operating Cost.
3. In poposed GCF project, 100% grant portion will be finanaced by GCF (for project cost) and loan portion by PKSF (for operating costs).</t>
  </si>
  <si>
    <t>Change</t>
  </si>
  <si>
    <t>Probabilty</t>
  </si>
  <si>
    <t>Base line value (individual Hatchery)</t>
  </si>
  <si>
    <t>From 2nd year</t>
  </si>
  <si>
    <t>In 20 th Year</t>
  </si>
  <si>
    <t>No of labor days</t>
  </si>
  <si>
    <t>No</t>
  </si>
  <si>
    <t>Artemia and other feed cost</t>
  </si>
  <si>
    <t>O&amp;M cost</t>
  </si>
  <si>
    <t xml:space="preserve">Maintenance Cost </t>
  </si>
  <si>
    <t>Project Implementation (Hatchery-Nursery-Fattening)</t>
  </si>
  <si>
    <t>No of Fatteners</t>
  </si>
  <si>
    <t>No of Nurserer</t>
  </si>
  <si>
    <t>No of Hatchery owner</t>
  </si>
  <si>
    <t>Total</t>
  </si>
  <si>
    <t>Project Implementation-Hatchery</t>
  </si>
  <si>
    <t>No of new Hatchery owner</t>
  </si>
  <si>
    <t>No of Hatchery owners with project closed</t>
  </si>
  <si>
    <t>Assumptions:</t>
  </si>
  <si>
    <t>"No of Hatchery owners with project closed" has been caclculated for finding residual value of that respective years</t>
  </si>
  <si>
    <t>Individual Project return period is 20 years</t>
  </si>
  <si>
    <t>Agreegate number of Hatchery owner in each year</t>
  </si>
  <si>
    <t>"Agreegate number of Hatchery owner in each year" are the active owners in each year. Benefits and cost values in a year has been calculated for these owners.</t>
  </si>
  <si>
    <t>Discount rate for cashflows</t>
  </si>
  <si>
    <t>Loan amount for individual Hatchery owner</t>
  </si>
  <si>
    <t>Grant Amount for individual Hatchery owner</t>
  </si>
  <si>
    <t>Debt service</t>
  </si>
  <si>
    <t>Loan tenure (including grace period)</t>
  </si>
  <si>
    <t>Loan repayment period</t>
  </si>
  <si>
    <t>Present Climate Change Scenario over the project period</t>
  </si>
  <si>
    <t>Assumtions:</t>
  </si>
  <si>
    <t>Moderate Climate Scenario under RCP 4.5 over the project period</t>
  </si>
  <si>
    <t>Moderate Climate Scenario under RCP 8.5 over the project period</t>
  </si>
  <si>
    <t>Climate disasster will take place in every 3rd year in present situation. Source of data :Assumed due to unavailabilty</t>
  </si>
  <si>
    <t>Climate disasster will take place in every 3rd year in present situation.  Source of data :Assumed due to unavailabilty</t>
  </si>
  <si>
    <t>% change on benefit/cost item in disaster year (Year 03)</t>
  </si>
  <si>
    <t>Damage Rate (Assumed)</t>
  </si>
  <si>
    <t>Debt Service</t>
  </si>
  <si>
    <t>Wage Increment</t>
  </si>
  <si>
    <t>For Year 02 only /No maintenance cost in Year 01</t>
  </si>
  <si>
    <t>Impact of climatic change on cost and benefits under BaU situation (Individual Hatchery owner)</t>
  </si>
  <si>
    <t>No of new Nurserer</t>
  </si>
  <si>
    <t>No of Nurserer with project closed</t>
  </si>
  <si>
    <t>Agreegate number of Nurserer in each year</t>
  </si>
  <si>
    <t>"Agreegate number of Nurserer in each year" are the active owners in each year. Benefits and cost values in a year has been calculated for these owners.</t>
  </si>
  <si>
    <t>Loan amount for individual Nurserer</t>
  </si>
  <si>
    <t>Grant Amount for individual Nurserer</t>
  </si>
  <si>
    <t>Land rent</t>
  </si>
  <si>
    <t>Base line value (individual Nurserer)</t>
  </si>
  <si>
    <t>Every Year (5 cycles in a year)</t>
  </si>
  <si>
    <t>Aggregate Financial Analysis-Crab Nursery</t>
  </si>
  <si>
    <t>Small Crab Sale ($)</t>
  </si>
  <si>
    <t>"No of Nurserer with project closed" has been considered for finding active "Agreegate number of Nurserer in each year"</t>
  </si>
  <si>
    <t>Crablet purchase</t>
  </si>
  <si>
    <t>Per cycle</t>
  </si>
  <si>
    <t>No of cycle in a year</t>
  </si>
  <si>
    <t>Puchase price</t>
  </si>
  <si>
    <t>Sale:</t>
  </si>
  <si>
    <t>Survival rate</t>
  </si>
  <si>
    <t>Base</t>
  </si>
  <si>
    <t>Project Implementation-Fattening</t>
  </si>
  <si>
    <t>No of Fattener</t>
  </si>
  <si>
    <t>No of new Fattener</t>
  </si>
  <si>
    <t>No of Fattener with project closed</t>
  </si>
  <si>
    <t>Agreegate number of Fattener in each year</t>
  </si>
  <si>
    <t>"No of Fatteners with project closed" has been considered for finding active "Agreegate number of Nurserer in each year"</t>
  </si>
  <si>
    <t>"Agreegate number of Fatteners in each year" are the active owners in each year. Benefits and cost values in a year has been calculated for these owners.</t>
  </si>
  <si>
    <t>Loan amount for individual Fattener</t>
  </si>
  <si>
    <t>Grant Amount for individual Fattener</t>
  </si>
  <si>
    <t>Every Year (2 cycles in a year)</t>
  </si>
  <si>
    <t>Base line value (individual Fattener)</t>
  </si>
  <si>
    <t>Aggregate Financial Analysis-Crab Fattening</t>
  </si>
  <si>
    <t>Crab Sale ($)</t>
  </si>
  <si>
    <t>Impact of climatic change on cost and benefits under BaU situation (Individual Fattener)</t>
  </si>
  <si>
    <t>Impact of climatic change on cost and benefits under BaU situation (Individual Nurserer)</t>
  </si>
  <si>
    <t>From year 01/No significant time for preparation/2 cycles</t>
  </si>
  <si>
    <t>No of goat rearers</t>
  </si>
  <si>
    <t>No of new goat rearers</t>
  </si>
  <si>
    <t>No of goat rearers with project closed</t>
  </si>
  <si>
    <t>Agreegate number of goat rearers in each year</t>
  </si>
  <si>
    <t>No of goat rearers with project closed has been considered for finding active "Agreegate number of Nurserer in each year" and for calculation of residual value</t>
  </si>
  <si>
    <t>"Agreegate number of goat rearers in each year" are the active owners in each year. Benefits and cost values in a year has been calculated for these owners.</t>
  </si>
  <si>
    <t>In the project end (10th Year)</t>
  </si>
  <si>
    <t>Every year</t>
  </si>
  <si>
    <t>Aggregate Financial Analysis_Goat Rearing</t>
  </si>
  <si>
    <t>Goat Sale ($)</t>
  </si>
  <si>
    <t>BaU (Present climate)</t>
  </si>
  <si>
    <t>RCP 4.5 (Moderate climate)</t>
  </si>
  <si>
    <t>RCP 8.5 (Extreme climate)</t>
  </si>
  <si>
    <t>Base Value</t>
  </si>
  <si>
    <t>Impact of present climatic change on base value of cost and benefits under BaU situation (Individual Goat Rearer)</t>
  </si>
  <si>
    <t>Survival rate (Assumed)</t>
  </si>
  <si>
    <t>Probabilty
(Assumed)</t>
  </si>
  <si>
    <t>Price of goat</t>
  </si>
  <si>
    <t>6 month aged</t>
  </si>
  <si>
    <t>8 month aged</t>
  </si>
  <si>
    <t>Male</t>
  </si>
  <si>
    <t>Female</t>
  </si>
  <si>
    <t>Average</t>
  </si>
  <si>
    <t>Note</t>
  </si>
  <si>
    <t>PKSF loan . As per budget.</t>
  </si>
  <si>
    <t>GCF grant. As per budget.</t>
  </si>
  <si>
    <t>Mother Goat Sale ($)</t>
  </si>
  <si>
    <t xml:space="preserve">
The goat rearer usually collects the feed (leaves.etc.) for the goats from nearby areas without incurring any cost.</t>
  </si>
  <si>
    <t>It is assumed that in the project, Male:Female will be 50%:50%</t>
  </si>
  <si>
    <t>Project Implementation-Nursery</t>
  </si>
  <si>
    <t>Kg/Year</t>
  </si>
  <si>
    <t>No of Crab per kg</t>
  </si>
  <si>
    <t>3. Crab Hatchery</t>
  </si>
  <si>
    <t>4. Crab Nursing</t>
  </si>
  <si>
    <t>5. Crab Fattening</t>
  </si>
  <si>
    <t>Individual Project return period is 10 years</t>
  </si>
  <si>
    <t>Number of Goat from second year (from 02 mother goats). Moratality rate adjusted for base case.</t>
  </si>
  <si>
    <t>PKSF loan. As per budget.</t>
  </si>
  <si>
    <t>Per year (02 cycles)</t>
  </si>
  <si>
    <t xml:space="preserve">Fattener provides his/her own labor. So, no external labor is required. </t>
  </si>
  <si>
    <t>No of Farmers</t>
  </si>
  <si>
    <t>No of new Farmers</t>
  </si>
  <si>
    <t>No of Farmers with project closed</t>
  </si>
  <si>
    <t>Agreegate number of Farmers in each year</t>
  </si>
  <si>
    <t>Individual Project return period is 05 years</t>
  </si>
  <si>
    <t>"Agreegate number of Farmers in each year" are the active owners in each year. Benefits and cost values in a year has been calculated for these owners.</t>
  </si>
  <si>
    <t>Vegetable Production</t>
  </si>
  <si>
    <t>kg/Year</t>
  </si>
  <si>
    <t>Price of vegetable</t>
  </si>
  <si>
    <t>$/kg</t>
  </si>
  <si>
    <t>Change in vegetable Price</t>
  </si>
  <si>
    <t>%/Year</t>
  </si>
  <si>
    <t>From year 01</t>
  </si>
  <si>
    <t>No labor will be required because women households will provide their labor.</t>
  </si>
  <si>
    <t>Land Preparation for cultivation (fenching.etc)</t>
  </si>
  <si>
    <t>Organic Fartilizer/Seeds/Saplings etc.</t>
  </si>
  <si>
    <t>Loan amount for individual Farmer</t>
  </si>
  <si>
    <t>Assumed PKSF loan for calculation purpose to provide scenario. As per budget there is no loan.</t>
  </si>
  <si>
    <t>Vegetable sale after own consumption</t>
  </si>
  <si>
    <t xml:space="preserve">Per year </t>
  </si>
  <si>
    <t>Vagetable Sale ($)</t>
  </si>
  <si>
    <t>"No of Farmers with project closed" has been considered for finding active "Agreegate number of Farmers in each year"</t>
  </si>
  <si>
    <t>From Year 02</t>
  </si>
  <si>
    <t>Vegetable sale after own consumption (Year 01)</t>
  </si>
  <si>
    <t>More than 9 years</t>
  </si>
  <si>
    <t>More than 1 years</t>
  </si>
  <si>
    <t>One Time at Startup (02 Goats/average 8 months aged. After 03 years, new 02 mother goats will start breeding, considering these will be produced from the project. The old mother goats will be sold; but this will not affect cashflows to a significant level because 02 new mother goats will be retained in stead of sale.</t>
  </si>
  <si>
    <t>More than 14 years</t>
  </si>
  <si>
    <t>More than 10 years</t>
  </si>
  <si>
    <t>More than 11 years</t>
  </si>
  <si>
    <t>More than 6 years</t>
  </si>
  <si>
    <t>Proposed in FP</t>
  </si>
  <si>
    <t>More than 24 years</t>
  </si>
  <si>
    <t>More than 16 years</t>
  </si>
  <si>
    <t>More than18 years</t>
  </si>
  <si>
    <t>More than 19 years</t>
  </si>
  <si>
    <t>More than 21 years</t>
  </si>
  <si>
    <t>More than 18 years</t>
  </si>
  <si>
    <t>More than 7 years</t>
  </si>
  <si>
    <t>More than 12 years</t>
  </si>
  <si>
    <t>More than 13 years</t>
  </si>
  <si>
    <t>In Year 01. The farmer will sell this lower % of vegetables to meet own need as he just starts the project.</t>
  </si>
  <si>
    <t>Impact of climatic change on cost and benefits under BaU situation (Individual Farmer)</t>
  </si>
  <si>
    <t>Base line value (individual Farmer)</t>
  </si>
  <si>
    <t>Base line value (individual Goat rearer)</t>
  </si>
  <si>
    <t>Per Goat price (considering both male &amp; female goat)</t>
  </si>
  <si>
    <t>02 mother goats/average 4.5 years aged</t>
  </si>
  <si>
    <t>4.5 years aged</t>
  </si>
  <si>
    <t>From year 01/No significant time for preparation. Adjusted for mortality at base case.</t>
  </si>
  <si>
    <t>Project Implementation-Goat Rearing</t>
  </si>
  <si>
    <t>Damage rates under RCP 4.5 &amp; RCP 8.5 have been calculated on the values that have already been adjusted for Damage Rate under BaU.</t>
  </si>
  <si>
    <t>Damage Rate* (Assumed)</t>
  </si>
  <si>
    <t>*Damage Rate (Assumed)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</si>
</sst>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quot;$&quot;#,##0"/>
    <numFmt numFmtId="166" formatCode="#,##0.000"/>
  </numFmts>
  <fonts count="25" x14ac:knownFonts="1">
    <font>
      <sz val="11"/>
      <color theme="1"/>
      <name val="Calibri"/>
      <family val="2"/>
      <scheme val="minor"/>
    </font>
    <font>
      <sz val="11"/>
      <color theme="1"/>
      <name val="Calibri"/>
      <family val="2"/>
      <scheme val="minor"/>
    </font>
    <font>
      <sz val="11"/>
      <color rgb="FF9C5700"/>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1"/>
      <name val="Calibri"/>
      <family val="2"/>
      <scheme val="minor"/>
    </font>
    <font>
      <b/>
      <sz val="20"/>
      <name val="Calibri"/>
      <family val="2"/>
      <scheme val="minor"/>
    </font>
    <font>
      <b/>
      <sz val="11"/>
      <name val="Calibri"/>
      <family val="2"/>
      <scheme val="minor"/>
    </font>
    <font>
      <b/>
      <i/>
      <sz val="11"/>
      <name val="Calibri"/>
      <family val="2"/>
      <scheme val="minor"/>
    </font>
    <font>
      <b/>
      <sz val="18"/>
      <name val="Calibri"/>
      <family val="2"/>
      <scheme val="minor"/>
    </font>
    <font>
      <b/>
      <sz val="12"/>
      <name val="Calibri"/>
      <family val="2"/>
      <scheme val="minor"/>
    </font>
    <font>
      <sz val="11"/>
      <color rgb="FFFF0000"/>
      <name val="Calibri"/>
      <family val="2"/>
      <scheme val="minor"/>
    </font>
    <font>
      <b/>
      <sz val="16"/>
      <color rgb="FFFF0000"/>
      <name val="Calibri"/>
      <family val="2"/>
      <scheme val="minor"/>
    </font>
    <font>
      <b/>
      <u/>
      <sz val="11"/>
      <color theme="1"/>
      <name val="Calibri"/>
      <family val="2"/>
      <scheme val="minor"/>
    </font>
    <font>
      <b/>
      <sz val="11"/>
      <color rgb="FFFF0000"/>
      <name val="Calibri"/>
      <family val="2"/>
      <scheme val="minor"/>
    </font>
    <font>
      <b/>
      <sz val="18"/>
      <color theme="1"/>
      <name val="Calibri"/>
      <family val="2"/>
      <scheme val="minor"/>
    </font>
    <font>
      <sz val="11"/>
      <color theme="4"/>
      <name val="Calibri"/>
      <family val="2"/>
      <scheme val="minor"/>
    </font>
    <font>
      <sz val="11"/>
      <color rgb="FF0070C0"/>
      <name val="Calibri"/>
      <family val="2"/>
      <scheme val="minor"/>
    </font>
    <font>
      <sz val="11"/>
      <color theme="5"/>
      <name val="Calibri"/>
      <family val="2"/>
      <scheme val="minor"/>
    </font>
    <font>
      <sz val="11"/>
      <color rgb="FF00B050"/>
      <name val="Calibri"/>
      <family val="2"/>
      <scheme val="minor"/>
    </font>
    <font>
      <sz val="11"/>
      <color rgb="FF00B0F0"/>
      <name val="Calibri"/>
      <family val="2"/>
      <scheme val="minor"/>
    </font>
    <font>
      <sz val="11"/>
      <color theme="4" tint="-0.249977111117893"/>
      <name val="Calibri"/>
      <family val="2"/>
      <scheme val="minor"/>
    </font>
    <font>
      <b/>
      <sz val="11"/>
      <color theme="4"/>
      <name val="Calibri"/>
      <family val="2"/>
      <scheme val="minor"/>
    </font>
    <font>
      <b/>
      <i/>
      <sz val="11"/>
      <color theme="1"/>
      <name val="Calibri"/>
      <family val="2"/>
      <scheme val="minor"/>
    </font>
  </fonts>
  <fills count="19">
    <fill>
      <patternFill patternType="none"/>
    </fill>
    <fill>
      <patternFill patternType="gray125"/>
    </fill>
    <fill>
      <patternFill patternType="solid">
        <fgColor rgb="FFFFEB9C"/>
      </patternFill>
    </fill>
    <fill>
      <patternFill patternType="solid">
        <fgColor rgb="FFFFFFCC"/>
      </patternFill>
    </fill>
    <fill>
      <patternFill patternType="solid">
        <fgColor theme="5" tint="0.79998168889431442"/>
        <bgColor indexed="65"/>
      </patternFill>
    </fill>
    <fill>
      <patternFill patternType="solid">
        <fgColor theme="5" tint="0.59999389629810485"/>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rgb="FFFF000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theme="7" tint="0.79998168889431442"/>
        <bgColor indexed="64"/>
      </patternFill>
    </fill>
  </fills>
  <borders count="20">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theme="0"/>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15">
    <xf numFmtId="0" fontId="0" fillId="0" borderId="0"/>
    <xf numFmtId="0" fontId="2" fillId="2" borderId="0" applyNumberFormat="0" applyBorder="0" applyAlignment="0" applyProtection="0"/>
    <xf numFmtId="0" fontId="1" fillId="3" borderId="1" applyNumberFormat="0" applyFont="0" applyAlignment="0" applyProtection="0"/>
    <xf numFmtId="0" fontId="1" fillId="4" borderId="0" applyNumberFormat="0" applyBorder="0" applyAlignment="0" applyProtection="0"/>
    <xf numFmtId="0" fontId="1" fillId="5" borderId="0" applyNumberFormat="0" applyBorder="0" applyAlignment="0" applyProtection="0"/>
    <xf numFmtId="0" fontId="4"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4"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289">
    <xf numFmtId="0" fontId="0" fillId="0" borderId="0" xfId="0"/>
    <xf numFmtId="0" fontId="5" fillId="14" borderId="0" xfId="0" applyFont="1" applyFill="1"/>
    <xf numFmtId="0" fontId="5" fillId="0" borderId="2" xfId="0" applyFont="1" applyBorder="1"/>
    <xf numFmtId="0" fontId="5" fillId="0" borderId="0" xfId="0" applyFont="1"/>
    <xf numFmtId="0" fontId="8" fillId="0" borderId="0" xfId="0" applyFont="1" applyAlignment="1">
      <alignment horizontal="center"/>
    </xf>
    <xf numFmtId="0" fontId="5" fillId="0" borderId="2" xfId="2" applyFont="1" applyFill="1" applyBorder="1" applyAlignment="1">
      <alignment horizontal="center" vertical="center"/>
    </xf>
    <xf numFmtId="0" fontId="5" fillId="0" borderId="2" xfId="0" applyFont="1" applyBorder="1" applyAlignment="1">
      <alignment horizontal="left" vertical="center"/>
    </xf>
    <xf numFmtId="0" fontId="5" fillId="0" borderId="2" xfId="2" applyFont="1" applyFill="1" applyBorder="1" applyAlignment="1">
      <alignment horizontal="center" vertical="center" wrapText="1"/>
    </xf>
    <xf numFmtId="0" fontId="5" fillId="0" borderId="0" xfId="0" applyFont="1" applyAlignment="1">
      <alignment horizontal="left" vertical="center"/>
    </xf>
    <xf numFmtId="0" fontId="5" fillId="0" borderId="2" xfId="0" applyFont="1" applyBorder="1" applyAlignment="1">
      <alignment wrapText="1"/>
    </xf>
    <xf numFmtId="0" fontId="5" fillId="0" borderId="0" xfId="0" applyFont="1" applyAlignment="1">
      <alignment wrapText="1"/>
    </xf>
    <xf numFmtId="0" fontId="10" fillId="0" borderId="0" xfId="0" applyFont="1" applyAlignment="1">
      <alignment vertical="center"/>
    </xf>
    <xf numFmtId="0" fontId="8" fillId="0" borderId="2" xfId="0" applyFont="1" applyBorder="1"/>
    <xf numFmtId="0" fontId="8" fillId="0" borderId="0" xfId="0" applyFont="1"/>
    <xf numFmtId="0" fontId="5" fillId="0" borderId="2" xfId="1" applyFont="1" applyFill="1" applyBorder="1" applyAlignment="1">
      <alignment horizontal="center" vertical="center" wrapText="1"/>
    </xf>
    <xf numFmtId="0" fontId="5" fillId="0" borderId="2" xfId="6" applyFont="1" applyFill="1" applyBorder="1" applyAlignment="1">
      <alignment horizontal="center" vertical="center" wrapText="1"/>
    </xf>
    <xf numFmtId="0" fontId="5" fillId="0" borderId="0" xfId="0" applyFont="1" applyAlignment="1">
      <alignment horizontal="center" vertical="center"/>
    </xf>
    <xf numFmtId="0" fontId="5" fillId="0" borderId="2" xfId="0" applyFont="1" applyBorder="1" applyAlignment="1">
      <alignment horizontal="center" vertical="center"/>
    </xf>
    <xf numFmtId="0" fontId="9" fillId="0" borderId="2" xfId="0" applyFont="1" applyBorder="1" applyAlignment="1">
      <alignment horizontal="left" vertical="center"/>
    </xf>
    <xf numFmtId="0" fontId="5" fillId="0" borderId="2" xfId="0" applyFont="1" applyBorder="1" applyAlignment="1">
      <alignment horizontal="left" vertical="center" wrapText="1"/>
    </xf>
    <xf numFmtId="0" fontId="7" fillId="0" borderId="0" xfId="0" applyFont="1" applyAlignment="1">
      <alignment vertical="center"/>
    </xf>
    <xf numFmtId="0" fontId="5" fillId="0" borderId="2" xfId="1" applyFont="1" applyFill="1" applyBorder="1" applyAlignment="1">
      <alignment horizontal="center" vertical="center"/>
    </xf>
    <xf numFmtId="0" fontId="5" fillId="0" borderId="2" xfId="6" applyFont="1" applyFill="1" applyBorder="1" applyAlignment="1">
      <alignment horizontal="center" vertical="center"/>
    </xf>
    <xf numFmtId="0" fontId="10" fillId="0" borderId="0" xfId="0" applyFont="1" applyAlignment="1">
      <alignment vertical="center" wrapText="1"/>
    </xf>
    <xf numFmtId="0" fontId="8" fillId="0" borderId="0" xfId="0" applyFont="1" applyAlignment="1">
      <alignment wrapText="1"/>
    </xf>
    <xf numFmtId="0" fontId="5" fillId="14" borderId="0" xfId="0" applyFont="1" applyFill="1" applyAlignment="1">
      <alignment wrapText="1"/>
    </xf>
    <xf numFmtId="0" fontId="8" fillId="15" borderId="9" xfId="0" applyFont="1" applyFill="1" applyBorder="1" applyAlignment="1">
      <alignment wrapText="1"/>
    </xf>
    <xf numFmtId="0" fontId="8" fillId="15" borderId="2" xfId="0" applyFont="1" applyFill="1" applyBorder="1" applyAlignment="1">
      <alignment wrapText="1"/>
    </xf>
    <xf numFmtId="0" fontId="5" fillId="0" borderId="0" xfId="0" applyFont="1" applyAlignment="1">
      <alignment horizontal="center"/>
    </xf>
    <xf numFmtId="0" fontId="5" fillId="0" borderId="2" xfId="2" applyFont="1" applyFill="1" applyBorder="1" applyAlignment="1">
      <alignment horizontal="center"/>
    </xf>
    <xf numFmtId="0" fontId="5" fillId="0" borderId="2" xfId="2" applyFont="1" applyFill="1" applyBorder="1" applyAlignment="1">
      <alignment horizontal="center" wrapText="1"/>
    </xf>
    <xf numFmtId="0" fontId="5" fillId="0" borderId="2" xfId="3" applyFont="1" applyFill="1" applyBorder="1" applyAlignment="1">
      <alignment horizontal="center" wrapText="1"/>
    </xf>
    <xf numFmtId="0" fontId="10" fillId="0" borderId="0" xfId="0" applyFont="1" applyAlignment="1">
      <alignment horizontal="center" vertical="center"/>
    </xf>
    <xf numFmtId="4" fontId="5" fillId="0" borderId="2" xfId="11" applyNumberFormat="1" applyFont="1" applyFill="1" applyBorder="1" applyAlignment="1">
      <alignment horizontal="center"/>
    </xf>
    <xf numFmtId="4" fontId="5" fillId="0" borderId="0" xfId="0" applyNumberFormat="1" applyFont="1" applyAlignment="1">
      <alignment horizontal="center"/>
    </xf>
    <xf numFmtId="4" fontId="5" fillId="0" borderId="2" xfId="8" applyNumberFormat="1" applyFont="1" applyFill="1" applyBorder="1" applyAlignment="1">
      <alignment horizontal="center"/>
    </xf>
    <xf numFmtId="4" fontId="5" fillId="0" borderId="2" xfId="6" applyNumberFormat="1" applyFont="1" applyFill="1" applyBorder="1" applyAlignment="1">
      <alignment horizontal="center"/>
    </xf>
    <xf numFmtId="4" fontId="8" fillId="15" borderId="2" xfId="5" applyNumberFormat="1" applyFont="1" applyFill="1" applyBorder="1" applyAlignment="1">
      <alignment horizontal="center"/>
    </xf>
    <xf numFmtId="9" fontId="8" fillId="15" borderId="2" xfId="10" applyNumberFormat="1" applyFont="1" applyFill="1" applyBorder="1" applyAlignment="1">
      <alignment horizontal="center"/>
    </xf>
    <xf numFmtId="3" fontId="8" fillId="15" borderId="2" xfId="6" applyNumberFormat="1" applyFont="1" applyFill="1" applyBorder="1" applyAlignment="1">
      <alignment horizontal="center"/>
    </xf>
    <xf numFmtId="4" fontId="8" fillId="0" borderId="2" xfId="9" applyNumberFormat="1" applyFont="1" applyFill="1" applyBorder="1" applyAlignment="1">
      <alignment horizontal="center"/>
    </xf>
    <xf numFmtId="4" fontId="8" fillId="0" borderId="2" xfId="12" applyNumberFormat="1" applyFont="1" applyFill="1" applyBorder="1" applyAlignment="1">
      <alignment horizontal="center"/>
    </xf>
    <xf numFmtId="4" fontId="8" fillId="0" borderId="2" xfId="7" applyNumberFormat="1" applyFont="1" applyFill="1" applyBorder="1" applyAlignment="1">
      <alignment horizontal="center"/>
    </xf>
    <xf numFmtId="4" fontId="8" fillId="0" borderId="0" xfId="0" applyNumberFormat="1" applyFont="1" applyAlignment="1">
      <alignment horizontal="center"/>
    </xf>
    <xf numFmtId="0" fontId="8" fillId="0" borderId="0" xfId="0" applyFont="1" applyAlignment="1">
      <alignment horizontal="center" wrapText="1"/>
    </xf>
    <xf numFmtId="0" fontId="5" fillId="14" borderId="0" xfId="0" applyFont="1" applyFill="1" applyAlignment="1">
      <alignment horizontal="center"/>
    </xf>
    <xf numFmtId="0" fontId="3" fillId="0" borderId="2" xfId="0" applyFont="1" applyBorder="1"/>
    <xf numFmtId="0" fontId="3" fillId="0" borderId="0" xfId="0" applyFont="1"/>
    <xf numFmtId="0" fontId="0" fillId="0" borderId="6" xfId="0" applyBorder="1"/>
    <xf numFmtId="164" fontId="0" fillId="0" borderId="0" xfId="0" applyNumberFormat="1"/>
    <xf numFmtId="0" fontId="0" fillId="0" borderId="8" xfId="0" applyBorder="1"/>
    <xf numFmtId="0" fontId="0" fillId="0" borderId="2" xfId="0" applyBorder="1"/>
    <xf numFmtId="0" fontId="0" fillId="0" borderId="7" xfId="0" applyBorder="1"/>
    <xf numFmtId="4" fontId="12" fillId="0" borderId="2" xfId="8" applyNumberFormat="1" applyFont="1" applyFill="1" applyBorder="1" applyAlignment="1">
      <alignment horizontal="center"/>
    </xf>
    <xf numFmtId="0" fontId="12" fillId="0" borderId="0" xfId="0" applyFont="1"/>
    <xf numFmtId="164" fontId="6" fillId="0" borderId="0" xfId="0" applyNumberFormat="1" applyFont="1"/>
    <xf numFmtId="0" fontId="12" fillId="0" borderId="2" xfId="0" applyFont="1" applyBorder="1" applyAlignment="1">
      <alignment wrapText="1"/>
    </xf>
    <xf numFmtId="0" fontId="3" fillId="0" borderId="2" xfId="0" applyFont="1" applyBorder="1" applyAlignment="1">
      <alignment horizontal="center"/>
    </xf>
    <xf numFmtId="0" fontId="13" fillId="0" borderId="2" xfId="0" applyFont="1" applyBorder="1"/>
    <xf numFmtId="165" fontId="3" fillId="0" borderId="0" xfId="0" applyNumberFormat="1" applyFont="1" applyAlignment="1">
      <alignment horizontal="center"/>
    </xf>
    <xf numFmtId="9" fontId="3" fillId="0" borderId="0" xfId="0" applyNumberFormat="1" applyFont="1" applyAlignment="1">
      <alignment horizontal="center"/>
    </xf>
    <xf numFmtId="1" fontId="3" fillId="0" borderId="0" xfId="0" applyNumberFormat="1" applyFont="1" applyAlignment="1">
      <alignment horizontal="center" vertical="center"/>
    </xf>
    <xf numFmtId="165" fontId="0" fillId="0" borderId="2" xfId="0" applyNumberFormat="1" applyBorder="1" applyAlignment="1">
      <alignment horizontal="center"/>
    </xf>
    <xf numFmtId="9" fontId="0" fillId="0" borderId="2" xfId="0" applyNumberFormat="1" applyBorder="1" applyAlignment="1">
      <alignment horizontal="center"/>
    </xf>
    <xf numFmtId="1" fontId="0" fillId="0" borderId="2" xfId="0" applyNumberFormat="1" applyBorder="1" applyAlignment="1">
      <alignment horizontal="center" vertical="center"/>
    </xf>
    <xf numFmtId="9" fontId="0" fillId="0" borderId="2" xfId="0" applyNumberFormat="1" applyBorder="1"/>
    <xf numFmtId="0" fontId="5" fillId="17" borderId="0" xfId="0" applyFont="1" applyFill="1" applyAlignment="1">
      <alignment horizontal="center" vertical="center"/>
    </xf>
    <xf numFmtId="0" fontId="5" fillId="17" borderId="0" xfId="0" applyFont="1" applyFill="1" applyAlignment="1">
      <alignment vertical="center" wrapText="1"/>
    </xf>
    <xf numFmtId="9" fontId="5" fillId="17" borderId="0" xfId="2" applyNumberFormat="1" applyFont="1" applyFill="1" applyBorder="1" applyAlignment="1">
      <alignment horizontal="center"/>
    </xf>
    <xf numFmtId="9" fontId="12" fillId="0" borderId="2" xfId="0" applyNumberFormat="1" applyFont="1" applyBorder="1" applyAlignment="1">
      <alignment horizontal="center"/>
    </xf>
    <xf numFmtId="0" fontId="0" fillId="0" borderId="2" xfId="0" applyBorder="1" applyAlignment="1">
      <alignment horizontal="center"/>
    </xf>
    <xf numFmtId="9" fontId="0" fillId="0" borderId="2" xfId="13" applyFont="1" applyBorder="1" applyAlignment="1">
      <alignment horizontal="center"/>
    </xf>
    <xf numFmtId="0" fontId="14" fillId="0" borderId="0" xfId="0" applyFont="1"/>
    <xf numFmtId="0" fontId="5" fillId="17" borderId="2" xfId="0" applyFont="1" applyFill="1" applyBorder="1" applyAlignment="1">
      <alignment vertical="center" wrapText="1"/>
    </xf>
    <xf numFmtId="0" fontId="0" fillId="17" borderId="2" xfId="0" applyFill="1" applyBorder="1"/>
    <xf numFmtId="0" fontId="0" fillId="17" borderId="2" xfId="0" applyFill="1" applyBorder="1" applyAlignment="1">
      <alignment horizontal="center"/>
    </xf>
    <xf numFmtId="0" fontId="11" fillId="17" borderId="0" xfId="0" applyFont="1" applyFill="1" applyAlignment="1">
      <alignment horizontal="center" vertical="center" wrapText="1"/>
    </xf>
    <xf numFmtId="4" fontId="11" fillId="17" borderId="0" xfId="0" applyNumberFormat="1" applyFont="1" applyFill="1" applyAlignment="1">
      <alignment horizontal="center" vertical="center"/>
    </xf>
    <xf numFmtId="9" fontId="0" fillId="17" borderId="0" xfId="13" applyFont="1" applyFill="1" applyBorder="1" applyAlignment="1">
      <alignment horizontal="center"/>
    </xf>
    <xf numFmtId="2" fontId="0" fillId="17" borderId="0" xfId="13" applyNumberFormat="1" applyFont="1" applyFill="1" applyBorder="1" applyAlignment="1">
      <alignment horizontal="center"/>
    </xf>
    <xf numFmtId="2" fontId="0" fillId="0" borderId="0" xfId="0" applyNumberFormat="1"/>
    <xf numFmtId="2" fontId="0" fillId="17" borderId="2" xfId="13" applyNumberFormat="1" applyFont="1" applyFill="1" applyBorder="1" applyAlignment="1"/>
    <xf numFmtId="2" fontId="0" fillId="0" borderId="2" xfId="0" applyNumberFormat="1" applyBorder="1"/>
    <xf numFmtId="2" fontId="0" fillId="17" borderId="0" xfId="13" applyNumberFormat="1" applyFont="1" applyFill="1" applyBorder="1" applyAlignment="1"/>
    <xf numFmtId="0" fontId="0" fillId="17" borderId="0" xfId="0" applyFill="1" applyAlignment="1">
      <alignment horizontal="center"/>
    </xf>
    <xf numFmtId="9" fontId="0" fillId="0" borderId="0" xfId="0" applyNumberFormat="1" applyAlignment="1">
      <alignment horizontal="center"/>
    </xf>
    <xf numFmtId="0" fontId="3" fillId="0" borderId="2" xfId="0" applyFont="1" applyBorder="1" applyAlignment="1">
      <alignment vertical="center"/>
    </xf>
    <xf numFmtId="165" fontId="0" fillId="0" borderId="2" xfId="0" applyNumberFormat="1" applyBorder="1" applyAlignment="1">
      <alignment horizontal="center" vertical="center"/>
    </xf>
    <xf numFmtId="9" fontId="0" fillId="0" borderId="2" xfId="0" applyNumberFormat="1" applyBorder="1" applyAlignment="1">
      <alignment horizontal="center" vertical="center"/>
    </xf>
    <xf numFmtId="0" fontId="8" fillId="0" borderId="2" xfId="0" applyFont="1" applyBorder="1" applyAlignment="1">
      <alignment vertical="center"/>
    </xf>
    <xf numFmtId="0" fontId="15" fillId="0" borderId="2" xfId="0" applyFont="1" applyBorder="1"/>
    <xf numFmtId="1" fontId="12" fillId="0" borderId="2" xfId="0" applyNumberFormat="1" applyFont="1" applyBorder="1" applyAlignment="1">
      <alignment horizontal="center" vertical="center"/>
    </xf>
    <xf numFmtId="0" fontId="3" fillId="0" borderId="0" xfId="0" applyFont="1" applyAlignment="1">
      <alignment horizontal="center"/>
    </xf>
    <xf numFmtId="0" fontId="0" fillId="0" borderId="0" xfId="0" applyAlignment="1">
      <alignment vertical="top" wrapText="1"/>
    </xf>
    <xf numFmtId="0" fontId="0" fillId="0" borderId="0" xfId="0" applyAlignment="1">
      <alignment vertical="top"/>
    </xf>
    <xf numFmtId="0" fontId="0" fillId="0" borderId="17" xfId="0" applyBorder="1"/>
    <xf numFmtId="0" fontId="0" fillId="0" borderId="18" xfId="0" applyBorder="1"/>
    <xf numFmtId="0" fontId="0" fillId="0" borderId="2" xfId="0" applyBorder="1" applyAlignment="1">
      <alignment horizontal="center" vertical="center"/>
    </xf>
    <xf numFmtId="43" fontId="0" fillId="0" borderId="0" xfId="14" applyFont="1"/>
    <xf numFmtId="43" fontId="0" fillId="0" borderId="2" xfId="14" applyFont="1" applyBorder="1"/>
    <xf numFmtId="0" fontId="0" fillId="0" borderId="0" xfId="0" applyAlignment="1">
      <alignment horizontal="center"/>
    </xf>
    <xf numFmtId="0" fontId="5" fillId="17" borderId="0" xfId="2" applyFont="1" applyFill="1" applyBorder="1" applyAlignment="1">
      <alignment horizontal="left" vertical="center"/>
    </xf>
    <xf numFmtId="2" fontId="0" fillId="0" borderId="2" xfId="0" applyNumberFormat="1" applyBorder="1" applyAlignment="1">
      <alignment horizontal="center"/>
    </xf>
    <xf numFmtId="0" fontId="0" fillId="18" borderId="2" xfId="0" applyFill="1" applyBorder="1" applyAlignment="1">
      <alignment horizontal="center"/>
    </xf>
    <xf numFmtId="0" fontId="3" fillId="0" borderId="14" xfId="0" applyFont="1" applyBorder="1" applyAlignment="1">
      <alignment horizontal="center"/>
    </xf>
    <xf numFmtId="0" fontId="8" fillId="17" borderId="0" xfId="0" applyFont="1" applyFill="1" applyAlignment="1">
      <alignment vertical="center" wrapText="1"/>
    </xf>
    <xf numFmtId="9" fontId="0" fillId="16" borderId="2" xfId="13" applyFont="1" applyFill="1" applyBorder="1" applyAlignment="1">
      <alignment horizontal="center"/>
    </xf>
    <xf numFmtId="0" fontId="0" fillId="16" borderId="2" xfId="0" applyFill="1" applyBorder="1" applyAlignment="1">
      <alignment horizontal="center"/>
    </xf>
    <xf numFmtId="0" fontId="8" fillId="17" borderId="0" xfId="0" applyFont="1" applyFill="1"/>
    <xf numFmtId="0" fontId="5" fillId="0" borderId="0" xfId="2" applyFont="1" applyFill="1" applyBorder="1" applyAlignment="1">
      <alignment horizontal="center"/>
    </xf>
    <xf numFmtId="0" fontId="5" fillId="0" borderId="0" xfId="3" applyFont="1" applyFill="1" applyBorder="1" applyAlignment="1">
      <alignment horizontal="left" wrapText="1"/>
    </xf>
    <xf numFmtId="9" fontId="5" fillId="16" borderId="2" xfId="2" applyNumberFormat="1" applyFont="1" applyFill="1" applyBorder="1" applyAlignment="1">
      <alignment horizontal="center"/>
    </xf>
    <xf numFmtId="2" fontId="0" fillId="17" borderId="2" xfId="0" applyNumberFormat="1" applyFill="1" applyBorder="1"/>
    <xf numFmtId="9" fontId="0" fillId="0" borderId="0" xfId="13" applyFont="1" applyBorder="1" applyAlignment="1">
      <alignment horizontal="center"/>
    </xf>
    <xf numFmtId="0" fontId="0" fillId="17" borderId="0" xfId="0" applyFill="1"/>
    <xf numFmtId="9" fontId="0" fillId="17" borderId="2" xfId="0" applyNumberFormat="1" applyFill="1" applyBorder="1" applyAlignment="1">
      <alignment horizontal="center"/>
    </xf>
    <xf numFmtId="9" fontId="0" fillId="17" borderId="0" xfId="0" applyNumberFormat="1" applyFill="1" applyAlignment="1">
      <alignment horizontal="center"/>
    </xf>
    <xf numFmtId="10" fontId="0" fillId="0" borderId="2" xfId="13" applyNumberFormat="1" applyFont="1" applyBorder="1" applyAlignment="1">
      <alignment horizontal="center"/>
    </xf>
    <xf numFmtId="0" fontId="0" fillId="0" borderId="2" xfId="0" applyBorder="1" applyAlignment="1">
      <alignment wrapText="1"/>
    </xf>
    <xf numFmtId="0" fontId="0" fillId="0" borderId="2" xfId="0" applyBorder="1" applyAlignment="1">
      <alignment horizontal="center" vertical="center" wrapText="1"/>
    </xf>
    <xf numFmtId="164" fontId="0" fillId="0" borderId="2" xfId="0" applyNumberFormat="1" applyBorder="1" applyAlignment="1">
      <alignment horizontal="center"/>
    </xf>
    <xf numFmtId="4" fontId="1" fillId="16" borderId="2" xfId="2" applyNumberFormat="1" applyFont="1" applyFill="1" applyBorder="1" applyAlignment="1">
      <alignment horizontal="center"/>
    </xf>
    <xf numFmtId="4" fontId="5" fillId="16" borderId="2" xfId="2" applyNumberFormat="1" applyFont="1" applyFill="1" applyBorder="1" applyAlignment="1">
      <alignment horizontal="center"/>
    </xf>
    <xf numFmtId="166" fontId="5" fillId="16" borderId="2" xfId="2" applyNumberFormat="1" applyFont="1" applyFill="1" applyBorder="1" applyAlignment="1">
      <alignment horizontal="center"/>
    </xf>
    <xf numFmtId="10" fontId="5" fillId="16" borderId="2" xfId="2" applyNumberFormat="1" applyFont="1" applyFill="1" applyBorder="1" applyAlignment="1">
      <alignment horizontal="center"/>
    </xf>
    <xf numFmtId="0" fontId="5" fillId="0" borderId="9" xfId="0" applyFont="1" applyBorder="1" applyAlignment="1">
      <alignment wrapText="1"/>
    </xf>
    <xf numFmtId="0" fontId="16" fillId="0" borderId="0" xfId="0" applyFont="1" applyAlignment="1">
      <alignment vertical="center"/>
    </xf>
    <xf numFmtId="0" fontId="8" fillId="0" borderId="2" xfId="0" applyFont="1" applyBorder="1" applyAlignment="1">
      <alignment wrapText="1"/>
    </xf>
    <xf numFmtId="4" fontId="0" fillId="0" borderId="2" xfId="0" applyNumberFormat="1" applyBorder="1" applyAlignment="1">
      <alignment horizontal="center"/>
    </xf>
    <xf numFmtId="166" fontId="0" fillId="0" borderId="2" xfId="0" applyNumberFormat="1" applyBorder="1" applyAlignment="1">
      <alignment horizontal="center"/>
    </xf>
    <xf numFmtId="0" fontId="5" fillId="17" borderId="2" xfId="0" applyFont="1" applyFill="1" applyBorder="1" applyAlignment="1">
      <alignment horizontal="center"/>
    </xf>
    <xf numFmtId="0" fontId="17" fillId="0" borderId="2" xfId="0" applyFont="1" applyBorder="1" applyAlignment="1">
      <alignment wrapText="1"/>
    </xf>
    <xf numFmtId="0" fontId="18" fillId="0" borderId="2" xfId="0" applyFont="1" applyBorder="1" applyAlignment="1">
      <alignment horizontal="center" vertical="center"/>
    </xf>
    <xf numFmtId="4" fontId="18" fillId="0" borderId="2" xfId="0" applyNumberFormat="1" applyFont="1" applyBorder="1" applyAlignment="1">
      <alignment horizontal="center"/>
    </xf>
    <xf numFmtId="9" fontId="18" fillId="0" borderId="2" xfId="0" applyNumberFormat="1" applyFont="1" applyBorder="1" applyAlignment="1">
      <alignment horizontal="center"/>
    </xf>
    <xf numFmtId="2" fontId="18" fillId="0" borderId="2" xfId="0" applyNumberFormat="1" applyFont="1" applyBorder="1" applyAlignment="1">
      <alignment horizontal="center"/>
    </xf>
    <xf numFmtId="9" fontId="18" fillId="0" borderId="2" xfId="13" applyFont="1" applyBorder="1" applyAlignment="1">
      <alignment horizontal="center"/>
    </xf>
    <xf numFmtId="0" fontId="18" fillId="0" borderId="0" xfId="0" applyFont="1"/>
    <xf numFmtId="166" fontId="18" fillId="0" borderId="2" xfId="0" applyNumberFormat="1" applyFont="1" applyBorder="1" applyAlignment="1">
      <alignment horizontal="center"/>
    </xf>
    <xf numFmtId="0" fontId="19" fillId="0" borderId="2" xfId="0" applyFont="1" applyBorder="1" applyAlignment="1">
      <alignment horizontal="center"/>
    </xf>
    <xf numFmtId="4" fontId="19" fillId="0" borderId="2" xfId="0" applyNumberFormat="1" applyFont="1" applyBorder="1" applyAlignment="1">
      <alignment horizontal="center"/>
    </xf>
    <xf numFmtId="0" fontId="19" fillId="0" borderId="0" xfId="0" applyFont="1"/>
    <xf numFmtId="1" fontId="19" fillId="0" borderId="2" xfId="13" applyNumberFormat="1" applyFont="1" applyBorder="1" applyAlignment="1">
      <alignment horizontal="center"/>
    </xf>
    <xf numFmtId="1" fontId="19" fillId="0" borderId="2" xfId="13" applyNumberFormat="1" applyFont="1" applyBorder="1"/>
    <xf numFmtId="9" fontId="5" fillId="17" borderId="2" xfId="2" applyNumberFormat="1" applyFont="1" applyFill="1" applyBorder="1" applyAlignment="1">
      <alignment horizontal="center"/>
    </xf>
    <xf numFmtId="2" fontId="0" fillId="17" borderId="0" xfId="0" applyNumberFormat="1" applyFill="1"/>
    <xf numFmtId="4" fontId="17" fillId="0" borderId="2" xfId="11" applyNumberFormat="1" applyFont="1" applyFill="1" applyBorder="1" applyAlignment="1">
      <alignment horizontal="center"/>
    </xf>
    <xf numFmtId="4" fontId="17" fillId="0" borderId="2" xfId="8" applyNumberFormat="1" applyFont="1" applyFill="1" applyBorder="1" applyAlignment="1">
      <alignment horizontal="center"/>
    </xf>
    <xf numFmtId="4" fontId="20" fillId="0" borderId="0" xfId="0" applyNumberFormat="1" applyFont="1" applyAlignment="1">
      <alignment horizontal="center"/>
    </xf>
    <xf numFmtId="0" fontId="20" fillId="0" borderId="0" xfId="0" applyFont="1"/>
    <xf numFmtId="10" fontId="0" fillId="0" borderId="2" xfId="0" applyNumberFormat="1" applyBorder="1" applyAlignment="1">
      <alignment horizontal="center"/>
    </xf>
    <xf numFmtId="9" fontId="0" fillId="17" borderId="2" xfId="13" applyFont="1" applyFill="1" applyBorder="1" applyAlignment="1">
      <alignment horizontal="center"/>
    </xf>
    <xf numFmtId="0" fontId="5" fillId="16" borderId="2" xfId="2" applyFont="1" applyFill="1" applyBorder="1" applyAlignment="1">
      <alignment horizontal="center"/>
    </xf>
    <xf numFmtId="10" fontId="0" fillId="17" borderId="0" xfId="13" applyNumberFormat="1" applyFont="1" applyFill="1" applyBorder="1" applyAlignment="1">
      <alignment horizontal="center"/>
    </xf>
    <xf numFmtId="164" fontId="0" fillId="17" borderId="0" xfId="0" applyNumberFormat="1" applyFill="1" applyAlignment="1">
      <alignment horizontal="center"/>
    </xf>
    <xf numFmtId="10" fontId="0" fillId="17" borderId="0" xfId="0" applyNumberFormat="1" applyFill="1" applyAlignment="1">
      <alignment horizontal="center"/>
    </xf>
    <xf numFmtId="4" fontId="0" fillId="16" borderId="2" xfId="0" applyNumberFormat="1" applyFill="1" applyBorder="1" applyAlignment="1">
      <alignment horizontal="center"/>
    </xf>
    <xf numFmtId="0" fontId="17" fillId="0" borderId="2" xfId="0" applyFont="1" applyBorder="1" applyAlignment="1">
      <alignment horizontal="center"/>
    </xf>
    <xf numFmtId="4" fontId="1" fillId="0" borderId="2" xfId="8" applyNumberFormat="1" applyFill="1" applyBorder="1" applyAlignment="1">
      <alignment horizontal="center"/>
    </xf>
    <xf numFmtId="9" fontId="5" fillId="16" borderId="2" xfId="13" applyFont="1" applyFill="1" applyBorder="1" applyAlignment="1">
      <alignment horizontal="center"/>
    </xf>
    <xf numFmtId="0" fontId="5" fillId="16" borderId="2" xfId="13" applyNumberFormat="1" applyFont="1" applyFill="1" applyBorder="1" applyAlignment="1">
      <alignment horizontal="center"/>
    </xf>
    <xf numFmtId="0" fontId="5" fillId="17" borderId="0" xfId="13" applyNumberFormat="1" applyFont="1" applyFill="1" applyBorder="1" applyAlignment="1">
      <alignment horizontal="center"/>
    </xf>
    <xf numFmtId="0" fontId="5" fillId="17" borderId="2" xfId="13" applyNumberFormat="1" applyFont="1" applyFill="1" applyBorder="1" applyAlignment="1">
      <alignment horizontal="center"/>
    </xf>
    <xf numFmtId="4" fontId="5" fillId="17" borderId="2" xfId="2" applyNumberFormat="1" applyFont="1" applyFill="1" applyBorder="1" applyAlignment="1">
      <alignment horizontal="center"/>
    </xf>
    <xf numFmtId="10" fontId="0" fillId="17" borderId="2" xfId="13" applyNumberFormat="1" applyFont="1" applyFill="1" applyBorder="1" applyAlignment="1">
      <alignment horizontal="center"/>
    </xf>
    <xf numFmtId="9" fontId="5" fillId="16" borderId="2" xfId="13" applyFont="1" applyFill="1" applyBorder="1" applyAlignment="1">
      <alignment horizontal="center" wrapText="1"/>
    </xf>
    <xf numFmtId="4" fontId="21" fillId="0" borderId="2" xfId="11" applyNumberFormat="1" applyFont="1" applyFill="1" applyBorder="1" applyAlignment="1">
      <alignment horizontal="center"/>
    </xf>
    <xf numFmtId="4" fontId="21" fillId="0" borderId="2" xfId="8" applyNumberFormat="1" applyFont="1" applyFill="1" applyBorder="1" applyAlignment="1">
      <alignment horizontal="center"/>
    </xf>
    <xf numFmtId="0" fontId="22" fillId="0" borderId="2" xfId="0" applyFont="1" applyBorder="1" applyAlignment="1">
      <alignment wrapText="1"/>
    </xf>
    <xf numFmtId="0" fontId="22" fillId="0" borderId="2" xfId="0" applyFont="1" applyBorder="1" applyAlignment="1">
      <alignment horizontal="center" vertical="center"/>
    </xf>
    <xf numFmtId="0" fontId="22" fillId="0" borderId="2" xfId="0" applyFont="1" applyBorder="1" applyAlignment="1">
      <alignment horizontal="center"/>
    </xf>
    <xf numFmtId="0" fontId="0" fillId="0" borderId="9" xfId="0" applyBorder="1" applyAlignment="1">
      <alignment wrapText="1"/>
    </xf>
    <xf numFmtId="43" fontId="0" fillId="0" borderId="0" xfId="14" applyFont="1" applyAlignment="1">
      <alignment horizontal="center"/>
    </xf>
    <xf numFmtId="0" fontId="5" fillId="17" borderId="2" xfId="2" applyFont="1" applyFill="1" applyBorder="1" applyAlignment="1">
      <alignment horizontal="center"/>
    </xf>
    <xf numFmtId="4" fontId="22" fillId="0" borderId="2" xfId="11" applyNumberFormat="1" applyFont="1" applyFill="1" applyBorder="1" applyAlignment="1">
      <alignment horizontal="center"/>
    </xf>
    <xf numFmtId="4" fontId="22" fillId="0" borderId="2" xfId="8" applyNumberFormat="1" applyFont="1" applyFill="1" applyBorder="1" applyAlignment="1">
      <alignment horizontal="center"/>
    </xf>
    <xf numFmtId="0" fontId="5" fillId="0" borderId="9" xfId="3" applyFont="1" applyFill="1" applyBorder="1" applyAlignment="1">
      <alignment horizontal="center" wrapText="1"/>
    </xf>
    <xf numFmtId="0" fontId="5" fillId="0" borderId="10" xfId="3" applyFont="1" applyFill="1" applyBorder="1" applyAlignment="1">
      <alignment horizontal="center" wrapText="1"/>
    </xf>
    <xf numFmtId="0" fontId="5" fillId="0" borderId="5" xfId="3" applyFont="1" applyFill="1" applyBorder="1" applyAlignment="1">
      <alignment horizontal="center" wrapText="1"/>
    </xf>
    <xf numFmtId="0" fontId="5" fillId="16" borderId="2" xfId="2" applyFont="1" applyFill="1" applyBorder="1" applyAlignment="1">
      <alignment horizontal="center" vertical="center" wrapText="1"/>
    </xf>
    <xf numFmtId="9" fontId="5" fillId="16" borderId="2" xfId="2" applyNumberFormat="1" applyFont="1" applyFill="1" applyBorder="1" applyAlignment="1">
      <alignment horizontal="center" vertical="center" wrapText="1"/>
    </xf>
    <xf numFmtId="0" fontId="0" fillId="0" borderId="0" xfId="0" applyAlignment="1">
      <alignment wrapText="1"/>
    </xf>
    <xf numFmtId="0" fontId="0" fillId="0" borderId="2" xfId="13" applyNumberFormat="1" applyFont="1" applyBorder="1" applyAlignment="1">
      <alignment horizontal="center"/>
    </xf>
    <xf numFmtId="9" fontId="22" fillId="0" borderId="2" xfId="0" applyNumberFormat="1" applyFont="1" applyBorder="1" applyAlignment="1">
      <alignment horizontal="center"/>
    </xf>
    <xf numFmtId="2" fontId="5" fillId="0" borderId="2" xfId="3" applyNumberFormat="1" applyFont="1" applyFill="1" applyBorder="1" applyAlignment="1">
      <alignment horizontal="center" wrapText="1"/>
    </xf>
    <xf numFmtId="0" fontId="5" fillId="17" borderId="2" xfId="13" applyNumberFormat="1" applyFont="1" applyFill="1" applyBorder="1" applyAlignment="1">
      <alignment horizontal="center" wrapText="1"/>
    </xf>
    <xf numFmtId="2" fontId="5" fillId="0" borderId="2" xfId="2" applyNumberFormat="1" applyFont="1" applyFill="1" applyBorder="1" applyAlignment="1">
      <alignment horizontal="center" wrapText="1"/>
    </xf>
    <xf numFmtId="0" fontId="3" fillId="17" borderId="0" xfId="0" applyFont="1" applyFill="1" applyAlignment="1">
      <alignment horizontal="center"/>
    </xf>
    <xf numFmtId="2" fontId="0" fillId="0" borderId="9" xfId="0" applyNumberFormat="1" applyBorder="1"/>
    <xf numFmtId="2" fontId="0" fillId="17" borderId="9" xfId="13" applyNumberFormat="1" applyFont="1" applyFill="1" applyBorder="1" applyAlignment="1"/>
    <xf numFmtId="43" fontId="0" fillId="0" borderId="0" xfId="14" applyFont="1" applyBorder="1" applyAlignment="1">
      <alignment horizontal="center"/>
    </xf>
    <xf numFmtId="0" fontId="18" fillId="0" borderId="0" xfId="0" applyFont="1" applyAlignment="1">
      <alignment horizontal="center" vertical="center"/>
    </xf>
    <xf numFmtId="4" fontId="0" fillId="0" borderId="0" xfId="0" applyNumberFormat="1" applyAlignment="1">
      <alignment horizontal="center"/>
    </xf>
    <xf numFmtId="2" fontId="0" fillId="0" borderId="0" xfId="0" applyNumberFormat="1" applyAlignment="1">
      <alignment horizontal="center"/>
    </xf>
    <xf numFmtId="166" fontId="0" fillId="0" borderId="0" xfId="0" applyNumberFormat="1" applyAlignment="1">
      <alignment horizontal="center"/>
    </xf>
    <xf numFmtId="0" fontId="0" fillId="0" borderId="0" xfId="13" applyNumberFormat="1" applyFont="1" applyBorder="1" applyAlignment="1">
      <alignment horizontal="center"/>
    </xf>
    <xf numFmtId="0" fontId="22" fillId="0" borderId="0" xfId="0" applyFont="1" applyAlignment="1">
      <alignment horizontal="center"/>
    </xf>
    <xf numFmtId="2" fontId="22" fillId="0" borderId="2" xfId="0" applyNumberFormat="1" applyFont="1" applyBorder="1" applyAlignment="1">
      <alignment horizontal="center"/>
    </xf>
    <xf numFmtId="0" fontId="5" fillId="17" borderId="2" xfId="2" applyFont="1" applyFill="1" applyBorder="1" applyAlignment="1">
      <alignment horizontal="center" vertical="center" wrapText="1"/>
    </xf>
    <xf numFmtId="0" fontId="5" fillId="17" borderId="2" xfId="2" applyNumberFormat="1" applyFont="1" applyFill="1" applyBorder="1" applyAlignment="1">
      <alignment horizontal="center"/>
    </xf>
    <xf numFmtId="0" fontId="5" fillId="16" borderId="2" xfId="2" applyNumberFormat="1" applyFont="1" applyFill="1" applyBorder="1" applyAlignment="1">
      <alignment horizontal="center"/>
    </xf>
    <xf numFmtId="0" fontId="5" fillId="16" borderId="2" xfId="3" applyNumberFormat="1" applyFont="1" applyFill="1" applyBorder="1" applyAlignment="1">
      <alignment horizontal="center" wrapText="1"/>
    </xf>
    <xf numFmtId="4" fontId="18" fillId="0" borderId="2" xfId="11" applyNumberFormat="1" applyFont="1" applyFill="1" applyBorder="1" applyAlignment="1">
      <alignment horizontal="center"/>
    </xf>
    <xf numFmtId="4" fontId="18" fillId="0" borderId="2" xfId="8" applyNumberFormat="1" applyFont="1" applyFill="1" applyBorder="1" applyAlignment="1">
      <alignment horizontal="center"/>
    </xf>
    <xf numFmtId="4" fontId="1" fillId="0" borderId="2" xfId="11" applyNumberFormat="1" applyFill="1" applyBorder="1" applyAlignment="1">
      <alignment horizontal="center"/>
    </xf>
    <xf numFmtId="2" fontId="5" fillId="17" borderId="2" xfId="2" applyNumberFormat="1" applyFont="1" applyFill="1" applyBorder="1" applyAlignment="1">
      <alignment horizontal="center"/>
    </xf>
    <xf numFmtId="0" fontId="0" fillId="0" borderId="9" xfId="0" applyBorder="1" applyAlignment="1">
      <alignment horizontal="center"/>
    </xf>
    <xf numFmtId="0" fontId="0" fillId="0" borderId="19" xfId="0" applyBorder="1"/>
    <xf numFmtId="0" fontId="5" fillId="16" borderId="2" xfId="2" applyFont="1" applyFill="1" applyBorder="1" applyAlignment="1">
      <alignment horizontal="center" vertical="center"/>
    </xf>
    <xf numFmtId="9" fontId="5" fillId="16" borderId="2" xfId="2" applyNumberFormat="1" applyFont="1" applyFill="1" applyBorder="1" applyAlignment="1">
      <alignment horizontal="center" vertical="center"/>
    </xf>
    <xf numFmtId="166" fontId="18" fillId="0" borderId="0" xfId="0" applyNumberFormat="1" applyFont="1" applyAlignment="1">
      <alignment horizontal="center"/>
    </xf>
    <xf numFmtId="9" fontId="18" fillId="0" borderId="0" xfId="0" applyNumberFormat="1" applyFont="1" applyAlignment="1">
      <alignment horizontal="center"/>
    </xf>
    <xf numFmtId="9" fontId="18" fillId="0" borderId="0" xfId="13" applyFont="1" applyBorder="1" applyAlignment="1">
      <alignment horizontal="center"/>
    </xf>
    <xf numFmtId="43" fontId="0" fillId="0" borderId="2" xfId="14" applyFont="1" applyBorder="1" applyAlignment="1">
      <alignment horizontal="center"/>
    </xf>
    <xf numFmtId="0" fontId="0" fillId="16" borderId="9" xfId="0" applyFill="1" applyBorder="1" applyAlignment="1">
      <alignment horizontal="center"/>
    </xf>
    <xf numFmtId="4" fontId="0" fillId="0" borderId="0" xfId="0" applyNumberFormat="1"/>
    <xf numFmtId="9" fontId="0" fillId="0" borderId="0" xfId="0" applyNumberFormat="1"/>
    <xf numFmtId="4" fontId="5" fillId="0" borderId="0" xfId="3" applyNumberFormat="1" applyFont="1" applyFill="1" applyBorder="1" applyAlignment="1">
      <alignment horizontal="left" wrapText="1"/>
    </xf>
    <xf numFmtId="9" fontId="5" fillId="0" borderId="0" xfId="3" applyNumberFormat="1" applyFont="1" applyFill="1" applyBorder="1" applyAlignment="1">
      <alignment horizontal="left" wrapText="1"/>
    </xf>
    <xf numFmtId="0" fontId="0" fillId="0" borderId="0" xfId="0" applyAlignment="1">
      <alignment vertical="center"/>
    </xf>
    <xf numFmtId="0" fontId="0" fillId="0" borderId="2" xfId="0" applyBorder="1" applyAlignment="1">
      <alignment vertical="center"/>
    </xf>
    <xf numFmtId="9" fontId="0" fillId="16" borderId="2" xfId="13" applyFont="1" applyFill="1" applyBorder="1" applyAlignment="1">
      <alignment horizontal="center" vertical="center"/>
    </xf>
    <xf numFmtId="10" fontId="0" fillId="0" borderId="2" xfId="13" applyNumberFormat="1" applyFont="1" applyBorder="1" applyAlignment="1">
      <alignment horizontal="center" vertical="center"/>
    </xf>
    <xf numFmtId="0" fontId="17" fillId="0" borderId="2" xfId="0" applyFont="1" applyBorder="1"/>
    <xf numFmtId="0" fontId="23" fillId="0" borderId="2" xfId="0" applyFont="1" applyBorder="1" applyAlignment="1">
      <alignment vertical="center"/>
    </xf>
    <xf numFmtId="0" fontId="23" fillId="0" borderId="2" xfId="0" applyFont="1" applyBorder="1"/>
    <xf numFmtId="9" fontId="0" fillId="16" borderId="2" xfId="0" applyNumberFormat="1" applyFill="1" applyBorder="1"/>
    <xf numFmtId="0" fontId="5" fillId="0" borderId="0" xfId="3" applyFont="1" applyFill="1" applyBorder="1" applyAlignment="1">
      <alignment horizontal="center" wrapText="1"/>
    </xf>
    <xf numFmtId="0" fontId="24" fillId="0" borderId="2" xfId="0" applyFont="1" applyBorder="1" applyAlignment="1">
      <alignment horizontal="left" vertical="center"/>
    </xf>
    <xf numFmtId="165" fontId="0" fillId="17" borderId="2" xfId="0" applyNumberFormat="1" applyFill="1" applyBorder="1" applyAlignment="1">
      <alignment horizontal="center"/>
    </xf>
    <xf numFmtId="0" fontId="0" fillId="17" borderId="6" xfId="0" applyFill="1" applyBorder="1"/>
    <xf numFmtId="43" fontId="0" fillId="17" borderId="0" xfId="14" applyFont="1" applyFill="1" applyBorder="1" applyAlignment="1">
      <alignment horizontal="center"/>
    </xf>
    <xf numFmtId="164" fontId="0" fillId="17" borderId="2" xfId="13" applyNumberFormat="1" applyFont="1" applyFill="1" applyBorder="1" applyAlignment="1">
      <alignment horizontal="center"/>
    </xf>
    <xf numFmtId="1" fontId="5" fillId="16" borderId="2" xfId="2" applyNumberFormat="1" applyFont="1" applyFill="1" applyBorder="1" applyAlignment="1">
      <alignment horizontal="center" vertical="center"/>
    </xf>
    <xf numFmtId="0" fontId="6" fillId="0" borderId="2" xfId="0" applyFont="1" applyBorder="1" applyAlignment="1">
      <alignment horizontal="center" vertical="center"/>
    </xf>
    <xf numFmtId="0" fontId="3" fillId="0" borderId="2" xfId="0" applyFont="1" applyBorder="1" applyAlignment="1">
      <alignment horizont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0" fillId="0" borderId="14" xfId="0" applyBorder="1" applyAlignment="1">
      <alignment horizontal="left" wrapText="1"/>
    </xf>
    <xf numFmtId="0" fontId="0" fillId="0" borderId="15" xfId="0" applyBorder="1" applyAlignment="1">
      <alignment horizontal="left"/>
    </xf>
    <xf numFmtId="0" fontId="0" fillId="0" borderId="16" xfId="0" applyBorder="1" applyAlignment="1">
      <alignment horizontal="left"/>
    </xf>
    <xf numFmtId="0" fontId="0" fillId="0" borderId="2" xfId="0" applyBorder="1" applyAlignment="1">
      <alignment horizontal="left" wrapText="1"/>
    </xf>
    <xf numFmtId="0" fontId="0" fillId="0" borderId="2" xfId="0" applyBorder="1" applyAlignment="1">
      <alignment horizontal="left"/>
    </xf>
    <xf numFmtId="0" fontId="6" fillId="0" borderId="4" xfId="0" applyFont="1" applyBorder="1" applyAlignment="1">
      <alignment horizontal="center" vertical="center"/>
    </xf>
    <xf numFmtId="0" fontId="3" fillId="0" borderId="2" xfId="0" applyFont="1" applyBorder="1" applyAlignment="1">
      <alignment horizontal="center" vertical="center"/>
    </xf>
    <xf numFmtId="0" fontId="0" fillId="0" borderId="0" xfId="0" applyAlignment="1">
      <alignment horizont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5" xfId="0" applyFont="1" applyBorder="1" applyAlignment="1">
      <alignment horizontal="center" vertical="center"/>
    </xf>
    <xf numFmtId="0" fontId="1" fillId="0" borderId="9" xfId="3" applyFill="1" applyBorder="1" applyAlignment="1">
      <alignment horizontal="left" wrapText="1"/>
    </xf>
    <xf numFmtId="0" fontId="1" fillId="0" borderId="10" xfId="3" applyFill="1" applyBorder="1" applyAlignment="1">
      <alignment horizontal="left" wrapText="1"/>
    </xf>
    <xf numFmtId="0" fontId="1" fillId="0" borderId="5" xfId="3" applyFill="1" applyBorder="1" applyAlignment="1">
      <alignment horizontal="left" wrapText="1"/>
    </xf>
    <xf numFmtId="0" fontId="5" fillId="0" borderId="9" xfId="3" applyFont="1" applyFill="1" applyBorder="1" applyAlignment="1">
      <alignment horizontal="center" wrapText="1"/>
    </xf>
    <xf numFmtId="0" fontId="5" fillId="0" borderId="10" xfId="3" applyFont="1" applyFill="1" applyBorder="1" applyAlignment="1">
      <alignment horizontal="center" wrapText="1"/>
    </xf>
    <xf numFmtId="0" fontId="5" fillId="0" borderId="5" xfId="3" applyFont="1" applyFill="1" applyBorder="1" applyAlignment="1">
      <alignment horizontal="center" wrapText="1"/>
    </xf>
    <xf numFmtId="0" fontId="5" fillId="0" borderId="2" xfId="3" applyFont="1" applyFill="1" applyBorder="1" applyAlignment="1">
      <alignment horizontal="center" wrapText="1"/>
    </xf>
    <xf numFmtId="0" fontId="5" fillId="0" borderId="9" xfId="3" applyFont="1" applyFill="1" applyBorder="1" applyAlignment="1">
      <alignment horizontal="left" wrapText="1"/>
    </xf>
    <xf numFmtId="0" fontId="5" fillId="0" borderId="10" xfId="3" applyFont="1" applyFill="1" applyBorder="1" applyAlignment="1">
      <alignment horizontal="left" wrapText="1"/>
    </xf>
    <xf numFmtId="0" fontId="5" fillId="0" borderId="5" xfId="3" applyFont="1" applyFill="1" applyBorder="1" applyAlignment="1">
      <alignment horizontal="left" wrapText="1"/>
    </xf>
    <xf numFmtId="0" fontId="5" fillId="0" borderId="2" xfId="4" applyFont="1" applyFill="1" applyBorder="1" applyAlignment="1">
      <alignment horizontal="center" vertical="center"/>
    </xf>
    <xf numFmtId="0" fontId="5" fillId="0" borderId="2" xfId="3" applyFont="1" applyFill="1" applyBorder="1" applyAlignment="1">
      <alignment horizontal="center" vertical="center" wrapText="1"/>
    </xf>
    <xf numFmtId="0" fontId="5" fillId="0" borderId="2" xfId="4" applyFont="1" applyFill="1" applyBorder="1" applyAlignment="1">
      <alignment horizontal="left" vertical="center"/>
    </xf>
    <xf numFmtId="0" fontId="5" fillId="17" borderId="0" xfId="0" applyFont="1" applyFill="1" applyAlignment="1">
      <alignment horizontal="left" vertical="center" wrapText="1"/>
    </xf>
    <xf numFmtId="0" fontId="0" fillId="0" borderId="5" xfId="0" applyBorder="1" applyAlignment="1">
      <alignment horizontal="center"/>
    </xf>
    <xf numFmtId="0" fontId="0" fillId="0" borderId="2" xfId="0" applyBorder="1" applyAlignment="1">
      <alignment horizontal="center"/>
    </xf>
    <xf numFmtId="0" fontId="5" fillId="0" borderId="11" xfId="3" applyFont="1" applyFill="1" applyBorder="1" applyAlignment="1">
      <alignment horizontal="center" vertical="center" wrapText="1"/>
    </xf>
    <xf numFmtId="0" fontId="5" fillId="0" borderId="12" xfId="3" applyFont="1" applyFill="1" applyBorder="1" applyAlignment="1">
      <alignment horizontal="center" vertical="center" wrapText="1"/>
    </xf>
    <xf numFmtId="0" fontId="5" fillId="0" borderId="4" xfId="3" applyFont="1" applyFill="1" applyBorder="1" applyAlignment="1">
      <alignment horizontal="center" vertical="center" wrapText="1"/>
    </xf>
    <xf numFmtId="0" fontId="5" fillId="0" borderId="13" xfId="3" applyFont="1" applyFill="1" applyBorder="1" applyAlignment="1">
      <alignment horizontal="center" vertical="center" wrapText="1"/>
    </xf>
    <xf numFmtId="2" fontId="0" fillId="0" borderId="2" xfId="0" applyNumberFormat="1" applyBorder="1" applyAlignment="1">
      <alignment horizontal="center"/>
    </xf>
    <xf numFmtId="2" fontId="0" fillId="0" borderId="9" xfId="0" applyNumberFormat="1" applyBorder="1" applyAlignment="1">
      <alignment horizontal="center" vertical="top" wrapText="1"/>
    </xf>
    <xf numFmtId="2" fontId="0" fillId="0" borderId="10" xfId="0" applyNumberFormat="1" applyBorder="1" applyAlignment="1">
      <alignment horizontal="center" vertical="top" wrapText="1"/>
    </xf>
    <xf numFmtId="2" fontId="0" fillId="0" borderId="5" xfId="0" applyNumberFormat="1" applyBorder="1" applyAlignment="1">
      <alignment horizontal="center" vertical="top" wrapText="1"/>
    </xf>
    <xf numFmtId="9" fontId="0" fillId="17" borderId="2" xfId="13" applyFont="1" applyFill="1" applyBorder="1" applyAlignment="1">
      <alignment horizontal="left" wrapText="1"/>
    </xf>
    <xf numFmtId="0" fontId="5" fillId="0" borderId="9" xfId="3" applyFont="1" applyFill="1" applyBorder="1" applyAlignment="1">
      <alignment horizontal="center" vertical="center" wrapText="1"/>
    </xf>
    <xf numFmtId="0" fontId="5" fillId="0" borderId="10" xfId="3" applyFont="1" applyFill="1" applyBorder="1" applyAlignment="1">
      <alignment horizontal="center" vertical="center" wrapText="1"/>
    </xf>
    <xf numFmtId="0" fontId="5" fillId="0" borderId="5" xfId="3" applyFont="1" applyFill="1" applyBorder="1" applyAlignment="1">
      <alignment horizontal="center" vertical="center" wrapText="1"/>
    </xf>
    <xf numFmtId="0" fontId="0" fillId="0" borderId="9" xfId="0" applyBorder="1" applyAlignment="1">
      <alignment horizontal="left"/>
    </xf>
    <xf numFmtId="0" fontId="0" fillId="0" borderId="10" xfId="0" applyBorder="1" applyAlignment="1">
      <alignment horizontal="left"/>
    </xf>
    <xf numFmtId="0" fontId="0" fillId="0" borderId="5" xfId="0" applyBorder="1" applyAlignment="1">
      <alignment horizontal="left"/>
    </xf>
    <xf numFmtId="0" fontId="5" fillId="0" borderId="9" xfId="3" applyFont="1" applyFill="1" applyBorder="1" applyAlignment="1">
      <alignment horizontal="left" vertical="center" wrapText="1"/>
    </xf>
    <xf numFmtId="0" fontId="5" fillId="0" borderId="10" xfId="3" applyFont="1" applyFill="1" applyBorder="1" applyAlignment="1">
      <alignment horizontal="left" vertical="center" wrapText="1"/>
    </xf>
    <xf numFmtId="0" fontId="5" fillId="0" borderId="5" xfId="3" applyFont="1" applyFill="1" applyBorder="1" applyAlignment="1">
      <alignment horizontal="left" vertical="center" wrapText="1"/>
    </xf>
    <xf numFmtId="0" fontId="0" fillId="17" borderId="2" xfId="0" applyFill="1" applyBorder="1" applyAlignment="1">
      <alignment horizontal="center" vertical="center"/>
    </xf>
    <xf numFmtId="0" fontId="5" fillId="0" borderId="2" xfId="3" applyFont="1" applyFill="1" applyBorder="1" applyAlignment="1">
      <alignment horizontal="left" wrapText="1"/>
    </xf>
    <xf numFmtId="0" fontId="3" fillId="0" borderId="3" xfId="0" applyFont="1" applyBorder="1" applyAlignment="1">
      <alignment horizontal="left"/>
    </xf>
    <xf numFmtId="0" fontId="3" fillId="0" borderId="0" xfId="0" applyFont="1" applyAlignment="1">
      <alignment horizontal="left"/>
    </xf>
    <xf numFmtId="0" fontId="5" fillId="0" borderId="0" xfId="3" applyFont="1" applyFill="1" applyBorder="1" applyAlignment="1">
      <alignment horizontal="left" wrapText="1"/>
    </xf>
  </cellXfs>
  <cellStyles count="15">
    <cellStyle name="20% - Accent2" xfId="3" builtinId="34"/>
    <cellStyle name="20% - Accent5" xfId="8" builtinId="46"/>
    <cellStyle name="20% - Accent6" xfId="11" builtinId="50"/>
    <cellStyle name="40% - Accent2" xfId="4" builtinId="35"/>
    <cellStyle name="40% - Accent4" xfId="6" builtinId="43"/>
    <cellStyle name="40% - Accent5" xfId="9" builtinId="47"/>
    <cellStyle name="40% - Accent6" xfId="12" builtinId="51"/>
    <cellStyle name="60% - Accent4" xfId="7" builtinId="44"/>
    <cellStyle name="Accent4" xfId="5" builtinId="41"/>
    <cellStyle name="Accent6" xfId="10" builtinId="49"/>
    <cellStyle name="Comma" xfId="14" builtinId="3"/>
    <cellStyle name="Neutral" xfId="1" builtinId="28"/>
    <cellStyle name="Normal" xfId="0" builtinId="0"/>
    <cellStyle name="Note" xfId="2" builtinId="10"/>
    <cellStyle name="Percent" xfId="1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2:L171"/>
  <sheetViews>
    <sheetView showGridLines="0" tabSelected="1" zoomScale="70" zoomScaleNormal="70" workbookViewId="0">
      <selection activeCell="F25" sqref="F25"/>
    </sheetView>
  </sheetViews>
  <sheetFormatPr defaultRowHeight="15" x14ac:dyDescent="0.25"/>
  <cols>
    <col min="1" max="1" width="14.85546875" customWidth="1"/>
    <col min="2" max="2" width="39.7109375" customWidth="1"/>
    <col min="3" max="3" width="14.85546875" customWidth="1"/>
    <col min="4" max="4" width="16.140625" customWidth="1"/>
    <col min="5" max="6" width="15.85546875" customWidth="1"/>
    <col min="7" max="7" width="12.5703125" customWidth="1"/>
    <col min="8" max="8" width="15.7109375" customWidth="1"/>
    <col min="9" max="9" width="23.28515625" customWidth="1"/>
    <col min="10" max="10" width="21.28515625" customWidth="1"/>
    <col min="11" max="11" width="21.42578125" customWidth="1"/>
    <col min="12" max="12" width="53.28515625" customWidth="1"/>
  </cols>
  <sheetData>
    <row r="2" spans="1:12" ht="21" x14ac:dyDescent="0.35">
      <c r="B2" s="58" t="s">
        <v>87</v>
      </c>
    </row>
    <row r="3" spans="1:12" x14ac:dyDescent="0.25">
      <c r="B3" s="50"/>
      <c r="C3" s="50"/>
    </row>
    <row r="4" spans="1:12" ht="18.75" x14ac:dyDescent="0.25">
      <c r="B4" s="234" t="s">
        <v>80</v>
      </c>
      <c r="C4" s="234"/>
      <c r="D4" s="234"/>
      <c r="E4" s="234"/>
      <c r="F4" s="234"/>
      <c r="G4" s="234"/>
      <c r="H4" s="234"/>
      <c r="I4" s="234"/>
      <c r="J4" s="234"/>
      <c r="K4" s="234"/>
      <c r="L4" s="92"/>
    </row>
    <row r="5" spans="1:12" x14ac:dyDescent="0.25">
      <c r="B5" s="236" t="s">
        <v>0</v>
      </c>
      <c r="C5" s="235" t="s">
        <v>1</v>
      </c>
      <c r="D5" s="235"/>
      <c r="E5" s="235"/>
      <c r="F5" s="235" t="s">
        <v>2</v>
      </c>
      <c r="G5" s="235"/>
      <c r="H5" s="235"/>
      <c r="I5" s="235" t="s">
        <v>3</v>
      </c>
      <c r="J5" s="235"/>
      <c r="K5" s="235"/>
    </row>
    <row r="6" spans="1:12" x14ac:dyDescent="0.25">
      <c r="B6" s="237"/>
      <c r="C6" s="57" t="s">
        <v>84</v>
      </c>
      <c r="D6" s="57" t="s">
        <v>82</v>
      </c>
      <c r="E6" s="57" t="s">
        <v>85</v>
      </c>
      <c r="F6" s="57" t="s">
        <v>84</v>
      </c>
      <c r="G6" s="57" t="s">
        <v>82</v>
      </c>
      <c r="H6" s="57" t="s">
        <v>85</v>
      </c>
      <c r="I6" s="57" t="s">
        <v>84</v>
      </c>
      <c r="J6" s="57" t="s">
        <v>82</v>
      </c>
      <c r="K6" s="57" t="s">
        <v>85</v>
      </c>
    </row>
    <row r="7" spans="1:12" x14ac:dyDescent="0.25">
      <c r="B7" s="238"/>
      <c r="C7" s="57" t="s">
        <v>113</v>
      </c>
      <c r="D7" s="57" t="s">
        <v>114</v>
      </c>
      <c r="E7" s="57" t="s">
        <v>115</v>
      </c>
      <c r="F7" s="57" t="s">
        <v>113</v>
      </c>
      <c r="G7" s="57" t="s">
        <v>114</v>
      </c>
      <c r="H7" s="57" t="s">
        <v>115</v>
      </c>
      <c r="I7" s="57" t="s">
        <v>113</v>
      </c>
      <c r="J7" s="57" t="s">
        <v>114</v>
      </c>
      <c r="K7" s="57" t="s">
        <v>115</v>
      </c>
    </row>
    <row r="8" spans="1:12" ht="15.6" customHeight="1" x14ac:dyDescent="0.25">
      <c r="B8" s="86" t="s">
        <v>106</v>
      </c>
      <c r="C8" s="87">
        <f>BaU_Goat!B24</f>
        <v>-51951.157256680563</v>
      </c>
      <c r="D8" s="87">
        <f>'RCP 4.5_Goat'!B24</f>
        <v>-1162565.0152115987</v>
      </c>
      <c r="E8" s="87">
        <f>'RCP 8.5_Goat'!B24</f>
        <v>-1361290.8095890065</v>
      </c>
      <c r="F8" s="88">
        <f>BaU_Goat!B26</f>
        <v>8.8557773908994664E-2</v>
      </c>
      <c r="G8" s="88">
        <f>'RCP 4.5_Goat'!B26</f>
        <v>5.8056380022040388E-2</v>
      </c>
      <c r="H8" s="88">
        <f>'RCP 8.5_Goat'!B26</f>
        <v>5.2679804999793634E-2</v>
      </c>
      <c r="I8" s="64" t="s">
        <v>262</v>
      </c>
      <c r="J8" s="64" t="s">
        <v>262</v>
      </c>
      <c r="K8" s="64" t="s">
        <v>262</v>
      </c>
      <c r="L8" s="93"/>
    </row>
    <row r="9" spans="1:12" ht="18" customHeight="1" x14ac:dyDescent="0.25">
      <c r="A9" s="223" t="s">
        <v>266</v>
      </c>
      <c r="B9" s="224" t="s">
        <v>105</v>
      </c>
      <c r="C9" s="87">
        <f>BaU_Goat!B54</f>
        <v>2309725.8283812432</v>
      </c>
      <c r="D9" s="87">
        <f>'RCP 4.5_Goat'!B54</f>
        <v>1199111.970426325</v>
      </c>
      <c r="E9" s="87">
        <f>'RCP 8.5_Goat'!B54</f>
        <v>1000386.1760489163</v>
      </c>
      <c r="F9" s="88">
        <f>BaU_Goat!B56</f>
        <v>0.16852309923599251</v>
      </c>
      <c r="G9" s="88">
        <f>'RCP 4.5_Goat'!B56</f>
        <v>0.13020036796674805</v>
      </c>
      <c r="H9" s="88">
        <f>'RCP 8.5_Goat'!B56</f>
        <v>0.12343933206665936</v>
      </c>
      <c r="I9" s="64" t="s">
        <v>259</v>
      </c>
      <c r="J9" s="64" t="s">
        <v>263</v>
      </c>
      <c r="K9" s="64" t="s">
        <v>264</v>
      </c>
      <c r="L9" s="93"/>
    </row>
    <row r="10" spans="1:12" ht="15" customHeight="1" x14ac:dyDescent="0.25">
      <c r="B10" s="89" t="s">
        <v>111</v>
      </c>
      <c r="C10" s="87">
        <f>BaU_Goat!B85</f>
        <v>5472686.0770034613</v>
      </c>
      <c r="D10" s="87">
        <f>'RCP 4.5_Goat'!B85</f>
        <v>4362072.2190485438</v>
      </c>
      <c r="E10" s="87">
        <f>'RCP 8.5_Goat'!B85</f>
        <v>4163346.4246711349</v>
      </c>
      <c r="F10" s="88">
        <f>BaU_Goat!B87</f>
        <v>0.35271974454405686</v>
      </c>
      <c r="G10" s="88">
        <f>'RCP 4.5_Goat'!B87</f>
        <v>0.29621415497287429</v>
      </c>
      <c r="H10" s="88">
        <f>'RCP 8.5_Goat'!B87</f>
        <v>0.28616118745334762</v>
      </c>
      <c r="I10" s="64" t="s">
        <v>265</v>
      </c>
      <c r="J10" s="64" t="s">
        <v>265</v>
      </c>
      <c r="K10" s="64" t="s">
        <v>265</v>
      </c>
      <c r="L10" s="93"/>
    </row>
    <row r="11" spans="1:12" x14ac:dyDescent="0.25">
      <c r="B11" s="47"/>
      <c r="C11" s="59"/>
      <c r="D11" s="59"/>
      <c r="E11" s="59"/>
      <c r="F11" s="60"/>
      <c r="G11" s="60"/>
      <c r="H11" s="60"/>
      <c r="I11" s="61"/>
      <c r="J11" s="61"/>
      <c r="K11" s="61"/>
    </row>
    <row r="12" spans="1:12" x14ac:dyDescent="0.25">
      <c r="B12" s="52"/>
      <c r="C12" s="48"/>
      <c r="D12" s="48"/>
      <c r="E12" s="48"/>
      <c r="F12" s="48"/>
      <c r="G12" s="48"/>
      <c r="H12" s="48"/>
      <c r="I12" s="48"/>
      <c r="J12" s="48"/>
    </row>
    <row r="13" spans="1:12" x14ac:dyDescent="0.25">
      <c r="B13" s="207"/>
      <c r="C13" s="50"/>
      <c r="D13" s="48"/>
      <c r="E13" s="48"/>
      <c r="F13" s="48"/>
      <c r="G13" s="48"/>
      <c r="H13" s="48"/>
      <c r="I13" s="48"/>
      <c r="J13" s="48"/>
    </row>
    <row r="14" spans="1:12" ht="21" x14ac:dyDescent="0.35">
      <c r="B14" s="58" t="s">
        <v>88</v>
      </c>
      <c r="C14" s="51"/>
    </row>
    <row r="15" spans="1:12" ht="18.75" x14ac:dyDescent="0.3">
      <c r="B15" s="55"/>
    </row>
    <row r="16" spans="1:12" ht="18.75" x14ac:dyDescent="0.25">
      <c r="B16" s="234" t="s">
        <v>80</v>
      </c>
      <c r="C16" s="234"/>
      <c r="D16" s="234"/>
      <c r="E16" s="234"/>
      <c r="F16" s="234"/>
      <c r="G16" s="234"/>
      <c r="H16" s="234"/>
      <c r="I16" s="234"/>
      <c r="J16" s="234"/>
      <c r="K16" s="234"/>
    </row>
    <row r="17" spans="1:12" x14ac:dyDescent="0.25">
      <c r="B17" s="236" t="s">
        <v>0</v>
      </c>
      <c r="C17" s="235" t="s">
        <v>1</v>
      </c>
      <c r="D17" s="235"/>
      <c r="E17" s="235"/>
      <c r="F17" s="235" t="s">
        <v>2</v>
      </c>
      <c r="G17" s="235"/>
      <c r="H17" s="235"/>
      <c r="I17" s="235" t="s">
        <v>3</v>
      </c>
      <c r="J17" s="235"/>
      <c r="K17" s="235"/>
    </row>
    <row r="18" spans="1:12" x14ac:dyDescent="0.25">
      <c r="B18" s="237"/>
      <c r="C18" s="57" t="s">
        <v>84</v>
      </c>
      <c r="D18" s="57" t="s">
        <v>82</v>
      </c>
      <c r="E18" s="57" t="s">
        <v>85</v>
      </c>
      <c r="F18" s="57" t="s">
        <v>84</v>
      </c>
      <c r="G18" s="57" t="s">
        <v>82</v>
      </c>
      <c r="H18" s="57" t="s">
        <v>85</v>
      </c>
      <c r="I18" s="57" t="s">
        <v>84</v>
      </c>
      <c r="J18" s="57" t="s">
        <v>82</v>
      </c>
      <c r="K18" s="57" t="s">
        <v>85</v>
      </c>
    </row>
    <row r="19" spans="1:12" x14ac:dyDescent="0.25">
      <c r="B19" s="238"/>
      <c r="C19" s="57" t="s">
        <v>113</v>
      </c>
      <c r="D19" s="57" t="s">
        <v>114</v>
      </c>
      <c r="E19" s="57" t="s">
        <v>115</v>
      </c>
      <c r="F19" s="57" t="s">
        <v>113</v>
      </c>
      <c r="G19" s="57" t="s">
        <v>114</v>
      </c>
      <c r="H19" s="57" t="s">
        <v>115</v>
      </c>
      <c r="I19" s="57" t="s">
        <v>113</v>
      </c>
      <c r="J19" s="57" t="s">
        <v>114</v>
      </c>
      <c r="K19" s="57" t="s">
        <v>115</v>
      </c>
    </row>
    <row r="20" spans="1:12" x14ac:dyDescent="0.25">
      <c r="B20" s="46" t="str">
        <f>B8</f>
        <v>Without GCF (No grant/100% PKSF loan)</v>
      </c>
      <c r="C20" s="62">
        <f>BaU_Vegetables!B19</f>
        <v>-939211.19983040087</v>
      </c>
      <c r="D20" s="62">
        <f>'RCP 4.5_Vegetables '!B19</f>
        <v>-954994.47831501812</v>
      </c>
      <c r="E20" s="62">
        <f>'RCP 8.5_Vegetables'!B19</f>
        <v>-966356.72261277481</v>
      </c>
      <c r="F20" s="63" t="e">
        <f>BaU_Vegetables!B21</f>
        <v>#NUM!</v>
      </c>
      <c r="G20" s="63" t="e">
        <f>'RCP 4.5_Vegetables '!B21</f>
        <v>#NUM!</v>
      </c>
      <c r="H20" s="63" t="e">
        <f>'RCP 8.5_Vegetables'!B21</f>
        <v>#NUM!</v>
      </c>
      <c r="I20" s="64" t="s">
        <v>259</v>
      </c>
      <c r="J20" s="64" t="s">
        <v>259</v>
      </c>
      <c r="K20" s="64" t="s">
        <v>259</v>
      </c>
    </row>
    <row r="21" spans="1:12" x14ac:dyDescent="0.25">
      <c r="B21" s="46" t="str">
        <f t="shared" ref="B21:B22" si="0">B9</f>
        <v>With GCF (GCF grant+ PKSF Loan)</v>
      </c>
      <c r="C21" s="229">
        <f>BaU_Vegetables!B44</f>
        <v>-453639.60688158509</v>
      </c>
      <c r="D21" s="229">
        <f>'RCP 4.5_Vegetables '!B44</f>
        <v>-469422.88536620245</v>
      </c>
      <c r="E21" s="229">
        <f>'RCP 8.5_Vegetables'!B44</f>
        <v>-480785.1296639592</v>
      </c>
      <c r="F21" s="115" t="e">
        <f>BaU_Vegetables!B46</f>
        <v>#NUM!</v>
      </c>
      <c r="G21" s="115" t="e">
        <f>'RCP 4.5_Vegetables '!B46</f>
        <v>#NUM!</v>
      </c>
      <c r="H21" s="115" t="e">
        <f>'RCP 8.5_Vegetables'!B46</f>
        <v>#NUM!</v>
      </c>
      <c r="I21" s="64" t="s">
        <v>259</v>
      </c>
      <c r="J21" s="64" t="s">
        <v>259</v>
      </c>
      <c r="K21" s="64" t="s">
        <v>259</v>
      </c>
    </row>
    <row r="22" spans="1:12" x14ac:dyDescent="0.25">
      <c r="A22" s="223" t="s">
        <v>266</v>
      </c>
      <c r="B22" s="225" t="str">
        <f t="shared" si="0"/>
        <v>With GCF (100%GCF grant+0%PKSF loan)</v>
      </c>
      <c r="C22" s="229">
        <f>BaU_Vegetables!B70</f>
        <v>31931.986067230649</v>
      </c>
      <c r="D22" s="229">
        <f>'RCP 4.5_Vegetables '!B70</f>
        <v>16148.707582613379</v>
      </c>
      <c r="E22" s="229">
        <f>'RCP 8.5_Vegetables'!B70</f>
        <v>4786.463284856527</v>
      </c>
      <c r="F22" s="115">
        <f>BaU_Vegetables!B72</f>
        <v>0.24446057380309849</v>
      </c>
      <c r="G22" s="115">
        <f>'RCP 4.5_Vegetables '!B72</f>
        <v>0.17006464979704505</v>
      </c>
      <c r="H22" s="115">
        <f>'RCP 8.5_Vegetables'!B72</f>
        <v>0.11425640278757054</v>
      </c>
      <c r="I22" s="64" t="s">
        <v>260</v>
      </c>
      <c r="J22" s="64" t="s">
        <v>260</v>
      </c>
      <c r="K22" s="64" t="s">
        <v>260</v>
      </c>
    </row>
    <row r="23" spans="1:12" x14ac:dyDescent="0.25">
      <c r="B23" s="48"/>
      <c r="C23" s="230"/>
      <c r="D23" s="114"/>
      <c r="E23" s="114"/>
      <c r="F23" s="114"/>
      <c r="G23" s="114"/>
      <c r="H23" s="114"/>
      <c r="K23" s="49"/>
    </row>
    <row r="24" spans="1:12" x14ac:dyDescent="0.25">
      <c r="B24" s="52"/>
      <c r="C24" s="48"/>
      <c r="D24" s="48"/>
      <c r="E24" s="48"/>
      <c r="F24" s="48"/>
      <c r="G24" s="48"/>
      <c r="H24" s="48"/>
      <c r="I24" s="48"/>
      <c r="J24" s="48"/>
      <c r="L24" s="94"/>
    </row>
    <row r="25" spans="1:12" ht="21" x14ac:dyDescent="0.35">
      <c r="B25" s="58" t="s">
        <v>227</v>
      </c>
    </row>
    <row r="26" spans="1:12" x14ac:dyDescent="0.25">
      <c r="B26" s="50"/>
      <c r="C26" s="50"/>
    </row>
    <row r="27" spans="1:12" ht="18.75" x14ac:dyDescent="0.25">
      <c r="B27" s="234" t="s">
        <v>80</v>
      </c>
      <c r="C27" s="234"/>
      <c r="D27" s="234"/>
      <c r="E27" s="234"/>
      <c r="F27" s="234"/>
      <c r="G27" s="234"/>
      <c r="H27" s="234"/>
      <c r="I27" s="234"/>
      <c r="J27" s="234"/>
      <c r="K27" s="234"/>
    </row>
    <row r="28" spans="1:12" x14ac:dyDescent="0.25">
      <c r="B28" s="245" t="s">
        <v>0</v>
      </c>
      <c r="C28" s="235" t="s">
        <v>1</v>
      </c>
      <c r="D28" s="235"/>
      <c r="E28" s="235"/>
      <c r="F28" s="235" t="s">
        <v>2</v>
      </c>
      <c r="G28" s="235"/>
      <c r="H28" s="235"/>
      <c r="I28" s="235" t="s">
        <v>3</v>
      </c>
      <c r="J28" s="235"/>
      <c r="K28" s="235"/>
    </row>
    <row r="29" spans="1:12" x14ac:dyDescent="0.25">
      <c r="B29" s="245"/>
      <c r="C29" s="57" t="s">
        <v>84</v>
      </c>
      <c r="D29" s="57" t="s">
        <v>82</v>
      </c>
      <c r="E29" s="57" t="s">
        <v>85</v>
      </c>
      <c r="F29" s="57" t="s">
        <v>84</v>
      </c>
      <c r="G29" s="57" t="s">
        <v>82</v>
      </c>
      <c r="H29" s="57" t="s">
        <v>85</v>
      </c>
      <c r="I29" s="57" t="s">
        <v>84</v>
      </c>
      <c r="J29" s="57" t="s">
        <v>82</v>
      </c>
      <c r="K29" s="57" t="s">
        <v>85</v>
      </c>
    </row>
    <row r="30" spans="1:12" x14ac:dyDescent="0.25">
      <c r="B30" s="245"/>
      <c r="C30" s="57" t="s">
        <v>113</v>
      </c>
      <c r="D30" s="57" t="s">
        <v>114</v>
      </c>
      <c r="E30" s="57" t="s">
        <v>115</v>
      </c>
      <c r="F30" s="57" t="s">
        <v>113</v>
      </c>
      <c r="G30" s="57" t="s">
        <v>114</v>
      </c>
      <c r="H30" s="57" t="s">
        <v>115</v>
      </c>
      <c r="I30" s="57" t="s">
        <v>113</v>
      </c>
      <c r="J30" s="57" t="s">
        <v>114</v>
      </c>
      <c r="K30" s="57" t="s">
        <v>115</v>
      </c>
    </row>
    <row r="31" spans="1:12" x14ac:dyDescent="0.25">
      <c r="B31" s="86" t="s">
        <v>106</v>
      </c>
      <c r="C31" s="62">
        <f>BaU_Hatchery!B26</f>
        <v>-262665.74066508148</v>
      </c>
      <c r="D31" s="62">
        <f>'RCP 4.5_Hatchery'!B26</f>
        <v>-361450.23425186909</v>
      </c>
      <c r="E31" s="62">
        <f>'RCP 8.5_Hatchery'!B26</f>
        <v>-442453.94843600655</v>
      </c>
      <c r="F31" s="63">
        <f>'RCP 4.5_Hatchery'!B28</f>
        <v>5.1409868089747013E-2</v>
      </c>
      <c r="G31" s="63">
        <f>'RCP 4.5_Hatchery'!B28</f>
        <v>5.1409868089747013E-2</v>
      </c>
      <c r="H31" s="63">
        <f>'RCP 8.5_Hatchery'!B28</f>
        <v>4.2597008474320353E-2</v>
      </c>
      <c r="I31" s="64" t="s">
        <v>267</v>
      </c>
      <c r="J31" s="64" t="s">
        <v>267</v>
      </c>
      <c r="K31" s="64" t="s">
        <v>267</v>
      </c>
      <c r="L31" s="246"/>
    </row>
    <row r="32" spans="1:12" x14ac:dyDescent="0.25">
      <c r="A32" s="223" t="s">
        <v>266</v>
      </c>
      <c r="B32" s="224" t="s">
        <v>105</v>
      </c>
      <c r="C32" s="62">
        <f>BaU_Hatchery!B58</f>
        <v>227060.03708120971</v>
      </c>
      <c r="D32" s="62">
        <f>'RCP 4.5_Hatchery'!B58</f>
        <v>128275.54349442174</v>
      </c>
      <c r="E32" s="62">
        <f>'RCP 8.5_Hatchery'!B58</f>
        <v>47271.829310284564</v>
      </c>
      <c r="F32" s="63">
        <f>BaU_Hatchery!B60</f>
        <v>0.12335426227935131</v>
      </c>
      <c r="G32" s="63">
        <f>'RCP 4.5_Hatchery'!B60</f>
        <v>0.10881005714507785</v>
      </c>
      <c r="H32" s="63">
        <f>'RCP 8.5_Hatchery'!B60</f>
        <v>9.6924536941986217E-2</v>
      </c>
      <c r="I32" s="64" t="s">
        <v>268</v>
      </c>
      <c r="J32" s="64" t="s">
        <v>269</v>
      </c>
      <c r="K32" s="64" t="s">
        <v>270</v>
      </c>
      <c r="L32" s="246"/>
    </row>
    <row r="33" spans="2:12" x14ac:dyDescent="0.25">
      <c r="B33" s="89" t="s">
        <v>111</v>
      </c>
      <c r="C33" s="62">
        <f>BaU_Hatchery!B91</f>
        <v>618840.6592782425</v>
      </c>
      <c r="D33" s="62">
        <f>'RCP 4.5_Hatchery'!B91</f>
        <v>520056.16569145472</v>
      </c>
      <c r="E33" s="62">
        <f>'RCP 8.5_Hatchery'!B91</f>
        <v>439052.45150731731</v>
      </c>
      <c r="F33" s="63">
        <f>BaU_Hatchery!B93</f>
        <v>0.22474763809099829</v>
      </c>
      <c r="G33" s="63">
        <f>'RCP 4.5_Hatchery'!B93</f>
        <v>0.20220657638461015</v>
      </c>
      <c r="H33" s="63">
        <f>'RCP 8.5_Hatchery'!B93</f>
        <v>0.18408344575573299</v>
      </c>
      <c r="I33" s="64" t="s">
        <v>259</v>
      </c>
      <c r="J33" s="64" t="s">
        <v>263</v>
      </c>
      <c r="K33" s="64" t="s">
        <v>263</v>
      </c>
      <c r="L33" s="246"/>
    </row>
    <row r="34" spans="2:12" hidden="1" x14ac:dyDescent="0.25">
      <c r="B34" s="90" t="s">
        <v>104</v>
      </c>
      <c r="C34" s="235" t="s">
        <v>1</v>
      </c>
      <c r="D34" s="235"/>
      <c r="E34" s="235"/>
      <c r="F34" s="235" t="s">
        <v>2</v>
      </c>
      <c r="G34" s="235"/>
      <c r="H34" s="235"/>
      <c r="I34" s="235" t="s">
        <v>3</v>
      </c>
      <c r="J34" s="235"/>
      <c r="K34" s="235"/>
      <c r="L34" s="57" t="s">
        <v>102</v>
      </c>
    </row>
    <row r="35" spans="2:12" hidden="1" x14ac:dyDescent="0.25">
      <c r="B35" s="90"/>
      <c r="C35" s="57" t="s">
        <v>84</v>
      </c>
      <c r="D35" s="57" t="s">
        <v>82</v>
      </c>
      <c r="E35" s="57" t="s">
        <v>85</v>
      </c>
      <c r="F35" s="57" t="s">
        <v>84</v>
      </c>
      <c r="G35" s="57" t="s">
        <v>82</v>
      </c>
      <c r="H35" s="57" t="s">
        <v>85</v>
      </c>
      <c r="I35" s="57" t="s">
        <v>84</v>
      </c>
      <c r="J35" s="57" t="s">
        <v>82</v>
      </c>
      <c r="K35" s="57" t="s">
        <v>85</v>
      </c>
      <c r="L35" s="51"/>
    </row>
    <row r="36" spans="2:12" hidden="1" x14ac:dyDescent="0.25">
      <c r="B36" s="90"/>
      <c r="C36" s="57" t="s">
        <v>113</v>
      </c>
      <c r="D36" s="57" t="s">
        <v>114</v>
      </c>
      <c r="E36" s="57" t="s">
        <v>115</v>
      </c>
      <c r="F36" s="57" t="s">
        <v>113</v>
      </c>
      <c r="G36" s="57" t="s">
        <v>114</v>
      </c>
      <c r="H36" s="57" t="s">
        <v>115</v>
      </c>
      <c r="I36" s="57" t="s">
        <v>113</v>
      </c>
      <c r="J36" s="57" t="s">
        <v>114</v>
      </c>
      <c r="K36" s="57" t="s">
        <v>115</v>
      </c>
      <c r="L36" s="51"/>
    </row>
    <row r="37" spans="2:12" ht="59.45" hidden="1" customHeight="1" x14ac:dyDescent="0.25">
      <c r="B37" s="86" t="s">
        <v>106</v>
      </c>
      <c r="C37" s="87" t="s">
        <v>103</v>
      </c>
      <c r="D37" s="87" t="s">
        <v>103</v>
      </c>
      <c r="E37" s="87" t="s">
        <v>103</v>
      </c>
      <c r="F37" s="87" t="s">
        <v>110</v>
      </c>
      <c r="G37" s="87" t="s">
        <v>110</v>
      </c>
      <c r="H37" s="87" t="s">
        <v>110</v>
      </c>
      <c r="I37" s="91" t="s">
        <v>112</v>
      </c>
      <c r="J37" s="91" t="s">
        <v>112</v>
      </c>
      <c r="K37" s="91" t="s">
        <v>112</v>
      </c>
      <c r="L37" s="242" t="s">
        <v>117</v>
      </c>
    </row>
    <row r="38" spans="2:12" ht="59.45" hidden="1" customHeight="1" x14ac:dyDescent="0.25">
      <c r="B38" s="86" t="s">
        <v>105</v>
      </c>
      <c r="C38" s="87" t="s">
        <v>107</v>
      </c>
      <c r="D38" s="87" t="s">
        <v>107</v>
      </c>
      <c r="E38" s="87" t="s">
        <v>108</v>
      </c>
      <c r="F38" s="88" t="s">
        <v>109</v>
      </c>
      <c r="G38" s="88" t="s">
        <v>109</v>
      </c>
      <c r="H38" s="87" t="s">
        <v>108</v>
      </c>
      <c r="I38" s="91" t="s">
        <v>116</v>
      </c>
      <c r="J38" s="91" t="s">
        <v>116</v>
      </c>
      <c r="K38" s="91" t="s">
        <v>112</v>
      </c>
      <c r="L38" s="243"/>
    </row>
    <row r="39" spans="2:12" ht="59.45" hidden="1" customHeight="1" x14ac:dyDescent="0.25">
      <c r="B39" s="89" t="s">
        <v>111</v>
      </c>
      <c r="C39" s="87" t="s">
        <v>107</v>
      </c>
      <c r="D39" s="87" t="s">
        <v>107</v>
      </c>
      <c r="E39" s="87" t="s">
        <v>107</v>
      </c>
      <c r="F39" s="88" t="s">
        <v>109</v>
      </c>
      <c r="G39" s="88" t="s">
        <v>109</v>
      </c>
      <c r="H39" s="88" t="s">
        <v>109</v>
      </c>
      <c r="I39" s="91" t="s">
        <v>116</v>
      </c>
      <c r="J39" s="91" t="s">
        <v>116</v>
      </c>
      <c r="K39" s="91" t="s">
        <v>116</v>
      </c>
      <c r="L39" s="243"/>
    </row>
    <row r="42" spans="2:12" ht="21" x14ac:dyDescent="0.35">
      <c r="B42" s="58" t="s">
        <v>228</v>
      </c>
    </row>
    <row r="43" spans="2:12" ht="18.75" hidden="1" x14ac:dyDescent="0.3">
      <c r="B43" s="55" t="s">
        <v>81</v>
      </c>
    </row>
    <row r="44" spans="2:12" ht="18.75" hidden="1" x14ac:dyDescent="0.25">
      <c r="B44" s="244" t="s">
        <v>79</v>
      </c>
      <c r="C44" s="244"/>
      <c r="D44" s="244"/>
      <c r="E44" s="244"/>
      <c r="F44" s="244"/>
      <c r="G44" s="244"/>
      <c r="H44" s="244"/>
      <c r="I44" s="244"/>
      <c r="J44" s="244"/>
      <c r="K44" s="244"/>
    </row>
    <row r="45" spans="2:12" hidden="1" x14ac:dyDescent="0.25">
      <c r="B45" s="245" t="s">
        <v>0</v>
      </c>
      <c r="C45" s="235" t="s">
        <v>1</v>
      </c>
      <c r="D45" s="235"/>
      <c r="E45" s="235"/>
      <c r="F45" s="235" t="s">
        <v>2</v>
      </c>
      <c r="G45" s="235"/>
      <c r="H45" s="235"/>
      <c r="I45" s="235" t="s">
        <v>3</v>
      </c>
      <c r="J45" s="235"/>
      <c r="K45" s="235"/>
    </row>
    <row r="46" spans="2:12" hidden="1" x14ac:dyDescent="0.25">
      <c r="B46" s="245"/>
      <c r="C46" s="57" t="s">
        <v>84</v>
      </c>
      <c r="D46" s="57" t="s">
        <v>82</v>
      </c>
      <c r="E46" s="57" t="s">
        <v>85</v>
      </c>
      <c r="F46" s="57" t="s">
        <v>84</v>
      </c>
      <c r="G46" s="57" t="s">
        <v>82</v>
      </c>
      <c r="H46" s="57" t="s">
        <v>85</v>
      </c>
      <c r="I46" s="57" t="s">
        <v>84</v>
      </c>
      <c r="J46" s="57" t="s">
        <v>82</v>
      </c>
      <c r="K46" s="57" t="s">
        <v>85</v>
      </c>
    </row>
    <row r="47" spans="2:12" hidden="1" x14ac:dyDescent="0.25">
      <c r="B47" s="46" t="s">
        <v>4</v>
      </c>
      <c r="C47" s="62" t="e">
        <f>#REF!</f>
        <v>#REF!</v>
      </c>
      <c r="D47" s="62" t="e">
        <f>#REF!</f>
        <v>#REF!</v>
      </c>
      <c r="E47" s="62" t="e">
        <f>#REF!</f>
        <v>#REF!</v>
      </c>
      <c r="F47" s="63" t="e">
        <f>#REF!</f>
        <v>#REF!</v>
      </c>
      <c r="G47" s="63" t="e">
        <f>#REF!</f>
        <v>#REF!</v>
      </c>
      <c r="H47" s="69" t="e">
        <f>#REF!</f>
        <v>#REF!</v>
      </c>
      <c r="I47" s="64" t="e">
        <f>#REF!</f>
        <v>#REF!</v>
      </c>
      <c r="J47" s="64" t="e">
        <f>#REF!</f>
        <v>#REF!</v>
      </c>
      <c r="K47" s="64" t="e">
        <f>#REF!</f>
        <v>#REF!</v>
      </c>
    </row>
    <row r="48" spans="2:12" hidden="1" x14ac:dyDescent="0.25">
      <c r="B48" s="46" t="s">
        <v>5</v>
      </c>
      <c r="C48" s="62" t="e">
        <f>#REF!</f>
        <v>#REF!</v>
      </c>
      <c r="D48" s="62" t="e">
        <f>#REF!</f>
        <v>#REF!</v>
      </c>
      <c r="E48" s="62" t="e">
        <f>#REF!</f>
        <v>#REF!</v>
      </c>
      <c r="F48" s="63" t="e">
        <f>#REF!</f>
        <v>#REF!</v>
      </c>
      <c r="G48" s="63" t="e">
        <f>#REF!</f>
        <v>#REF!</v>
      </c>
      <c r="H48" s="63" t="e">
        <f>#REF!</f>
        <v>#REF!</v>
      </c>
      <c r="I48" s="64" t="e">
        <f>#REF!</f>
        <v>#REF!</v>
      </c>
      <c r="J48" s="64" t="e">
        <f>#REF!</f>
        <v>#REF!</v>
      </c>
      <c r="K48" s="64" t="e">
        <f>#REF!</f>
        <v>#REF!</v>
      </c>
    </row>
    <row r="49" spans="1:11" hidden="1" x14ac:dyDescent="0.25">
      <c r="B49" s="12" t="s">
        <v>78</v>
      </c>
      <c r="C49" s="62" t="e">
        <f>#REF!</f>
        <v>#REF!</v>
      </c>
      <c r="D49" s="62" t="e">
        <f>#REF!</f>
        <v>#REF!</v>
      </c>
      <c r="E49" s="62" t="e">
        <f>#REF!</f>
        <v>#REF!</v>
      </c>
      <c r="F49" s="63" t="e">
        <f>#REF!</f>
        <v>#REF!</v>
      </c>
      <c r="G49" s="63" t="e">
        <f>#REF!</f>
        <v>#REF!</v>
      </c>
      <c r="H49" s="63" t="e">
        <f>#REF!</f>
        <v>#REF!</v>
      </c>
      <c r="I49" s="64" t="e">
        <f>#REF!</f>
        <v>#REF!</v>
      </c>
      <c r="J49" s="64" t="e">
        <f>#REF!</f>
        <v>#REF!</v>
      </c>
      <c r="K49" s="64" t="e">
        <f>#REF!</f>
        <v>#REF!</v>
      </c>
    </row>
    <row r="50" spans="1:11" hidden="1" x14ac:dyDescent="0.25"/>
    <row r="51" spans="1:11" hidden="1" x14ac:dyDescent="0.25">
      <c r="B51" s="48"/>
      <c r="C51" s="48"/>
      <c r="K51" s="49"/>
    </row>
    <row r="52" spans="1:11" x14ac:dyDescent="0.25">
      <c r="B52" s="48"/>
      <c r="C52" s="48"/>
      <c r="I52" s="49"/>
      <c r="K52" s="49"/>
    </row>
    <row r="53" spans="1:11" x14ac:dyDescent="0.25">
      <c r="B53" s="50"/>
      <c r="C53" s="50"/>
    </row>
    <row r="54" spans="1:11" ht="18.75" x14ac:dyDescent="0.25">
      <c r="B54" s="247" t="s">
        <v>80</v>
      </c>
      <c r="C54" s="248"/>
      <c r="D54" s="248"/>
      <c r="E54" s="248"/>
      <c r="F54" s="248"/>
      <c r="G54" s="248"/>
      <c r="H54" s="248"/>
      <c r="I54" s="248"/>
      <c r="J54" s="248"/>
      <c r="K54" s="249"/>
    </row>
    <row r="55" spans="1:11" x14ac:dyDescent="0.25">
      <c r="B55" s="236" t="s">
        <v>0</v>
      </c>
      <c r="C55" s="235" t="s">
        <v>1</v>
      </c>
      <c r="D55" s="235"/>
      <c r="E55" s="235"/>
      <c r="F55" s="235" t="s">
        <v>2</v>
      </c>
      <c r="G55" s="235"/>
      <c r="H55" s="235"/>
      <c r="I55" s="235" t="s">
        <v>3</v>
      </c>
      <c r="J55" s="235"/>
      <c r="K55" s="235"/>
    </row>
    <row r="56" spans="1:11" x14ac:dyDescent="0.25">
      <c r="B56" s="237"/>
      <c r="C56" s="57" t="s">
        <v>84</v>
      </c>
      <c r="D56" s="57" t="s">
        <v>82</v>
      </c>
      <c r="E56" s="57" t="s">
        <v>85</v>
      </c>
      <c r="F56" s="57" t="s">
        <v>84</v>
      </c>
      <c r="G56" s="57" t="s">
        <v>82</v>
      </c>
      <c r="H56" s="57" t="s">
        <v>85</v>
      </c>
      <c r="I56" s="57" t="s">
        <v>84</v>
      </c>
      <c r="J56" s="57" t="s">
        <v>82</v>
      </c>
      <c r="K56" s="57" t="s">
        <v>85</v>
      </c>
    </row>
    <row r="57" spans="1:11" x14ac:dyDescent="0.25">
      <c r="B57" s="238"/>
      <c r="C57" s="57" t="s">
        <v>113</v>
      </c>
      <c r="D57" s="57" t="s">
        <v>114</v>
      </c>
      <c r="E57" s="57" t="s">
        <v>115</v>
      </c>
      <c r="F57" s="57" t="s">
        <v>113</v>
      </c>
      <c r="G57" s="57" t="s">
        <v>114</v>
      </c>
      <c r="H57" s="57" t="s">
        <v>115</v>
      </c>
      <c r="I57" s="57" t="s">
        <v>113</v>
      </c>
      <c r="J57" s="57" t="s">
        <v>114</v>
      </c>
      <c r="K57" s="57" t="s">
        <v>115</v>
      </c>
    </row>
    <row r="58" spans="1:11" x14ac:dyDescent="0.25">
      <c r="B58" s="86" t="s">
        <v>106</v>
      </c>
      <c r="C58" s="62">
        <f>BaU_Nursery!B22</f>
        <v>-27989.159358463872</v>
      </c>
      <c r="D58" s="62">
        <f>'RCP 4.5_Nursery'!B22</f>
        <v>-173262.41822599227</v>
      </c>
      <c r="E58" s="62">
        <f>'RCP 8.5_Nursery'!B22</f>
        <v>-272350.5731801365</v>
      </c>
      <c r="F58" s="63">
        <f>BaU_Nursery!B24</f>
        <v>8.4984624681674559E-2</v>
      </c>
      <c r="G58" s="65">
        <f>'RCP 4.5_Nursery'!B24</f>
        <v>5.9250638034703762E-2</v>
      </c>
      <c r="H58" s="63">
        <f>'RCP 8.5_Nursery'!B24</f>
        <v>4.1847689875542882E-2</v>
      </c>
      <c r="I58" s="64" t="s">
        <v>267</v>
      </c>
      <c r="J58" s="64" t="s">
        <v>267</v>
      </c>
      <c r="K58" s="64" t="s">
        <v>267</v>
      </c>
    </row>
    <row r="59" spans="1:11" x14ac:dyDescent="0.25">
      <c r="A59" s="223" t="s">
        <v>266</v>
      </c>
      <c r="B59" s="224" t="s">
        <v>105</v>
      </c>
      <c r="C59" s="62">
        <f>BaU_Nursery!B50</f>
        <v>172724.76068190837</v>
      </c>
      <c r="D59" s="62">
        <f>'RCP 4.5_Nursery'!B50</f>
        <v>27451.501814380281</v>
      </c>
      <c r="E59" s="62">
        <f>'RCP 8.5_Nursery'!B50</f>
        <v>-71636.653139764137</v>
      </c>
      <c r="F59" s="63">
        <f>BaU_Nursery!B52</f>
        <v>0.1332566241757549</v>
      </c>
      <c r="G59" s="65">
        <f>'RCP 4.5_Nursery'!B52</f>
        <v>9.6585087839360151E-2</v>
      </c>
      <c r="H59" s="63">
        <f>'RCP 8.5_Nursery'!B52</f>
        <v>7.3216533351125879E-2</v>
      </c>
      <c r="I59" s="64" t="s">
        <v>268</v>
      </c>
      <c r="J59" s="64" t="s">
        <v>271</v>
      </c>
      <c r="K59" s="64" t="s">
        <v>267</v>
      </c>
    </row>
    <row r="60" spans="1:11" x14ac:dyDescent="0.25">
      <c r="B60" s="89" t="s">
        <v>111</v>
      </c>
      <c r="C60" s="62">
        <f>BaU_Nursery!B79</f>
        <v>273081.72070209455</v>
      </c>
      <c r="D60" s="62">
        <f>'RCP 4.5_Nursery'!B79</f>
        <v>127808.46183456642</v>
      </c>
      <c r="E60" s="62">
        <f>'RCP 8.5_Nursery'!B79</f>
        <v>28720.306880421987</v>
      </c>
      <c r="F60" s="63">
        <f>BaU_Nursery!B81</f>
        <v>0.18052562288918339</v>
      </c>
      <c r="G60" s="65">
        <f>'RCP 4.5_Nursery'!B81</f>
        <v>0.12866186107651822</v>
      </c>
      <c r="H60" s="63">
        <f>'RCP 8.5_Nursery'!B81</f>
        <v>9.8273336490084517E-2</v>
      </c>
      <c r="I60" s="64" t="s">
        <v>262</v>
      </c>
      <c r="J60" s="64" t="s">
        <v>272</v>
      </c>
      <c r="K60" s="64" t="s">
        <v>267</v>
      </c>
    </row>
    <row r="61" spans="1:11" x14ac:dyDescent="0.25">
      <c r="B61" s="52"/>
      <c r="C61" s="48"/>
      <c r="D61" s="48"/>
      <c r="E61" s="48"/>
      <c r="F61" s="48"/>
      <c r="G61" s="48"/>
      <c r="H61" s="48"/>
      <c r="I61" s="48"/>
      <c r="J61" s="48"/>
    </row>
    <row r="62" spans="1:11" ht="21" x14ac:dyDescent="0.35">
      <c r="B62" s="58" t="s">
        <v>229</v>
      </c>
    </row>
    <row r="63" spans="1:11" ht="18.75" hidden="1" x14ac:dyDescent="0.3">
      <c r="B63" s="55" t="s">
        <v>81</v>
      </c>
    </row>
    <row r="64" spans="1:11" ht="18.75" hidden="1" x14ac:dyDescent="0.25">
      <c r="B64" s="244" t="s">
        <v>79</v>
      </c>
      <c r="C64" s="244"/>
      <c r="D64" s="244"/>
      <c r="E64" s="244"/>
      <c r="F64" s="244"/>
      <c r="G64" s="244"/>
      <c r="H64" s="244"/>
      <c r="I64" s="244"/>
      <c r="J64" s="244"/>
      <c r="K64" s="244"/>
    </row>
    <row r="65" spans="1:11" hidden="1" x14ac:dyDescent="0.25">
      <c r="B65" s="245" t="s">
        <v>0</v>
      </c>
      <c r="C65" s="235" t="s">
        <v>1</v>
      </c>
      <c r="D65" s="235"/>
      <c r="E65" s="235"/>
      <c r="F65" s="235" t="s">
        <v>2</v>
      </c>
      <c r="G65" s="235"/>
      <c r="H65" s="235"/>
      <c r="I65" s="235" t="s">
        <v>3</v>
      </c>
      <c r="J65" s="235"/>
      <c r="K65" s="235"/>
    </row>
    <row r="66" spans="1:11" hidden="1" x14ac:dyDescent="0.25">
      <c r="B66" s="245"/>
      <c r="C66" s="57" t="s">
        <v>84</v>
      </c>
      <c r="D66" s="57" t="s">
        <v>82</v>
      </c>
      <c r="E66" s="57" t="s">
        <v>85</v>
      </c>
      <c r="F66" s="57" t="s">
        <v>84</v>
      </c>
      <c r="G66" s="57" t="s">
        <v>82</v>
      </c>
      <c r="H66" s="57" t="s">
        <v>85</v>
      </c>
      <c r="I66" s="57" t="s">
        <v>84</v>
      </c>
      <c r="J66" s="57" t="s">
        <v>82</v>
      </c>
      <c r="K66" s="57" t="s">
        <v>85</v>
      </c>
    </row>
    <row r="67" spans="1:11" hidden="1" x14ac:dyDescent="0.25">
      <c r="B67" s="46" t="s">
        <v>4</v>
      </c>
      <c r="C67" s="62" t="e">
        <f>#REF!</f>
        <v>#REF!</v>
      </c>
      <c r="D67" s="62" t="e">
        <f>#REF!</f>
        <v>#REF!</v>
      </c>
      <c r="E67" s="62" t="e">
        <f>#REF!</f>
        <v>#REF!</v>
      </c>
      <c r="F67" s="63" t="e">
        <f>#REF!</f>
        <v>#REF!</v>
      </c>
      <c r="G67" s="63" t="e">
        <f>#REF!</f>
        <v>#REF!</v>
      </c>
      <c r="H67" s="63" t="e">
        <f>#REF!</f>
        <v>#REF!</v>
      </c>
      <c r="I67" s="64" t="e">
        <f>#REF!</f>
        <v>#REF!</v>
      </c>
      <c r="J67" s="64" t="e">
        <f>#REF!</f>
        <v>#REF!</v>
      </c>
      <c r="K67" s="64" t="e">
        <f>#REF!</f>
        <v>#REF!</v>
      </c>
    </row>
    <row r="68" spans="1:11" hidden="1" x14ac:dyDescent="0.25">
      <c r="B68" s="46"/>
      <c r="C68" s="62"/>
      <c r="D68" s="62"/>
      <c r="E68" s="62"/>
      <c r="F68" s="63"/>
      <c r="G68" s="63"/>
      <c r="H68" s="63"/>
      <c r="I68" s="64"/>
      <c r="J68" s="64"/>
      <c r="K68" s="64"/>
    </row>
    <row r="69" spans="1:11" hidden="1" x14ac:dyDescent="0.25">
      <c r="B69" s="12" t="s">
        <v>78</v>
      </c>
      <c r="C69" s="62" t="e">
        <f>#REF!</f>
        <v>#REF!</v>
      </c>
      <c r="D69" s="62" t="e">
        <f>#REF!</f>
        <v>#REF!</v>
      </c>
      <c r="E69" s="62" t="e">
        <f>#REF!</f>
        <v>#REF!</v>
      </c>
      <c r="F69" s="63" t="e">
        <f>#REF!</f>
        <v>#REF!</v>
      </c>
      <c r="G69" s="63" t="e">
        <f>#REF!</f>
        <v>#REF!</v>
      </c>
      <c r="H69" s="63" t="e">
        <f>#REF!</f>
        <v>#REF!</v>
      </c>
      <c r="I69" s="64" t="e">
        <f>#REF!</f>
        <v>#REF!</v>
      </c>
      <c r="J69" s="64" t="e">
        <f>#REF!</f>
        <v>#REF!</v>
      </c>
      <c r="K69" s="64" t="e">
        <f>#REF!</f>
        <v>#REF!</v>
      </c>
    </row>
    <row r="70" spans="1:11" hidden="1" x14ac:dyDescent="0.25">
      <c r="B70" s="46" t="s">
        <v>5</v>
      </c>
      <c r="C70" s="62" t="e">
        <f>#REF!</f>
        <v>#REF!</v>
      </c>
      <c r="D70" s="62" t="e">
        <f>#REF!</f>
        <v>#REF!</v>
      </c>
      <c r="E70" s="62" t="e">
        <f>#REF!</f>
        <v>#REF!</v>
      </c>
      <c r="F70" s="63" t="e">
        <f>#REF!</f>
        <v>#REF!</v>
      </c>
      <c r="G70" s="63" t="e">
        <f>#REF!</f>
        <v>#REF!</v>
      </c>
      <c r="H70" s="63" t="e">
        <f>#REF!</f>
        <v>#REF!</v>
      </c>
      <c r="I70" s="64" t="e">
        <f>#REF!</f>
        <v>#REF!</v>
      </c>
      <c r="J70" s="64" t="e">
        <f>#REF!</f>
        <v>#REF!</v>
      </c>
      <c r="K70" s="64" t="e">
        <f>#REF!</f>
        <v>#REF!</v>
      </c>
    </row>
    <row r="71" spans="1:11" hidden="1" x14ac:dyDescent="0.25">
      <c r="B71" s="48"/>
      <c r="C71" s="48"/>
      <c r="K71" s="49"/>
    </row>
    <row r="72" spans="1:11" hidden="1" x14ac:dyDescent="0.25">
      <c r="B72" s="48"/>
      <c r="C72" s="48"/>
      <c r="I72" s="49"/>
      <c r="K72" s="49"/>
    </row>
    <row r="73" spans="1:11" x14ac:dyDescent="0.25">
      <c r="B73" s="50"/>
      <c r="C73" s="50"/>
    </row>
    <row r="74" spans="1:11" ht="18.75" x14ac:dyDescent="0.25">
      <c r="B74" s="247" t="s">
        <v>80</v>
      </c>
      <c r="C74" s="248"/>
      <c r="D74" s="248"/>
      <c r="E74" s="248"/>
      <c r="F74" s="248"/>
      <c r="G74" s="248"/>
      <c r="H74" s="248"/>
      <c r="I74" s="248"/>
      <c r="J74" s="248"/>
      <c r="K74" s="249"/>
    </row>
    <row r="75" spans="1:11" x14ac:dyDescent="0.25">
      <c r="B75" s="236" t="s">
        <v>0</v>
      </c>
      <c r="C75" s="235" t="s">
        <v>1</v>
      </c>
      <c r="D75" s="235"/>
      <c r="E75" s="235"/>
      <c r="F75" s="235" t="s">
        <v>2</v>
      </c>
      <c r="G75" s="235"/>
      <c r="H75" s="235"/>
      <c r="I75" s="235" t="s">
        <v>3</v>
      </c>
      <c r="J75" s="235"/>
      <c r="K75" s="235"/>
    </row>
    <row r="76" spans="1:11" x14ac:dyDescent="0.25">
      <c r="B76" s="237"/>
      <c r="C76" s="57" t="s">
        <v>84</v>
      </c>
      <c r="D76" s="57" t="s">
        <v>82</v>
      </c>
      <c r="E76" s="57" t="s">
        <v>85</v>
      </c>
      <c r="F76" s="57" t="s">
        <v>84</v>
      </c>
      <c r="G76" s="57" t="s">
        <v>82</v>
      </c>
      <c r="H76" s="57" t="s">
        <v>85</v>
      </c>
      <c r="I76" s="57" t="s">
        <v>84</v>
      </c>
      <c r="J76" s="57" t="s">
        <v>82</v>
      </c>
      <c r="K76" s="57" t="s">
        <v>85</v>
      </c>
    </row>
    <row r="77" spans="1:11" x14ac:dyDescent="0.25">
      <c r="B77" s="238"/>
      <c r="C77" s="57" t="s">
        <v>113</v>
      </c>
      <c r="D77" s="57" t="s">
        <v>114</v>
      </c>
      <c r="E77" s="57" t="s">
        <v>115</v>
      </c>
      <c r="F77" s="57" t="s">
        <v>113</v>
      </c>
      <c r="G77" s="57" t="s">
        <v>114</v>
      </c>
      <c r="H77" s="57" t="s">
        <v>115</v>
      </c>
      <c r="I77" s="57" t="s">
        <v>113</v>
      </c>
      <c r="J77" s="57" t="s">
        <v>114</v>
      </c>
      <c r="K77" s="57" t="s">
        <v>115</v>
      </c>
    </row>
    <row r="78" spans="1:11" x14ac:dyDescent="0.25">
      <c r="B78" s="86" t="s">
        <v>106</v>
      </c>
      <c r="C78" s="62">
        <f>BaU_Fattening!B21</f>
        <v>-728730.43333635048</v>
      </c>
      <c r="D78" s="62">
        <f>'RCP 4.5_Fattening'!B21</f>
        <v>-5126098.6282573752</v>
      </c>
      <c r="E78" s="62">
        <f>'RCP 8.5_Fattening'!B21</f>
        <v>-6094944.2602988854</v>
      </c>
      <c r="F78" s="63">
        <f>BaU_Fattening!B23</f>
        <v>8.3033731913726427E-2</v>
      </c>
      <c r="G78" s="65">
        <f>'RCP 4.5_Fattening'!B23</f>
        <v>3.934794080923254E-2</v>
      </c>
      <c r="H78" s="63">
        <f>'RCP 8.5_Fattening'!B23</f>
        <v>2.9154210083468746E-2</v>
      </c>
      <c r="I78" s="64" t="s">
        <v>267</v>
      </c>
      <c r="J78" s="64" t="s">
        <v>267</v>
      </c>
      <c r="K78" s="64" t="s">
        <v>267</v>
      </c>
    </row>
    <row r="79" spans="1:11" x14ac:dyDescent="0.25">
      <c r="A79" s="223" t="s">
        <v>266</v>
      </c>
      <c r="B79" s="224" t="s">
        <v>105</v>
      </c>
      <c r="C79" s="62">
        <f>BaU_Fattening!B48</f>
        <v>5266466.0949534466</v>
      </c>
      <c r="D79" s="62">
        <f>'RCP 4.5_Fattening'!B48</f>
        <v>869097.900032426</v>
      </c>
      <c r="E79" s="62">
        <f>'RCP 8.5_Fattening'!B48</f>
        <v>-99747.732009089013</v>
      </c>
      <c r="F79" s="63">
        <f>BaU_Fattening!B50</f>
        <v>0.16960362626933212</v>
      </c>
      <c r="G79" s="65">
        <f>'RCP 4.5_Fattening'!B50</f>
        <v>0.10307949012865403</v>
      </c>
      <c r="H79" s="63">
        <f>'RCP 8.5_Fattening'!B50</f>
        <v>8.8494943334344711E-2</v>
      </c>
      <c r="I79" s="64" t="s">
        <v>264</v>
      </c>
      <c r="J79" s="64" t="s">
        <v>272</v>
      </c>
      <c r="K79" s="64" t="s">
        <v>267</v>
      </c>
    </row>
    <row r="80" spans="1:11" x14ac:dyDescent="0.25">
      <c r="B80" s="89" t="s">
        <v>111</v>
      </c>
      <c r="C80" s="62">
        <f>BaU_Fattening!B76</f>
        <v>8363984.301236514</v>
      </c>
      <c r="D80" s="62">
        <f>'RCP 4.5_Fattening'!B76</f>
        <v>3966616.1063154875</v>
      </c>
      <c r="E80" s="62">
        <f>'RCP 8.5_Fattening'!B76</f>
        <v>2997770.474273975</v>
      </c>
      <c r="F80" s="63">
        <f>BaU_Fattening!B78</f>
        <v>0.28865504787104834</v>
      </c>
      <c r="G80" s="65">
        <f>'RCP 4.5_Fattening'!B78</f>
        <v>0.17782784804133245</v>
      </c>
      <c r="H80" s="63">
        <f>'RCP 8.5_Fattening'!B78</f>
        <v>0.15566538695963783</v>
      </c>
      <c r="I80" s="64" t="s">
        <v>273</v>
      </c>
      <c r="J80" s="64" t="s">
        <v>274</v>
      </c>
      <c r="K80" s="64" t="s">
        <v>275</v>
      </c>
    </row>
    <row r="82" spans="2:12" hidden="1" x14ac:dyDescent="0.25">
      <c r="B82" s="90" t="s">
        <v>104</v>
      </c>
      <c r="C82" s="235" t="s">
        <v>1</v>
      </c>
      <c r="D82" s="235"/>
      <c r="E82" s="235"/>
      <c r="F82" s="235" t="s">
        <v>2</v>
      </c>
      <c r="G82" s="235"/>
      <c r="H82" s="235"/>
      <c r="I82" s="235" t="s">
        <v>3</v>
      </c>
      <c r="J82" s="235"/>
      <c r="K82" s="235"/>
      <c r="L82" s="57" t="s">
        <v>102</v>
      </c>
    </row>
    <row r="83" spans="2:12" hidden="1" x14ac:dyDescent="0.25">
      <c r="B83" s="90"/>
      <c r="C83" s="57" t="s">
        <v>84</v>
      </c>
      <c r="D83" s="57" t="s">
        <v>82</v>
      </c>
      <c r="E83" s="57" t="s">
        <v>85</v>
      </c>
      <c r="F83" s="57" t="s">
        <v>84</v>
      </c>
      <c r="G83" s="57" t="s">
        <v>82</v>
      </c>
      <c r="H83" s="57" t="s">
        <v>85</v>
      </c>
      <c r="I83" s="57" t="s">
        <v>84</v>
      </c>
      <c r="J83" s="57" t="s">
        <v>82</v>
      </c>
      <c r="K83" s="57" t="s">
        <v>85</v>
      </c>
      <c r="L83" s="51"/>
    </row>
    <row r="84" spans="2:12" hidden="1" x14ac:dyDescent="0.25">
      <c r="B84" s="90"/>
      <c r="C84" s="57" t="s">
        <v>113</v>
      </c>
      <c r="D84" s="57" t="s">
        <v>114</v>
      </c>
      <c r="E84" s="57" t="s">
        <v>115</v>
      </c>
      <c r="F84" s="57" t="s">
        <v>113</v>
      </c>
      <c r="G84" s="57" t="s">
        <v>114</v>
      </c>
      <c r="H84" s="57" t="s">
        <v>115</v>
      </c>
      <c r="I84" s="57" t="s">
        <v>113</v>
      </c>
      <c r="J84" s="57" t="s">
        <v>114</v>
      </c>
      <c r="K84" s="57" t="s">
        <v>115</v>
      </c>
      <c r="L84" s="51"/>
    </row>
    <row r="85" spans="2:12" ht="57" hidden="1" customHeight="1" x14ac:dyDescent="0.25">
      <c r="B85" s="86" t="s">
        <v>106</v>
      </c>
      <c r="C85" s="87" t="s">
        <v>103</v>
      </c>
      <c r="D85" s="87" t="s">
        <v>103</v>
      </c>
      <c r="E85" s="87" t="s">
        <v>103</v>
      </c>
      <c r="F85" s="87" t="s">
        <v>110</v>
      </c>
      <c r="G85" s="87" t="s">
        <v>110</v>
      </c>
      <c r="H85" s="87" t="s">
        <v>110</v>
      </c>
      <c r="I85" s="91" t="s">
        <v>112</v>
      </c>
      <c r="J85" s="91" t="s">
        <v>112</v>
      </c>
      <c r="K85" s="91" t="s">
        <v>112</v>
      </c>
      <c r="L85" s="239" t="s">
        <v>118</v>
      </c>
    </row>
    <row r="86" spans="2:12" ht="57" hidden="1" customHeight="1" x14ac:dyDescent="0.25">
      <c r="B86" s="86" t="s">
        <v>105</v>
      </c>
      <c r="C86" s="87" t="s">
        <v>107</v>
      </c>
      <c r="D86" s="87" t="s">
        <v>107</v>
      </c>
      <c r="E86" s="87" t="s">
        <v>108</v>
      </c>
      <c r="F86" s="88" t="s">
        <v>109</v>
      </c>
      <c r="G86" s="88" t="s">
        <v>109</v>
      </c>
      <c r="H86" s="87" t="s">
        <v>108</v>
      </c>
      <c r="I86" s="91" t="s">
        <v>116</v>
      </c>
      <c r="J86" s="91" t="s">
        <v>116</v>
      </c>
      <c r="K86" s="91" t="s">
        <v>112</v>
      </c>
      <c r="L86" s="240"/>
    </row>
    <row r="87" spans="2:12" ht="57" hidden="1" customHeight="1" x14ac:dyDescent="0.25">
      <c r="B87" s="89" t="s">
        <v>111</v>
      </c>
      <c r="C87" s="87" t="s">
        <v>107</v>
      </c>
      <c r="D87" s="87" t="s">
        <v>107</v>
      </c>
      <c r="E87" s="87" t="s">
        <v>107</v>
      </c>
      <c r="F87" s="88" t="s">
        <v>109</v>
      </c>
      <c r="G87" s="88" t="s">
        <v>109</v>
      </c>
      <c r="H87" s="88" t="s">
        <v>109</v>
      </c>
      <c r="I87" s="91" t="s">
        <v>116</v>
      </c>
      <c r="J87" s="91" t="s">
        <v>116</v>
      </c>
      <c r="K87" s="91" t="s">
        <v>116</v>
      </c>
      <c r="L87" s="241"/>
    </row>
    <row r="88" spans="2:12" hidden="1" x14ac:dyDescent="0.25">
      <c r="B88" s="95"/>
      <c r="C88" s="96"/>
      <c r="D88" s="96"/>
      <c r="E88" s="96"/>
      <c r="F88" s="96"/>
      <c r="G88" s="96"/>
      <c r="H88" s="96"/>
      <c r="I88" s="96"/>
      <c r="J88" s="96"/>
    </row>
    <row r="89" spans="2:12" hidden="1" x14ac:dyDescent="0.25">
      <c r="B89" s="52"/>
      <c r="C89" s="48"/>
      <c r="D89" s="48"/>
      <c r="E89" s="48"/>
      <c r="F89" s="48"/>
      <c r="G89" s="48"/>
      <c r="H89" s="48"/>
      <c r="I89" s="48"/>
      <c r="J89" s="48"/>
    </row>
    <row r="90" spans="2:12" hidden="1" x14ac:dyDescent="0.25">
      <c r="B90" s="52"/>
      <c r="C90" s="48"/>
      <c r="D90" s="48"/>
      <c r="E90" s="48"/>
      <c r="F90" s="48"/>
      <c r="G90" s="48"/>
      <c r="H90" s="48"/>
      <c r="I90" s="48"/>
      <c r="J90" s="48"/>
    </row>
    <row r="91" spans="2:12" hidden="1" x14ac:dyDescent="0.25">
      <c r="B91" s="52"/>
      <c r="C91" s="48"/>
      <c r="D91" s="48"/>
      <c r="E91" s="48"/>
      <c r="F91" s="48"/>
      <c r="G91" s="48"/>
      <c r="H91" s="48"/>
      <c r="I91" s="48"/>
      <c r="J91" s="48"/>
    </row>
    <row r="92" spans="2:12" hidden="1" x14ac:dyDescent="0.25">
      <c r="B92" s="52"/>
      <c r="C92" s="48"/>
      <c r="D92" s="48"/>
      <c r="E92" s="48"/>
      <c r="F92" s="48"/>
      <c r="G92" s="48"/>
      <c r="H92" s="48"/>
      <c r="I92" s="48"/>
      <c r="J92" s="48"/>
    </row>
    <row r="93" spans="2:12" hidden="1" x14ac:dyDescent="0.25">
      <c r="B93" s="52"/>
      <c r="C93" s="48"/>
      <c r="D93" s="48"/>
      <c r="E93" s="48"/>
      <c r="F93" s="48"/>
      <c r="G93" s="48"/>
      <c r="H93" s="48"/>
      <c r="I93" s="48"/>
      <c r="J93" s="48"/>
    </row>
    <row r="94" spans="2:12" hidden="1" x14ac:dyDescent="0.25">
      <c r="B94" s="52"/>
      <c r="C94" s="48"/>
      <c r="D94" s="48"/>
      <c r="E94" s="48"/>
      <c r="F94" s="48"/>
      <c r="G94" s="48"/>
      <c r="H94" s="48"/>
      <c r="I94" s="48"/>
      <c r="J94" s="48"/>
    </row>
    <row r="95" spans="2:12" x14ac:dyDescent="0.25">
      <c r="B95" s="52"/>
      <c r="C95" s="48"/>
      <c r="D95" s="48"/>
      <c r="E95" s="48"/>
      <c r="F95" s="48"/>
      <c r="G95" s="48"/>
      <c r="H95" s="48"/>
      <c r="I95" s="48"/>
      <c r="J95" s="48"/>
    </row>
    <row r="96" spans="2:12" x14ac:dyDescent="0.25">
      <c r="B96" s="52"/>
      <c r="C96" s="48"/>
      <c r="D96" s="48"/>
      <c r="E96" s="48"/>
      <c r="F96" s="48"/>
      <c r="G96" s="48"/>
      <c r="H96" s="48"/>
      <c r="I96" s="48"/>
      <c r="J96" s="48"/>
    </row>
    <row r="97" spans="2:10" x14ac:dyDescent="0.25">
      <c r="B97" s="52"/>
      <c r="C97" s="48"/>
      <c r="D97" s="48"/>
      <c r="E97" s="48"/>
      <c r="F97" s="48"/>
      <c r="G97" s="48"/>
      <c r="H97" s="48"/>
      <c r="I97" s="48"/>
      <c r="J97" s="48"/>
    </row>
    <row r="98" spans="2:10" x14ac:dyDescent="0.25">
      <c r="B98" s="52"/>
      <c r="C98" s="48"/>
      <c r="D98" s="48"/>
      <c r="E98" s="48"/>
      <c r="F98" s="48"/>
      <c r="G98" s="48"/>
      <c r="H98" s="48"/>
      <c r="I98" s="48"/>
      <c r="J98" s="48"/>
    </row>
    <row r="99" spans="2:10" x14ac:dyDescent="0.25">
      <c r="B99" s="52"/>
      <c r="C99" s="48"/>
      <c r="D99" s="48"/>
      <c r="E99" s="48"/>
      <c r="F99" s="48"/>
      <c r="G99" s="48"/>
      <c r="H99" s="48"/>
      <c r="I99" s="48"/>
      <c r="J99" s="48"/>
    </row>
    <row r="100" spans="2:10" x14ac:dyDescent="0.25">
      <c r="B100" s="52"/>
      <c r="C100" s="48"/>
      <c r="D100" s="48"/>
      <c r="E100" s="48"/>
      <c r="F100" s="48"/>
      <c r="G100" s="48"/>
      <c r="H100" s="48"/>
      <c r="I100" s="48"/>
      <c r="J100" s="48"/>
    </row>
    <row r="101" spans="2:10" x14ac:dyDescent="0.25">
      <c r="B101" s="52"/>
      <c r="C101" s="48"/>
      <c r="D101" s="48"/>
      <c r="E101" s="48"/>
      <c r="F101" s="48"/>
      <c r="G101" s="48"/>
      <c r="H101" s="48"/>
      <c r="I101" s="48"/>
      <c r="J101" s="48"/>
    </row>
    <row r="102" spans="2:10" x14ac:dyDescent="0.25">
      <c r="B102" s="52"/>
      <c r="C102" s="48"/>
      <c r="D102" s="48"/>
      <c r="E102" s="48"/>
      <c r="F102" s="48"/>
      <c r="G102" s="48"/>
      <c r="H102" s="48"/>
      <c r="I102" s="48"/>
      <c r="J102" s="48"/>
    </row>
    <row r="103" spans="2:10" x14ac:dyDescent="0.25">
      <c r="B103" s="52"/>
      <c r="C103" s="48"/>
      <c r="D103" s="48"/>
      <c r="E103" s="48"/>
      <c r="F103" s="48"/>
      <c r="G103" s="48"/>
      <c r="H103" s="48"/>
      <c r="I103" s="48"/>
      <c r="J103" s="48"/>
    </row>
    <row r="104" spans="2:10" x14ac:dyDescent="0.25">
      <c r="B104" s="52"/>
      <c r="C104" s="48"/>
      <c r="D104" s="48"/>
      <c r="E104" s="48"/>
      <c r="F104" s="48"/>
      <c r="G104" s="48"/>
      <c r="H104" s="48"/>
      <c r="I104" s="48"/>
      <c r="J104" s="48"/>
    </row>
    <row r="105" spans="2:10" x14ac:dyDescent="0.25">
      <c r="B105" s="52"/>
      <c r="C105" s="48"/>
      <c r="D105" s="48"/>
      <c r="E105" s="48"/>
      <c r="F105" s="48"/>
      <c r="G105" s="48"/>
      <c r="H105" s="48"/>
      <c r="I105" s="48"/>
      <c r="J105" s="48"/>
    </row>
    <row r="106" spans="2:10" x14ac:dyDescent="0.25">
      <c r="B106" s="52"/>
      <c r="C106" s="48"/>
      <c r="D106" s="48"/>
      <c r="E106" s="48"/>
      <c r="F106" s="48"/>
      <c r="G106" s="48"/>
      <c r="H106" s="48"/>
      <c r="I106" s="48"/>
      <c r="J106" s="48"/>
    </row>
    <row r="107" spans="2:10" x14ac:dyDescent="0.25">
      <c r="B107" s="52"/>
      <c r="C107" s="48"/>
      <c r="D107" s="48"/>
      <c r="E107" s="48"/>
      <c r="F107" s="48"/>
      <c r="G107" s="48"/>
      <c r="H107" s="48"/>
      <c r="I107" s="48"/>
      <c r="J107" s="48"/>
    </row>
    <row r="108" spans="2:10" x14ac:dyDescent="0.25">
      <c r="B108" s="52"/>
      <c r="C108" s="48"/>
      <c r="D108" s="48"/>
      <c r="E108" s="48"/>
      <c r="F108" s="48"/>
      <c r="G108" s="48"/>
      <c r="H108" s="48"/>
      <c r="I108" s="48"/>
      <c r="J108" s="48"/>
    </row>
    <row r="109" spans="2:10" x14ac:dyDescent="0.25">
      <c r="B109" s="52"/>
      <c r="C109" s="48"/>
      <c r="D109" s="48"/>
      <c r="E109" s="48"/>
      <c r="F109" s="48"/>
      <c r="G109" s="48"/>
      <c r="H109" s="48"/>
      <c r="I109" s="48"/>
      <c r="J109" s="48"/>
    </row>
    <row r="110" spans="2:10" x14ac:dyDescent="0.25">
      <c r="B110" s="52"/>
      <c r="C110" s="48"/>
      <c r="D110" s="48"/>
      <c r="E110" s="48"/>
      <c r="F110" s="48"/>
      <c r="G110" s="48"/>
      <c r="H110" s="48"/>
      <c r="I110" s="48"/>
      <c r="J110" s="48"/>
    </row>
    <row r="111" spans="2:10" x14ac:dyDescent="0.25">
      <c r="B111" s="52"/>
      <c r="C111" s="48"/>
      <c r="D111" s="48"/>
      <c r="E111" s="48"/>
      <c r="F111" s="48"/>
      <c r="G111" s="48"/>
      <c r="H111" s="48"/>
      <c r="I111" s="48"/>
      <c r="J111" s="48"/>
    </row>
    <row r="112" spans="2:10" x14ac:dyDescent="0.25">
      <c r="B112" s="52"/>
      <c r="C112" s="48"/>
      <c r="D112" s="48"/>
      <c r="E112" s="48"/>
      <c r="F112" s="48"/>
      <c r="G112" s="48"/>
      <c r="H112" s="48"/>
      <c r="I112" s="48"/>
      <c r="J112" s="48"/>
    </row>
    <row r="113" spans="2:10" x14ac:dyDescent="0.25">
      <c r="B113" s="52"/>
      <c r="C113" s="48"/>
      <c r="D113" s="48"/>
      <c r="E113" s="48"/>
      <c r="F113" s="48"/>
      <c r="G113" s="48"/>
      <c r="H113" s="48"/>
      <c r="I113" s="48"/>
      <c r="J113" s="48"/>
    </row>
    <row r="114" spans="2:10" x14ac:dyDescent="0.25">
      <c r="B114" s="52"/>
      <c r="C114" s="48"/>
      <c r="D114" s="48"/>
      <c r="E114" s="48"/>
      <c r="F114" s="48"/>
      <c r="G114" s="48"/>
      <c r="H114" s="48"/>
      <c r="I114" s="48"/>
      <c r="J114" s="48"/>
    </row>
    <row r="115" spans="2:10" x14ac:dyDescent="0.25">
      <c r="B115" s="52"/>
      <c r="C115" s="48"/>
      <c r="D115" s="48"/>
      <c r="E115" s="48"/>
      <c r="F115" s="48"/>
      <c r="G115" s="48"/>
      <c r="H115" s="48"/>
      <c r="I115" s="48"/>
      <c r="J115" s="48"/>
    </row>
    <row r="116" spans="2:10" x14ac:dyDescent="0.25">
      <c r="B116" s="52"/>
      <c r="C116" s="48"/>
      <c r="D116" s="48"/>
      <c r="E116" s="48"/>
      <c r="F116" s="48"/>
      <c r="G116" s="48"/>
      <c r="H116" s="48"/>
      <c r="I116" s="48"/>
      <c r="J116" s="48"/>
    </row>
    <row r="117" spans="2:10" x14ac:dyDescent="0.25">
      <c r="B117" s="52"/>
      <c r="C117" s="48"/>
      <c r="D117" s="48"/>
      <c r="E117" s="48"/>
      <c r="F117" s="48"/>
      <c r="G117" s="48"/>
      <c r="H117" s="48"/>
      <c r="I117" s="48"/>
      <c r="J117" s="48"/>
    </row>
    <row r="118" spans="2:10" x14ac:dyDescent="0.25">
      <c r="B118" s="52"/>
      <c r="C118" s="48"/>
      <c r="D118" s="48"/>
      <c r="E118" s="48"/>
      <c r="F118" s="48"/>
      <c r="G118" s="48"/>
      <c r="H118" s="48"/>
      <c r="I118" s="48"/>
      <c r="J118" s="48"/>
    </row>
    <row r="119" spans="2:10" x14ac:dyDescent="0.25">
      <c r="B119" s="52"/>
      <c r="C119" s="48"/>
      <c r="D119" s="48"/>
      <c r="E119" s="48"/>
      <c r="F119" s="48"/>
      <c r="G119" s="48"/>
      <c r="H119" s="48"/>
      <c r="I119" s="48"/>
      <c r="J119" s="48"/>
    </row>
    <row r="120" spans="2:10" x14ac:dyDescent="0.25">
      <c r="B120" s="52"/>
      <c r="C120" s="48"/>
      <c r="D120" s="48"/>
      <c r="E120" s="48"/>
      <c r="F120" s="48"/>
      <c r="G120" s="48"/>
      <c r="H120" s="48"/>
      <c r="I120" s="48"/>
      <c r="J120" s="48"/>
    </row>
    <row r="121" spans="2:10" x14ac:dyDescent="0.25">
      <c r="B121" s="52"/>
      <c r="C121" s="48"/>
      <c r="D121" s="48"/>
      <c r="E121" s="48"/>
      <c r="F121" s="48"/>
      <c r="G121" s="48"/>
      <c r="H121" s="48"/>
      <c r="I121" s="48"/>
      <c r="J121" s="48"/>
    </row>
    <row r="122" spans="2:10" x14ac:dyDescent="0.25">
      <c r="B122" s="52"/>
      <c r="C122" s="48"/>
      <c r="D122" s="48"/>
      <c r="E122" s="48"/>
      <c r="F122" s="48"/>
      <c r="G122" s="48"/>
      <c r="H122" s="48"/>
      <c r="I122" s="48"/>
      <c r="J122" s="48"/>
    </row>
    <row r="123" spans="2:10" x14ac:dyDescent="0.25">
      <c r="B123" s="52"/>
      <c r="C123" s="48"/>
      <c r="D123" s="48"/>
      <c r="E123" s="48"/>
      <c r="F123" s="48"/>
      <c r="G123" s="48"/>
      <c r="H123" s="48"/>
      <c r="I123" s="48"/>
      <c r="J123" s="48"/>
    </row>
    <row r="124" spans="2:10" x14ac:dyDescent="0.25">
      <c r="B124" s="52"/>
      <c r="C124" s="48"/>
      <c r="D124" s="48"/>
      <c r="E124" s="48"/>
      <c r="F124" s="48"/>
      <c r="G124" s="48"/>
      <c r="H124" s="48"/>
      <c r="I124" s="48"/>
      <c r="J124" s="48"/>
    </row>
    <row r="125" spans="2:10" x14ac:dyDescent="0.25">
      <c r="B125" s="52"/>
      <c r="C125" s="48"/>
      <c r="D125" s="48"/>
      <c r="E125" s="48"/>
      <c r="F125" s="48"/>
      <c r="G125" s="48"/>
      <c r="H125" s="48"/>
      <c r="I125" s="48"/>
      <c r="J125" s="48"/>
    </row>
    <row r="126" spans="2:10" x14ac:dyDescent="0.25">
      <c r="B126" s="52"/>
      <c r="C126" s="48"/>
      <c r="D126" s="48"/>
      <c r="E126" s="48"/>
      <c r="F126" s="48"/>
      <c r="G126" s="48"/>
      <c r="H126" s="48"/>
      <c r="I126" s="48"/>
      <c r="J126" s="48"/>
    </row>
    <row r="127" spans="2:10" x14ac:dyDescent="0.25">
      <c r="B127" s="52"/>
      <c r="C127" s="48"/>
      <c r="D127" s="48"/>
      <c r="E127" s="48"/>
      <c r="F127" s="48"/>
      <c r="G127" s="48"/>
      <c r="H127" s="48"/>
      <c r="I127" s="48"/>
      <c r="J127" s="48"/>
    </row>
    <row r="128" spans="2:10" x14ac:dyDescent="0.25">
      <c r="B128" s="52"/>
      <c r="C128" s="48"/>
      <c r="D128" s="48"/>
      <c r="E128" s="48"/>
      <c r="F128" s="48"/>
      <c r="G128" s="48"/>
      <c r="H128" s="48"/>
      <c r="I128" s="48"/>
      <c r="J128" s="48"/>
    </row>
    <row r="129" spans="2:10" x14ac:dyDescent="0.25">
      <c r="B129" s="52"/>
      <c r="C129" s="48"/>
      <c r="D129" s="48"/>
      <c r="E129" s="48"/>
      <c r="F129" s="48"/>
      <c r="G129" s="48"/>
      <c r="H129" s="48"/>
      <c r="I129" s="48"/>
      <c r="J129" s="48"/>
    </row>
    <row r="130" spans="2:10" x14ac:dyDescent="0.25">
      <c r="B130" s="52"/>
      <c r="C130" s="48"/>
      <c r="D130" s="48"/>
      <c r="E130" s="48"/>
      <c r="F130" s="48"/>
      <c r="G130" s="48"/>
      <c r="H130" s="48"/>
      <c r="I130" s="48"/>
      <c r="J130" s="48"/>
    </row>
    <row r="131" spans="2:10" x14ac:dyDescent="0.25">
      <c r="B131" s="52"/>
      <c r="C131" s="48"/>
      <c r="D131" s="48"/>
      <c r="E131" s="48"/>
      <c r="F131" s="48"/>
      <c r="G131" s="48"/>
      <c r="H131" s="48"/>
      <c r="I131" s="48"/>
      <c r="J131" s="48"/>
    </row>
    <row r="132" spans="2:10" x14ac:dyDescent="0.25">
      <c r="B132" s="52"/>
      <c r="C132" s="48"/>
      <c r="D132" s="48"/>
      <c r="E132" s="48"/>
      <c r="F132" s="48"/>
      <c r="G132" s="48"/>
      <c r="H132" s="48"/>
      <c r="I132" s="48"/>
      <c r="J132" s="48"/>
    </row>
    <row r="133" spans="2:10" x14ac:dyDescent="0.25">
      <c r="B133" s="52"/>
      <c r="C133" s="48"/>
      <c r="D133" s="48"/>
      <c r="E133" s="48"/>
      <c r="F133" s="48"/>
      <c r="G133" s="48"/>
      <c r="H133" s="48"/>
      <c r="I133" s="48"/>
      <c r="J133" s="48"/>
    </row>
    <row r="134" spans="2:10" x14ac:dyDescent="0.25">
      <c r="B134" s="52"/>
      <c r="C134" s="48"/>
      <c r="D134" s="48"/>
      <c r="E134" s="48"/>
      <c r="F134" s="48"/>
      <c r="G134" s="48"/>
      <c r="H134" s="48"/>
      <c r="I134" s="48"/>
      <c r="J134" s="48"/>
    </row>
    <row r="135" spans="2:10" x14ac:dyDescent="0.25">
      <c r="B135" s="52"/>
      <c r="C135" s="48"/>
      <c r="D135" s="48"/>
      <c r="E135" s="48"/>
      <c r="F135" s="48"/>
      <c r="G135" s="48"/>
      <c r="H135" s="48"/>
      <c r="I135" s="48"/>
      <c r="J135" s="48"/>
    </row>
    <row r="136" spans="2:10" x14ac:dyDescent="0.25">
      <c r="B136" s="52"/>
      <c r="C136" s="48"/>
      <c r="D136" s="48"/>
      <c r="E136" s="48"/>
      <c r="F136" s="48"/>
      <c r="G136" s="48"/>
      <c r="H136" s="48"/>
      <c r="I136" s="48"/>
      <c r="J136" s="48"/>
    </row>
    <row r="137" spans="2:10" x14ac:dyDescent="0.25">
      <c r="B137" s="52"/>
      <c r="C137" s="48"/>
      <c r="D137" s="48"/>
      <c r="E137" s="48"/>
      <c r="F137" s="48"/>
      <c r="G137" s="48"/>
      <c r="H137" s="48"/>
      <c r="I137" s="48"/>
      <c r="J137" s="48"/>
    </row>
    <row r="138" spans="2:10" x14ac:dyDescent="0.25">
      <c r="B138" s="52"/>
      <c r="C138" s="48"/>
      <c r="D138" s="48"/>
      <c r="E138" s="48"/>
      <c r="F138" s="48"/>
      <c r="G138" s="48"/>
      <c r="H138" s="48"/>
      <c r="I138" s="48"/>
      <c r="J138" s="48"/>
    </row>
    <row r="139" spans="2:10" x14ac:dyDescent="0.25">
      <c r="B139" s="52"/>
      <c r="C139" s="48"/>
      <c r="D139" s="48"/>
      <c r="E139" s="48"/>
      <c r="F139" s="48"/>
      <c r="G139" s="48"/>
      <c r="H139" s="48"/>
      <c r="I139" s="48"/>
      <c r="J139" s="48"/>
    </row>
    <row r="140" spans="2:10" x14ac:dyDescent="0.25">
      <c r="B140" s="52"/>
      <c r="C140" s="48"/>
      <c r="D140" s="48"/>
      <c r="E140" s="48"/>
      <c r="F140" s="48"/>
      <c r="G140" s="48"/>
      <c r="H140" s="48"/>
      <c r="I140" s="48"/>
      <c r="J140" s="48"/>
    </row>
    <row r="141" spans="2:10" x14ac:dyDescent="0.25">
      <c r="B141" s="52"/>
      <c r="C141" s="48"/>
      <c r="D141" s="48"/>
      <c r="E141" s="48"/>
      <c r="F141" s="48"/>
      <c r="G141" s="48"/>
      <c r="H141" s="48"/>
      <c r="I141" s="48"/>
      <c r="J141" s="48"/>
    </row>
    <row r="142" spans="2:10" x14ac:dyDescent="0.25">
      <c r="B142" s="52"/>
      <c r="C142" s="48"/>
      <c r="D142" s="48"/>
      <c r="E142" s="48"/>
      <c r="F142" s="48"/>
      <c r="G142" s="48"/>
      <c r="H142" s="48"/>
      <c r="I142" s="48"/>
      <c r="J142" s="48"/>
    </row>
    <row r="143" spans="2:10" x14ac:dyDescent="0.25">
      <c r="B143" s="52"/>
      <c r="C143" s="48"/>
      <c r="D143" s="48"/>
      <c r="E143" s="48"/>
      <c r="F143" s="48"/>
      <c r="G143" s="48"/>
      <c r="H143" s="48"/>
      <c r="I143" s="48"/>
      <c r="J143" s="48"/>
    </row>
    <row r="144" spans="2:10" x14ac:dyDescent="0.25">
      <c r="B144" s="52"/>
      <c r="C144" s="48"/>
      <c r="D144" s="48"/>
      <c r="E144" s="48"/>
      <c r="F144" s="48"/>
      <c r="G144" s="48"/>
      <c r="H144" s="48"/>
      <c r="I144" s="48"/>
      <c r="J144" s="48"/>
    </row>
    <row r="145" spans="2:10" x14ac:dyDescent="0.25">
      <c r="B145" s="52"/>
      <c r="C145" s="48"/>
      <c r="D145" s="48"/>
      <c r="E145" s="48"/>
      <c r="F145" s="48"/>
      <c r="G145" s="48"/>
      <c r="H145" s="48"/>
      <c r="I145" s="48"/>
      <c r="J145" s="48"/>
    </row>
    <row r="146" spans="2:10" x14ac:dyDescent="0.25">
      <c r="B146" s="52"/>
      <c r="C146" s="48"/>
      <c r="D146" s="48"/>
      <c r="E146" s="48"/>
      <c r="F146" s="48"/>
      <c r="G146" s="48"/>
      <c r="H146" s="48"/>
      <c r="I146" s="48"/>
      <c r="J146" s="48"/>
    </row>
    <row r="147" spans="2:10" x14ac:dyDescent="0.25">
      <c r="B147" s="52"/>
      <c r="C147" s="48"/>
      <c r="D147" s="48"/>
      <c r="E147" s="48"/>
      <c r="F147" s="48"/>
      <c r="G147" s="48"/>
      <c r="H147" s="48"/>
      <c r="I147" s="48"/>
      <c r="J147" s="48"/>
    </row>
    <row r="148" spans="2:10" x14ac:dyDescent="0.25">
      <c r="B148" s="52"/>
      <c r="C148" s="48"/>
      <c r="D148" s="48"/>
      <c r="E148" s="48"/>
      <c r="F148" s="48"/>
      <c r="G148" s="48"/>
      <c r="H148" s="48"/>
      <c r="I148" s="48"/>
      <c r="J148" s="48"/>
    </row>
    <row r="149" spans="2:10" x14ac:dyDescent="0.25">
      <c r="B149" s="52"/>
      <c r="C149" s="48"/>
      <c r="D149" s="48"/>
      <c r="E149" s="48"/>
      <c r="F149" s="48"/>
      <c r="G149" s="48"/>
      <c r="H149" s="48"/>
      <c r="I149" s="48"/>
      <c r="J149" s="48"/>
    </row>
    <row r="150" spans="2:10" x14ac:dyDescent="0.25">
      <c r="B150" s="52"/>
      <c r="C150" s="48"/>
      <c r="D150" s="48"/>
      <c r="E150" s="48"/>
      <c r="F150" s="48"/>
      <c r="G150" s="48"/>
      <c r="H150" s="48"/>
      <c r="I150" s="48"/>
      <c r="J150" s="48"/>
    </row>
    <row r="151" spans="2:10" x14ac:dyDescent="0.25">
      <c r="B151" s="52"/>
      <c r="C151" s="48"/>
      <c r="D151" s="48"/>
      <c r="E151" s="48"/>
      <c r="F151" s="48"/>
      <c r="G151" s="48"/>
      <c r="H151" s="48"/>
      <c r="I151" s="48"/>
      <c r="J151" s="48"/>
    </row>
    <row r="152" spans="2:10" x14ac:dyDescent="0.25">
      <c r="B152" s="52"/>
      <c r="C152" s="48"/>
      <c r="D152" s="48"/>
      <c r="E152" s="48"/>
      <c r="F152" s="48"/>
      <c r="G152" s="48"/>
      <c r="H152" s="48"/>
      <c r="I152" s="48"/>
      <c r="J152" s="48"/>
    </row>
    <row r="153" spans="2:10" x14ac:dyDescent="0.25">
      <c r="B153" s="52"/>
      <c r="C153" s="48"/>
      <c r="D153" s="48"/>
      <c r="E153" s="48"/>
      <c r="F153" s="48"/>
      <c r="G153" s="48"/>
      <c r="H153" s="48"/>
      <c r="I153" s="48"/>
      <c r="J153" s="48"/>
    </row>
    <row r="154" spans="2:10" x14ac:dyDescent="0.25">
      <c r="B154" s="52"/>
      <c r="C154" s="48"/>
      <c r="D154" s="48"/>
      <c r="E154" s="48"/>
      <c r="F154" s="48"/>
      <c r="G154" s="48"/>
      <c r="H154" s="48"/>
      <c r="I154" s="48"/>
      <c r="J154" s="48"/>
    </row>
    <row r="155" spans="2:10" x14ac:dyDescent="0.25">
      <c r="B155" s="52"/>
      <c r="C155" s="48"/>
      <c r="D155" s="48"/>
      <c r="E155" s="48"/>
      <c r="F155" s="48"/>
      <c r="G155" s="48"/>
      <c r="H155" s="48"/>
      <c r="I155" s="48"/>
      <c r="J155" s="48"/>
    </row>
    <row r="156" spans="2:10" x14ac:dyDescent="0.25">
      <c r="B156" s="52"/>
      <c r="C156" s="48"/>
      <c r="D156" s="48"/>
      <c r="E156" s="48"/>
      <c r="F156" s="48"/>
      <c r="G156" s="48"/>
      <c r="H156" s="48"/>
      <c r="I156" s="48"/>
      <c r="J156" s="48"/>
    </row>
    <row r="157" spans="2:10" x14ac:dyDescent="0.25">
      <c r="B157" s="52"/>
      <c r="C157" s="48"/>
      <c r="D157" s="48"/>
      <c r="E157" s="48"/>
      <c r="F157" s="48"/>
      <c r="G157" s="48"/>
      <c r="H157" s="48"/>
      <c r="I157" s="48"/>
      <c r="J157" s="48"/>
    </row>
    <row r="158" spans="2:10" x14ac:dyDescent="0.25">
      <c r="B158" s="52"/>
      <c r="C158" s="48"/>
      <c r="D158" s="48"/>
      <c r="E158" s="48"/>
      <c r="F158" s="48"/>
      <c r="G158" s="48"/>
      <c r="H158" s="48"/>
      <c r="I158" s="48"/>
      <c r="J158" s="48"/>
    </row>
    <row r="159" spans="2:10" x14ac:dyDescent="0.25">
      <c r="B159" s="52"/>
      <c r="C159" s="48"/>
      <c r="D159" s="48"/>
      <c r="E159" s="48"/>
      <c r="F159" s="48"/>
      <c r="G159" s="48"/>
      <c r="H159" s="48"/>
      <c r="I159" s="48"/>
      <c r="J159" s="48"/>
    </row>
    <row r="160" spans="2:10" x14ac:dyDescent="0.25">
      <c r="B160" s="52"/>
      <c r="C160" s="48"/>
      <c r="D160" s="48"/>
      <c r="E160" s="48"/>
      <c r="F160" s="48"/>
      <c r="G160" s="48"/>
      <c r="H160" s="48"/>
      <c r="I160" s="48"/>
      <c r="J160" s="48"/>
    </row>
    <row r="161" spans="2:10" x14ac:dyDescent="0.25">
      <c r="B161" s="52"/>
      <c r="C161" s="48"/>
      <c r="D161" s="48"/>
      <c r="E161" s="48"/>
      <c r="F161" s="48"/>
      <c r="G161" s="48"/>
      <c r="H161" s="48"/>
      <c r="I161" s="48"/>
      <c r="J161" s="48"/>
    </row>
    <row r="162" spans="2:10" x14ac:dyDescent="0.25">
      <c r="B162" s="52"/>
      <c r="C162" s="48"/>
      <c r="D162" s="48"/>
      <c r="E162" s="48"/>
      <c r="F162" s="48"/>
      <c r="G162" s="48"/>
      <c r="H162" s="48"/>
      <c r="I162" s="48"/>
      <c r="J162" s="48"/>
    </row>
    <row r="163" spans="2:10" x14ac:dyDescent="0.25">
      <c r="B163" s="52"/>
      <c r="C163" s="48"/>
      <c r="D163" s="48"/>
      <c r="E163" s="48"/>
      <c r="F163" s="48"/>
      <c r="G163" s="48"/>
      <c r="H163" s="48"/>
      <c r="I163" s="48"/>
      <c r="J163" s="48"/>
    </row>
    <row r="164" spans="2:10" x14ac:dyDescent="0.25">
      <c r="B164" s="52"/>
      <c r="C164" s="48"/>
      <c r="D164" s="48"/>
      <c r="E164" s="48"/>
      <c r="F164" s="48"/>
      <c r="G164" s="48"/>
      <c r="H164" s="48"/>
      <c r="I164" s="48"/>
      <c r="J164" s="48"/>
    </row>
    <row r="165" spans="2:10" x14ac:dyDescent="0.25">
      <c r="B165" s="52"/>
      <c r="C165" s="48"/>
      <c r="D165" s="48"/>
      <c r="E165" s="48"/>
      <c r="F165" s="48"/>
      <c r="G165" s="48"/>
      <c r="H165" s="48"/>
      <c r="I165" s="48"/>
      <c r="J165" s="48"/>
    </row>
    <row r="166" spans="2:10" x14ac:dyDescent="0.25">
      <c r="B166" s="52"/>
      <c r="C166" s="48"/>
      <c r="D166" s="48"/>
      <c r="E166" s="48"/>
      <c r="F166" s="48"/>
      <c r="G166" s="48"/>
      <c r="H166" s="48"/>
      <c r="I166" s="48"/>
      <c r="J166" s="48"/>
    </row>
    <row r="167" spans="2:10" x14ac:dyDescent="0.25">
      <c r="B167" s="52"/>
      <c r="C167" s="48"/>
      <c r="D167" s="48"/>
      <c r="E167" s="48"/>
      <c r="F167" s="48"/>
      <c r="G167" s="48"/>
      <c r="H167" s="48"/>
      <c r="I167" s="48"/>
      <c r="J167" s="48"/>
    </row>
    <row r="168" spans="2:10" x14ac:dyDescent="0.25">
      <c r="B168" s="52"/>
      <c r="C168" s="48"/>
      <c r="D168" s="48"/>
      <c r="E168" s="48"/>
      <c r="F168" s="48"/>
      <c r="G168" s="48"/>
      <c r="H168" s="48"/>
      <c r="I168" s="48"/>
      <c r="J168" s="48"/>
    </row>
    <row r="169" spans="2:10" x14ac:dyDescent="0.25">
      <c r="B169" s="52"/>
      <c r="C169" s="48"/>
      <c r="D169" s="48"/>
      <c r="E169" s="48"/>
      <c r="F169" s="48"/>
      <c r="G169" s="48"/>
      <c r="H169" s="48"/>
      <c r="I169" s="48"/>
      <c r="J169" s="48"/>
    </row>
    <row r="170" spans="2:10" x14ac:dyDescent="0.25">
      <c r="B170" s="52"/>
      <c r="C170" s="48"/>
      <c r="D170" s="48"/>
      <c r="E170" s="48"/>
      <c r="F170" s="48"/>
      <c r="G170" s="48"/>
      <c r="H170" s="48"/>
      <c r="I170" s="48"/>
      <c r="J170" s="48"/>
    </row>
    <row r="171" spans="2:10" x14ac:dyDescent="0.25">
      <c r="B171" s="52"/>
      <c r="C171" s="48"/>
      <c r="D171" s="48"/>
      <c r="E171" s="48"/>
      <c r="F171" s="48"/>
      <c r="G171" s="48"/>
      <c r="H171" s="48"/>
      <c r="I171" s="48"/>
      <c r="J171" s="48"/>
    </row>
  </sheetData>
  <mergeCells count="44">
    <mergeCell ref="B65:B66"/>
    <mergeCell ref="C65:E65"/>
    <mergeCell ref="F65:H65"/>
    <mergeCell ref="I65:K65"/>
    <mergeCell ref="C82:E82"/>
    <mergeCell ref="F82:H82"/>
    <mergeCell ref="I82:K82"/>
    <mergeCell ref="B74:K74"/>
    <mergeCell ref="C75:E75"/>
    <mergeCell ref="F75:H75"/>
    <mergeCell ref="I75:K75"/>
    <mergeCell ref="I45:K45"/>
    <mergeCell ref="B54:K54"/>
    <mergeCell ref="C55:E55"/>
    <mergeCell ref="F55:H55"/>
    <mergeCell ref="C34:E34"/>
    <mergeCell ref="F34:H34"/>
    <mergeCell ref="I34:K34"/>
    <mergeCell ref="L85:L87"/>
    <mergeCell ref="B27:K27"/>
    <mergeCell ref="L37:L39"/>
    <mergeCell ref="B55:B57"/>
    <mergeCell ref="B75:B77"/>
    <mergeCell ref="I55:K55"/>
    <mergeCell ref="B64:K64"/>
    <mergeCell ref="C28:E28"/>
    <mergeCell ref="F28:H28"/>
    <mergeCell ref="I28:K28"/>
    <mergeCell ref="B28:B30"/>
    <mergeCell ref="L31:L33"/>
    <mergeCell ref="B44:K44"/>
    <mergeCell ref="B45:B46"/>
    <mergeCell ref="C45:E45"/>
    <mergeCell ref="F45:H45"/>
    <mergeCell ref="B4:K4"/>
    <mergeCell ref="B16:K16"/>
    <mergeCell ref="C17:E17"/>
    <mergeCell ref="F17:H17"/>
    <mergeCell ref="I17:K17"/>
    <mergeCell ref="C5:E5"/>
    <mergeCell ref="B17:B19"/>
    <mergeCell ref="F5:H5"/>
    <mergeCell ref="I5:K5"/>
    <mergeCell ref="B5:B7"/>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3:AD168"/>
  <sheetViews>
    <sheetView showGridLines="0" topLeftCell="A137" zoomScale="85" zoomScaleNormal="85" workbookViewId="0">
      <selection activeCell="E164" sqref="E164"/>
    </sheetView>
  </sheetViews>
  <sheetFormatPr defaultRowHeight="15" x14ac:dyDescent="0.25"/>
  <cols>
    <col min="2" max="2" width="50" customWidth="1"/>
    <col min="3" max="3" width="11.85546875" customWidth="1"/>
    <col min="4" max="4" width="14" customWidth="1"/>
    <col min="5" max="5" width="14.140625" customWidth="1"/>
    <col min="6" max="6" width="13" customWidth="1"/>
    <col min="7" max="7" width="12.7109375" customWidth="1"/>
    <col min="8" max="8" width="12.85546875" customWidth="1"/>
    <col min="9" max="9" width="14.140625" customWidth="1"/>
    <col min="10" max="10" width="12.5703125" customWidth="1"/>
    <col min="11" max="11" width="11.7109375" customWidth="1"/>
    <col min="12" max="12" width="13.85546875" customWidth="1"/>
    <col min="13" max="13" width="12.140625" customWidth="1"/>
    <col min="14" max="14" width="15.28515625" customWidth="1"/>
    <col min="15" max="15" width="12.28515625" customWidth="1"/>
    <col min="16" max="16" width="13.7109375" customWidth="1"/>
    <col min="17" max="17" width="13.28515625" customWidth="1"/>
    <col min="18" max="18" width="13.42578125" customWidth="1"/>
    <col min="19" max="20" width="11.7109375" customWidth="1"/>
    <col min="21" max="21" width="10.7109375" customWidth="1"/>
    <col min="22" max="22" width="12.140625" customWidth="1"/>
    <col min="23" max="23" width="14.85546875" customWidth="1"/>
    <col min="24" max="24" width="16.42578125" customWidth="1"/>
    <col min="25" max="25" width="13.7109375" customWidth="1"/>
    <col min="26" max="27" width="11.42578125" customWidth="1"/>
    <col min="28" max="28" width="10.140625" customWidth="1"/>
    <col min="29" max="29" width="15.7109375" customWidth="1"/>
  </cols>
  <sheetData>
    <row r="3" spans="1:29" x14ac:dyDescent="0.25">
      <c r="A3" s="70">
        <v>1</v>
      </c>
      <c r="B3" s="286" t="s">
        <v>129</v>
      </c>
      <c r="C3" s="287"/>
      <c r="D3" s="287"/>
      <c r="E3" s="287"/>
    </row>
    <row r="5" spans="1:29" x14ac:dyDescent="0.25">
      <c r="C5" s="8" t="s">
        <v>22</v>
      </c>
      <c r="D5" s="16">
        <v>0</v>
      </c>
      <c r="E5" s="16">
        <v>1</v>
      </c>
      <c r="F5" s="16">
        <v>2</v>
      </c>
      <c r="G5" s="16">
        <v>3</v>
      </c>
      <c r="H5" s="16">
        <v>4</v>
      </c>
      <c r="I5" s="16">
        <v>5</v>
      </c>
      <c r="J5" s="16">
        <v>6</v>
      </c>
      <c r="K5" s="16">
        <v>7</v>
      </c>
      <c r="L5" s="16">
        <v>8</v>
      </c>
      <c r="M5" s="16">
        <v>9</v>
      </c>
      <c r="N5" s="16">
        <v>10</v>
      </c>
      <c r="O5" s="16">
        <v>11</v>
      </c>
      <c r="P5" s="16">
        <v>12</v>
      </c>
      <c r="Q5" s="16">
        <v>13</v>
      </c>
      <c r="R5" s="16">
        <v>14</v>
      </c>
      <c r="S5" s="16">
        <v>15</v>
      </c>
      <c r="T5" s="16">
        <v>16</v>
      </c>
      <c r="U5" s="16">
        <v>17</v>
      </c>
      <c r="V5" s="16">
        <v>18</v>
      </c>
      <c r="W5" s="16">
        <v>19</v>
      </c>
      <c r="X5" s="16">
        <v>20</v>
      </c>
      <c r="Y5" s="16">
        <v>21</v>
      </c>
      <c r="Z5" s="16">
        <v>22</v>
      </c>
      <c r="AA5" s="16">
        <v>23</v>
      </c>
      <c r="AB5" s="16">
        <v>24</v>
      </c>
      <c r="AC5" s="57" t="s">
        <v>133</v>
      </c>
    </row>
    <row r="6" spans="1:29" x14ac:dyDescent="0.25">
      <c r="B6" s="73" t="s">
        <v>132</v>
      </c>
      <c r="C6" s="51"/>
      <c r="D6" s="103"/>
      <c r="E6" s="103">
        <v>10</v>
      </c>
      <c r="F6" s="103">
        <v>15</v>
      </c>
      <c r="G6" s="103">
        <v>20</v>
      </c>
      <c r="H6" s="103">
        <v>5</v>
      </c>
      <c r="I6" s="103"/>
      <c r="J6" s="103"/>
      <c r="K6" s="103"/>
      <c r="L6" s="103"/>
      <c r="M6" s="103"/>
      <c r="N6" s="103"/>
      <c r="O6" s="103"/>
      <c r="P6" s="103"/>
      <c r="Q6" s="103"/>
      <c r="R6" s="103"/>
      <c r="S6" s="103"/>
      <c r="T6" s="103"/>
      <c r="U6" s="103"/>
      <c r="V6" s="103"/>
      <c r="W6" s="103"/>
      <c r="X6" s="103"/>
      <c r="Y6" s="103"/>
      <c r="Z6" s="103"/>
      <c r="AA6" s="103"/>
      <c r="AB6" s="103"/>
      <c r="AC6" s="57">
        <f>SUM(D6:AB6)</f>
        <v>50</v>
      </c>
    </row>
    <row r="7" spans="1:29" x14ac:dyDescent="0.25">
      <c r="B7" s="73" t="s">
        <v>131</v>
      </c>
      <c r="C7" s="51"/>
      <c r="D7" s="103"/>
      <c r="E7" s="103">
        <v>100</v>
      </c>
      <c r="F7" s="103">
        <v>150</v>
      </c>
      <c r="G7" s="103">
        <v>150</v>
      </c>
      <c r="H7" s="103">
        <v>100</v>
      </c>
      <c r="I7" s="103"/>
      <c r="J7" s="103"/>
      <c r="K7" s="103"/>
      <c r="L7" s="103"/>
      <c r="M7" s="103"/>
      <c r="N7" s="103"/>
      <c r="O7" s="103"/>
      <c r="P7" s="103"/>
      <c r="Q7" s="103"/>
      <c r="R7" s="103"/>
      <c r="S7" s="103"/>
      <c r="T7" s="103"/>
      <c r="U7" s="103"/>
      <c r="V7" s="103"/>
      <c r="W7" s="103"/>
      <c r="X7" s="103"/>
      <c r="Y7" s="103"/>
      <c r="Z7" s="103"/>
      <c r="AA7" s="103"/>
      <c r="AB7" s="103"/>
      <c r="AC7" s="57">
        <f>SUM(D7:AB7)</f>
        <v>500</v>
      </c>
    </row>
    <row r="8" spans="1:29" x14ac:dyDescent="0.25">
      <c r="B8" s="73" t="s">
        <v>130</v>
      </c>
      <c r="C8" s="51"/>
      <c r="D8" s="103"/>
      <c r="E8" s="103">
        <v>3000</v>
      </c>
      <c r="F8" s="103">
        <v>7000</v>
      </c>
      <c r="G8" s="103">
        <v>7000</v>
      </c>
      <c r="H8" s="103">
        <v>2000</v>
      </c>
      <c r="I8" s="103">
        <v>1000</v>
      </c>
      <c r="J8" s="103"/>
      <c r="K8" s="103"/>
      <c r="L8" s="103"/>
      <c r="M8" s="103"/>
      <c r="N8" s="103"/>
      <c r="O8" s="103"/>
      <c r="P8" s="103"/>
      <c r="Q8" s="103"/>
      <c r="R8" s="103"/>
      <c r="S8" s="103"/>
      <c r="T8" s="103"/>
      <c r="U8" s="103"/>
      <c r="V8" s="103"/>
      <c r="W8" s="103"/>
      <c r="X8" s="103"/>
      <c r="Y8" s="103"/>
      <c r="Z8" s="103"/>
      <c r="AA8" s="103"/>
      <c r="AB8" s="103"/>
      <c r="AC8" s="57">
        <f>SUM(D8:AB8)</f>
        <v>20000</v>
      </c>
    </row>
    <row r="11" spans="1:29" x14ac:dyDescent="0.25">
      <c r="A11" s="70">
        <v>2</v>
      </c>
      <c r="B11" s="47" t="s">
        <v>134</v>
      </c>
    </row>
    <row r="13" spans="1:29" x14ac:dyDescent="0.25">
      <c r="B13" s="73" t="s">
        <v>132</v>
      </c>
      <c r="C13" s="75">
        <f>SUM(D16:S16)</f>
        <v>50</v>
      </c>
      <c r="D13" t="s">
        <v>125</v>
      </c>
    </row>
    <row r="15" spans="1:29" x14ac:dyDescent="0.25">
      <c r="C15" s="8" t="s">
        <v>22</v>
      </c>
      <c r="D15" s="16">
        <v>0</v>
      </c>
      <c r="E15" s="16">
        <v>1</v>
      </c>
      <c r="F15" s="16">
        <v>2</v>
      </c>
      <c r="G15" s="16">
        <v>3</v>
      </c>
      <c r="H15" s="16">
        <v>4</v>
      </c>
      <c r="I15" s="16">
        <v>5</v>
      </c>
      <c r="J15" s="16">
        <v>6</v>
      </c>
      <c r="K15" s="16">
        <v>7</v>
      </c>
      <c r="L15" s="16">
        <v>8</v>
      </c>
      <c r="M15" s="16">
        <v>9</v>
      </c>
      <c r="N15" s="16">
        <v>10</v>
      </c>
      <c r="O15" s="16">
        <v>11</v>
      </c>
      <c r="P15" s="16">
        <v>12</v>
      </c>
      <c r="Q15" s="16">
        <v>13</v>
      </c>
      <c r="R15" s="16">
        <v>14</v>
      </c>
      <c r="S15" s="16">
        <v>15</v>
      </c>
      <c r="T15" s="16">
        <v>16</v>
      </c>
      <c r="U15" s="16">
        <v>17</v>
      </c>
      <c r="V15" s="16">
        <v>18</v>
      </c>
      <c r="W15" s="16">
        <v>19</v>
      </c>
      <c r="X15" s="16">
        <v>20</v>
      </c>
      <c r="Y15" s="16">
        <v>21</v>
      </c>
      <c r="Z15" s="16">
        <v>22</v>
      </c>
      <c r="AA15" s="16">
        <v>23</v>
      </c>
      <c r="AB15" s="16">
        <v>24</v>
      </c>
      <c r="AC15" s="104" t="s">
        <v>133</v>
      </c>
    </row>
    <row r="16" spans="1:29" x14ac:dyDescent="0.25">
      <c r="B16" s="73" t="s">
        <v>135</v>
      </c>
      <c r="C16" s="51"/>
      <c r="D16" s="103">
        <f>D6</f>
        <v>0</v>
      </c>
      <c r="E16" s="103">
        <f t="shared" ref="E16:AB16" si="0">E6</f>
        <v>10</v>
      </c>
      <c r="F16" s="103">
        <f t="shared" si="0"/>
        <v>15</v>
      </c>
      <c r="G16" s="103">
        <f t="shared" si="0"/>
        <v>20</v>
      </c>
      <c r="H16" s="103">
        <f t="shared" si="0"/>
        <v>5</v>
      </c>
      <c r="I16" s="103">
        <f t="shared" si="0"/>
        <v>0</v>
      </c>
      <c r="J16" s="103">
        <f t="shared" si="0"/>
        <v>0</v>
      </c>
      <c r="K16" s="103">
        <f t="shared" si="0"/>
        <v>0</v>
      </c>
      <c r="L16" s="103">
        <f t="shared" si="0"/>
        <v>0</v>
      </c>
      <c r="M16" s="103">
        <f t="shared" si="0"/>
        <v>0</v>
      </c>
      <c r="N16" s="103">
        <f t="shared" si="0"/>
        <v>0</v>
      </c>
      <c r="O16" s="103">
        <f t="shared" si="0"/>
        <v>0</v>
      </c>
      <c r="P16" s="103">
        <f t="shared" si="0"/>
        <v>0</v>
      </c>
      <c r="Q16" s="103">
        <f t="shared" si="0"/>
        <v>0</v>
      </c>
      <c r="R16" s="103">
        <f t="shared" si="0"/>
        <v>0</v>
      </c>
      <c r="S16" s="103">
        <f t="shared" si="0"/>
        <v>0</v>
      </c>
      <c r="T16" s="103">
        <f t="shared" si="0"/>
        <v>0</v>
      </c>
      <c r="U16" s="103">
        <f t="shared" si="0"/>
        <v>0</v>
      </c>
      <c r="V16" s="103">
        <f t="shared" si="0"/>
        <v>0</v>
      </c>
      <c r="W16" s="103">
        <f t="shared" si="0"/>
        <v>0</v>
      </c>
      <c r="X16" s="103">
        <f t="shared" si="0"/>
        <v>0</v>
      </c>
      <c r="Y16" s="103">
        <f t="shared" si="0"/>
        <v>0</v>
      </c>
      <c r="Z16" s="103">
        <f t="shared" si="0"/>
        <v>0</v>
      </c>
      <c r="AA16" s="103">
        <f t="shared" si="0"/>
        <v>0</v>
      </c>
      <c r="AB16" s="103">
        <f t="shared" si="0"/>
        <v>0</v>
      </c>
      <c r="AC16" s="57">
        <f>SUM(D16:AB16)</f>
        <v>50</v>
      </c>
    </row>
    <row r="17" spans="1:29" x14ac:dyDescent="0.25">
      <c r="B17" s="73" t="s">
        <v>136</v>
      </c>
      <c r="C17" s="51"/>
      <c r="D17" s="103"/>
      <c r="E17" s="103"/>
      <c r="F17" s="103"/>
      <c r="G17" s="103"/>
      <c r="H17" s="103"/>
      <c r="I17" s="103"/>
      <c r="J17" s="103"/>
      <c r="K17" s="103"/>
      <c r="L17" s="103"/>
      <c r="M17" s="103"/>
      <c r="N17" s="103"/>
      <c r="O17" s="103"/>
      <c r="P17" s="103"/>
      <c r="Q17" s="103"/>
      <c r="R17" s="103"/>
      <c r="S17" s="103"/>
      <c r="T17" s="103"/>
      <c r="U17" s="103"/>
      <c r="V17" s="103"/>
      <c r="W17" s="103"/>
      <c r="X17" s="103"/>
      <c r="Y17" s="103">
        <f>E16</f>
        <v>10</v>
      </c>
      <c r="Z17" s="103">
        <f t="shared" ref="Z17:AB17" si="1">F16</f>
        <v>15</v>
      </c>
      <c r="AA17" s="103">
        <f t="shared" si="1"/>
        <v>20</v>
      </c>
      <c r="AB17" s="103">
        <f t="shared" si="1"/>
        <v>5</v>
      </c>
      <c r="AC17" s="57">
        <f>SUM(D17:AB17)</f>
        <v>50</v>
      </c>
    </row>
    <row r="18" spans="1:29" ht="19.149999999999999" customHeight="1" x14ac:dyDescent="0.25">
      <c r="B18" s="73" t="s">
        <v>140</v>
      </c>
      <c r="C18" s="51"/>
      <c r="D18" s="70"/>
      <c r="E18" s="70">
        <f>E16</f>
        <v>10</v>
      </c>
      <c r="F18" s="70">
        <f>F16+E18-F17</f>
        <v>25</v>
      </c>
      <c r="G18" s="70">
        <f t="shared" ref="G18:S18" si="2">G16+F18-G17</f>
        <v>45</v>
      </c>
      <c r="H18" s="70">
        <f t="shared" si="2"/>
        <v>50</v>
      </c>
      <c r="I18" s="70">
        <f t="shared" si="2"/>
        <v>50</v>
      </c>
      <c r="J18" s="70">
        <f t="shared" si="2"/>
        <v>50</v>
      </c>
      <c r="K18" s="70">
        <f t="shared" si="2"/>
        <v>50</v>
      </c>
      <c r="L18" s="70">
        <f t="shared" si="2"/>
        <v>50</v>
      </c>
      <c r="M18" s="70">
        <f t="shared" si="2"/>
        <v>50</v>
      </c>
      <c r="N18" s="70">
        <f t="shared" si="2"/>
        <v>50</v>
      </c>
      <c r="O18" s="70">
        <f t="shared" si="2"/>
        <v>50</v>
      </c>
      <c r="P18" s="70">
        <f t="shared" si="2"/>
        <v>50</v>
      </c>
      <c r="Q18" s="70">
        <f t="shared" si="2"/>
        <v>50</v>
      </c>
      <c r="R18" s="70">
        <f t="shared" si="2"/>
        <v>50</v>
      </c>
      <c r="S18" s="70">
        <f t="shared" si="2"/>
        <v>50</v>
      </c>
      <c r="T18" s="70">
        <f t="shared" ref="T18" si="3">T16+S18-T17</f>
        <v>50</v>
      </c>
      <c r="U18" s="70">
        <f t="shared" ref="U18" si="4">U16+T18-U17</f>
        <v>50</v>
      </c>
      <c r="V18" s="70">
        <f t="shared" ref="V18" si="5">V16+U18-V17</f>
        <v>50</v>
      </c>
      <c r="W18" s="70">
        <f t="shared" ref="W18" si="6">W16+V18-W17</f>
        <v>50</v>
      </c>
      <c r="X18" s="70">
        <f t="shared" ref="X18:AB18" si="7">X16+W18-X17</f>
        <v>50</v>
      </c>
      <c r="Y18" s="70">
        <f t="shared" si="7"/>
        <v>40</v>
      </c>
      <c r="Z18" s="70">
        <f t="shared" si="7"/>
        <v>25</v>
      </c>
      <c r="AA18" s="70">
        <f t="shared" si="7"/>
        <v>5</v>
      </c>
      <c r="AB18" s="70">
        <f t="shared" si="7"/>
        <v>0</v>
      </c>
      <c r="AC18" s="57"/>
    </row>
    <row r="19" spans="1:29" ht="19.149999999999999" customHeight="1" x14ac:dyDescent="0.25">
      <c r="B19" s="67"/>
      <c r="AC19" s="92"/>
    </row>
    <row r="20" spans="1:29" ht="19.149999999999999" customHeight="1" x14ac:dyDescent="0.25">
      <c r="B20" s="105" t="s">
        <v>137</v>
      </c>
      <c r="AC20" s="92"/>
    </row>
    <row r="21" spans="1:29" ht="19.149999999999999" customHeight="1" x14ac:dyDescent="0.25">
      <c r="B21" t="s">
        <v>139</v>
      </c>
      <c r="AC21" s="92"/>
    </row>
    <row r="22" spans="1:29" ht="19.149999999999999" customHeight="1" x14ac:dyDescent="0.25">
      <c r="B22" s="263" t="s">
        <v>138</v>
      </c>
      <c r="C22" s="263"/>
      <c r="D22" s="263"/>
      <c r="E22" s="263"/>
      <c r="F22" s="263"/>
      <c r="AC22" s="92"/>
    </row>
    <row r="23" spans="1:29" ht="19.149999999999999" customHeight="1" x14ac:dyDescent="0.25">
      <c r="B23" s="263" t="s">
        <v>141</v>
      </c>
      <c r="C23" s="263"/>
      <c r="D23" s="263"/>
      <c r="E23" s="263"/>
      <c r="F23" s="263"/>
      <c r="G23" s="263"/>
      <c r="H23" s="263"/>
      <c r="I23" s="263"/>
      <c r="J23" s="263"/>
      <c r="AC23" s="92"/>
    </row>
    <row r="25" spans="1:29" x14ac:dyDescent="0.25">
      <c r="A25" s="70">
        <v>3</v>
      </c>
      <c r="B25" t="s">
        <v>146</v>
      </c>
      <c r="C25" s="107">
        <v>3</v>
      </c>
      <c r="D25" t="s">
        <v>90</v>
      </c>
    </row>
    <row r="26" spans="1:29" x14ac:dyDescent="0.25">
      <c r="B26" t="s">
        <v>91</v>
      </c>
      <c r="C26" s="107">
        <v>1</v>
      </c>
      <c r="D26" t="s">
        <v>90</v>
      </c>
    </row>
    <row r="27" spans="1:29" x14ac:dyDescent="0.25">
      <c r="B27" t="s">
        <v>147</v>
      </c>
      <c r="C27" s="75">
        <f>C25-C26</f>
        <v>2</v>
      </c>
    </row>
    <row r="28" spans="1:29" x14ac:dyDescent="0.25">
      <c r="C28" s="84"/>
    </row>
    <row r="29" spans="1:29" x14ac:dyDescent="0.25">
      <c r="B29" t="s">
        <v>143</v>
      </c>
      <c r="C29" s="107">
        <v>8000</v>
      </c>
      <c r="D29" t="s">
        <v>12</v>
      </c>
      <c r="E29" t="s">
        <v>232</v>
      </c>
    </row>
    <row r="30" spans="1:29" x14ac:dyDescent="0.25">
      <c r="B30" t="s">
        <v>144</v>
      </c>
      <c r="C30" s="156">
        <v>10000</v>
      </c>
      <c r="D30" t="s">
        <v>12</v>
      </c>
      <c r="E30" t="s">
        <v>220</v>
      </c>
    </row>
    <row r="31" spans="1:29" x14ac:dyDescent="0.25">
      <c r="C31" s="84"/>
    </row>
    <row r="32" spans="1:29" ht="17.45" customHeight="1" x14ac:dyDescent="0.25">
      <c r="C32" s="130" t="s">
        <v>21</v>
      </c>
      <c r="E32" s="68"/>
      <c r="F32" s="68"/>
      <c r="G32" s="68"/>
      <c r="H32" s="68"/>
      <c r="I32" s="68"/>
      <c r="J32" s="68"/>
      <c r="K32" s="68"/>
      <c r="L32" s="68"/>
    </row>
    <row r="33" spans="2:29" ht="17.45" customHeight="1" x14ac:dyDescent="0.25">
      <c r="B33" s="6" t="s">
        <v>111</v>
      </c>
      <c r="C33" s="111">
        <v>0</v>
      </c>
      <c r="E33" s="101"/>
      <c r="F33" s="101"/>
      <c r="G33" s="101"/>
      <c r="H33" s="101"/>
      <c r="I33" s="101"/>
      <c r="J33" s="101"/>
      <c r="K33" s="101"/>
      <c r="L33" s="101"/>
    </row>
    <row r="35" spans="2:29" x14ac:dyDescent="0.25">
      <c r="C35" s="78"/>
    </row>
    <row r="36" spans="2:29" x14ac:dyDescent="0.25">
      <c r="C36" s="78"/>
    </row>
    <row r="37" spans="2:29" x14ac:dyDescent="0.25">
      <c r="C37" s="78"/>
    </row>
    <row r="38" spans="2:29" x14ac:dyDescent="0.25">
      <c r="B38" s="108" t="s">
        <v>106</v>
      </c>
      <c r="C38" s="8" t="s">
        <v>22</v>
      </c>
      <c r="D38" s="16">
        <v>0</v>
      </c>
      <c r="E38" s="16">
        <v>1</v>
      </c>
      <c r="F38" s="16">
        <v>2</v>
      </c>
      <c r="G38" s="16">
        <v>3</v>
      </c>
      <c r="H38" s="16">
        <v>4</v>
      </c>
      <c r="I38" s="16">
        <v>5</v>
      </c>
      <c r="J38" s="16">
        <v>6</v>
      </c>
      <c r="K38" s="16">
        <v>7</v>
      </c>
      <c r="L38" s="16">
        <v>8</v>
      </c>
      <c r="M38" s="16">
        <v>9</v>
      </c>
      <c r="N38" s="16">
        <v>10</v>
      </c>
      <c r="O38" s="16">
        <v>11</v>
      </c>
      <c r="P38" s="16">
        <v>12</v>
      </c>
      <c r="Q38" s="16">
        <v>13</v>
      </c>
      <c r="R38" s="16">
        <v>14</v>
      </c>
      <c r="S38" s="16">
        <v>15</v>
      </c>
      <c r="T38" s="16">
        <v>16</v>
      </c>
      <c r="U38" s="16">
        <v>17</v>
      </c>
      <c r="V38" s="16">
        <v>18</v>
      </c>
      <c r="W38" s="16">
        <v>19</v>
      </c>
      <c r="X38" s="16">
        <v>20</v>
      </c>
      <c r="Y38" s="16">
        <v>21</v>
      </c>
      <c r="Z38" s="16">
        <v>22</v>
      </c>
      <c r="AA38" s="16">
        <v>23</v>
      </c>
      <c r="AB38" s="16">
        <v>24</v>
      </c>
      <c r="AC38" t="s">
        <v>133</v>
      </c>
    </row>
    <row r="39" spans="2:29" x14ac:dyDescent="0.25">
      <c r="B39" s="51" t="s">
        <v>95</v>
      </c>
      <c r="C39" s="51"/>
      <c r="D39" s="82"/>
      <c r="E39" s="82">
        <f>D44</f>
        <v>0</v>
      </c>
      <c r="F39" s="82">
        <f t="shared" ref="F39" si="8">E44</f>
        <v>180000</v>
      </c>
      <c r="G39" s="82">
        <f t="shared" ref="G39" si="9">F44</f>
        <v>360000</v>
      </c>
      <c r="H39" s="82">
        <f t="shared" ref="H39" si="10">G44</f>
        <v>495000</v>
      </c>
      <c r="I39" s="82">
        <f t="shared" ref="I39" si="11">H44</f>
        <v>270000</v>
      </c>
      <c r="J39" s="112">
        <f t="shared" ref="J39" si="12">I44</f>
        <v>45000</v>
      </c>
      <c r="K39" s="82">
        <f t="shared" ref="K39" si="13">J44</f>
        <v>0</v>
      </c>
      <c r="L39" s="82">
        <f t="shared" ref="L39" si="14">K44</f>
        <v>0</v>
      </c>
      <c r="M39" s="82">
        <f t="shared" ref="M39" si="15">L44</f>
        <v>0</v>
      </c>
      <c r="N39" s="82">
        <f t="shared" ref="N39" si="16">M44</f>
        <v>0</v>
      </c>
      <c r="O39" s="82">
        <f t="shared" ref="O39" si="17">N44</f>
        <v>0</v>
      </c>
      <c r="P39" s="82">
        <f t="shared" ref="P39" si="18">O44</f>
        <v>0</v>
      </c>
      <c r="Q39" s="82">
        <f t="shared" ref="Q39" si="19">P44</f>
        <v>0</v>
      </c>
      <c r="R39" s="82">
        <f t="shared" ref="R39" si="20">Q44</f>
        <v>0</v>
      </c>
      <c r="S39" s="82">
        <f t="shared" ref="S39" si="21">R44</f>
        <v>0</v>
      </c>
      <c r="T39" s="82">
        <f t="shared" ref="T39" si="22">S44</f>
        <v>0</v>
      </c>
      <c r="U39" s="82">
        <f t="shared" ref="U39" si="23">T44</f>
        <v>0</v>
      </c>
      <c r="V39" s="82">
        <f t="shared" ref="V39" si="24">U44</f>
        <v>0</v>
      </c>
      <c r="W39" s="82">
        <f t="shared" ref="W39" si="25">V44</f>
        <v>0</v>
      </c>
      <c r="X39" s="82">
        <f t="shared" ref="X39" si="26">W44</f>
        <v>0</v>
      </c>
      <c r="Y39" s="82">
        <f t="shared" ref="Y39" si="27">X44</f>
        <v>0</v>
      </c>
      <c r="Z39" s="82">
        <f t="shared" ref="Z39" si="28">Y44</f>
        <v>0</v>
      </c>
      <c r="AA39" s="82">
        <f t="shared" ref="AA39" si="29">Z44</f>
        <v>0</v>
      </c>
      <c r="AB39" s="82">
        <f t="shared" ref="AB39" si="30">AA44</f>
        <v>0</v>
      </c>
      <c r="AC39" s="98"/>
    </row>
    <row r="40" spans="2:29" x14ac:dyDescent="0.25">
      <c r="B40" s="74" t="s">
        <v>96</v>
      </c>
      <c r="C40" s="51"/>
      <c r="D40" s="81">
        <f>($C29+$C30)*D16</f>
        <v>0</v>
      </c>
      <c r="E40" s="81">
        <f t="shared" ref="E40:AB40" si="31">($C29+$C30)*E16</f>
        <v>180000</v>
      </c>
      <c r="F40" s="81">
        <f t="shared" si="31"/>
        <v>270000</v>
      </c>
      <c r="G40" s="81">
        <f t="shared" si="31"/>
        <v>360000</v>
      </c>
      <c r="H40" s="81">
        <f t="shared" si="31"/>
        <v>90000</v>
      </c>
      <c r="I40" s="81">
        <f t="shared" si="31"/>
        <v>0</v>
      </c>
      <c r="J40" s="81">
        <f t="shared" si="31"/>
        <v>0</v>
      </c>
      <c r="K40" s="81">
        <f t="shared" si="31"/>
        <v>0</v>
      </c>
      <c r="L40" s="81">
        <f t="shared" si="31"/>
        <v>0</v>
      </c>
      <c r="M40" s="81">
        <f t="shared" si="31"/>
        <v>0</v>
      </c>
      <c r="N40" s="81">
        <f t="shared" si="31"/>
        <v>0</v>
      </c>
      <c r="O40" s="81">
        <f t="shared" si="31"/>
        <v>0</v>
      </c>
      <c r="P40" s="81">
        <f t="shared" si="31"/>
        <v>0</v>
      </c>
      <c r="Q40" s="81">
        <f t="shared" si="31"/>
        <v>0</v>
      </c>
      <c r="R40" s="81">
        <f t="shared" si="31"/>
        <v>0</v>
      </c>
      <c r="S40" s="81">
        <f t="shared" si="31"/>
        <v>0</v>
      </c>
      <c r="T40" s="81">
        <f t="shared" si="31"/>
        <v>0</v>
      </c>
      <c r="U40" s="81">
        <f t="shared" si="31"/>
        <v>0</v>
      </c>
      <c r="V40" s="81">
        <f t="shared" si="31"/>
        <v>0</v>
      </c>
      <c r="W40" s="81">
        <f t="shared" si="31"/>
        <v>0</v>
      </c>
      <c r="X40" s="81">
        <f t="shared" si="31"/>
        <v>0</v>
      </c>
      <c r="Y40" s="81">
        <f t="shared" si="31"/>
        <v>0</v>
      </c>
      <c r="Z40" s="81">
        <f t="shared" si="31"/>
        <v>0</v>
      </c>
      <c r="AA40" s="81">
        <f t="shared" si="31"/>
        <v>0</v>
      </c>
      <c r="AB40" s="81">
        <f t="shared" si="31"/>
        <v>0</v>
      </c>
      <c r="AC40" s="98">
        <f>SUM(D40:AB40)</f>
        <v>900000</v>
      </c>
    </row>
    <row r="41" spans="2:29" x14ac:dyDescent="0.25">
      <c r="B41" s="51" t="s">
        <v>97</v>
      </c>
      <c r="C41" s="51"/>
      <c r="D41" s="82">
        <f>D39*$C139</f>
        <v>0</v>
      </c>
      <c r="E41" s="82">
        <f t="shared" ref="E41:AB41" si="32">E39*$C139</f>
        <v>0</v>
      </c>
      <c r="F41" s="82">
        <f t="shared" si="32"/>
        <v>43200</v>
      </c>
      <c r="G41" s="82">
        <f t="shared" si="32"/>
        <v>86400</v>
      </c>
      <c r="H41" s="82">
        <f t="shared" si="32"/>
        <v>118800</v>
      </c>
      <c r="I41" s="82">
        <f t="shared" si="32"/>
        <v>64800</v>
      </c>
      <c r="J41" s="82">
        <f t="shared" si="32"/>
        <v>10800</v>
      </c>
      <c r="K41" s="82">
        <f t="shared" si="32"/>
        <v>0</v>
      </c>
      <c r="L41" s="82">
        <f t="shared" si="32"/>
        <v>0</v>
      </c>
      <c r="M41" s="82">
        <f t="shared" si="32"/>
        <v>0</v>
      </c>
      <c r="N41" s="82">
        <f t="shared" si="32"/>
        <v>0</v>
      </c>
      <c r="O41" s="82">
        <f t="shared" si="32"/>
        <v>0</v>
      </c>
      <c r="P41" s="82">
        <f t="shared" si="32"/>
        <v>0</v>
      </c>
      <c r="Q41" s="82">
        <f t="shared" si="32"/>
        <v>0</v>
      </c>
      <c r="R41" s="82">
        <f t="shared" si="32"/>
        <v>0</v>
      </c>
      <c r="S41" s="82">
        <f t="shared" si="32"/>
        <v>0</v>
      </c>
      <c r="T41" s="82">
        <f t="shared" si="32"/>
        <v>0</v>
      </c>
      <c r="U41" s="82">
        <f t="shared" si="32"/>
        <v>0</v>
      </c>
      <c r="V41" s="82">
        <f t="shared" si="32"/>
        <v>0</v>
      </c>
      <c r="W41" s="82">
        <f t="shared" si="32"/>
        <v>0</v>
      </c>
      <c r="X41" s="82">
        <f t="shared" si="32"/>
        <v>0</v>
      </c>
      <c r="Y41" s="82">
        <f t="shared" si="32"/>
        <v>0</v>
      </c>
      <c r="Z41" s="82">
        <f t="shared" si="32"/>
        <v>0</v>
      </c>
      <c r="AA41" s="82">
        <f t="shared" si="32"/>
        <v>0</v>
      </c>
      <c r="AB41" s="82">
        <f t="shared" si="32"/>
        <v>0</v>
      </c>
      <c r="AC41" s="98">
        <f>SUM(D41:AB41)</f>
        <v>324000</v>
      </c>
    </row>
    <row r="42" spans="2:29" x14ac:dyDescent="0.25">
      <c r="B42" s="51" t="s">
        <v>99</v>
      </c>
      <c r="C42" s="51"/>
      <c r="D42" s="82">
        <v>0</v>
      </c>
      <c r="E42" s="82"/>
      <c r="F42" s="82">
        <f>E40/C27</f>
        <v>90000</v>
      </c>
      <c r="G42" s="82">
        <f>(E40/$C27)+(F40/$C27)</f>
        <v>225000</v>
      </c>
      <c r="H42" s="82">
        <f t="shared" ref="H42:O42" si="33">(F40/$C27)+(G40/$C27)</f>
        <v>315000</v>
      </c>
      <c r="I42" s="82">
        <f t="shared" si="33"/>
        <v>225000</v>
      </c>
      <c r="J42" s="82">
        <f t="shared" si="33"/>
        <v>45000</v>
      </c>
      <c r="K42" s="82">
        <f t="shared" si="33"/>
        <v>0</v>
      </c>
      <c r="L42" s="82">
        <f t="shared" si="33"/>
        <v>0</v>
      </c>
      <c r="M42" s="82">
        <f t="shared" si="33"/>
        <v>0</v>
      </c>
      <c r="N42" s="82">
        <f t="shared" si="33"/>
        <v>0</v>
      </c>
      <c r="O42" s="82">
        <f t="shared" si="33"/>
        <v>0</v>
      </c>
      <c r="P42" s="82">
        <f t="shared" ref="P42" si="34">(N40/$C27)+(O40/$C27)</f>
        <v>0</v>
      </c>
      <c r="Q42" s="82">
        <f t="shared" ref="Q42" si="35">(O40/$C27)+(P40/$C27)</f>
        <v>0</v>
      </c>
      <c r="R42" s="82">
        <f t="shared" ref="R42" si="36">(P40/$C27)+(Q40/$C27)</f>
        <v>0</v>
      </c>
      <c r="S42" s="82">
        <f t="shared" ref="S42" si="37">(Q40/$C27)+(R40/$C27)</f>
        <v>0</v>
      </c>
      <c r="T42" s="82">
        <f t="shared" ref="T42" si="38">(R40/$C27)+(S40/$C27)</f>
        <v>0</v>
      </c>
      <c r="U42" s="82">
        <f t="shared" ref="U42" si="39">(S40/$C27)+(T40/$C27)</f>
        <v>0</v>
      </c>
      <c r="V42" s="82">
        <f t="shared" ref="V42:W42" si="40">(T40/$C27)+(U40/$C27)</f>
        <v>0</v>
      </c>
      <c r="W42" s="82">
        <f t="shared" si="40"/>
        <v>0</v>
      </c>
      <c r="X42" s="82">
        <f t="shared" ref="X42" si="41">(V40/$C27)+(W40/$C27)</f>
        <v>0</v>
      </c>
      <c r="Y42" s="82">
        <f t="shared" ref="Y42" si="42">(W40/$C27)+(X40/$C27)</f>
        <v>0</v>
      </c>
      <c r="Z42" s="82">
        <f t="shared" ref="Z42" si="43">(X40/$C27)+(Y40/$C27)</f>
        <v>0</v>
      </c>
      <c r="AA42" s="82">
        <f t="shared" ref="AA42" si="44">(Y40/$C27)+(Z40/$C27)</f>
        <v>0</v>
      </c>
      <c r="AB42" s="82">
        <f t="shared" ref="AB42" si="45">(Z40/$C27)+(AA40/$C27)</f>
        <v>0</v>
      </c>
      <c r="AC42" s="98">
        <f>SUM(D42:AB42)</f>
        <v>900000</v>
      </c>
    </row>
    <row r="43" spans="2:29" x14ac:dyDescent="0.25">
      <c r="B43" s="51" t="s">
        <v>145</v>
      </c>
      <c r="C43" s="51"/>
      <c r="D43" s="82">
        <f>D41+D42</f>
        <v>0</v>
      </c>
      <c r="E43" s="82">
        <f t="shared" ref="E43:AB43" si="46">E41+E42</f>
        <v>0</v>
      </c>
      <c r="F43" s="82">
        <f t="shared" si="46"/>
        <v>133200</v>
      </c>
      <c r="G43" s="82">
        <f t="shared" si="46"/>
        <v>311400</v>
      </c>
      <c r="H43" s="82">
        <f t="shared" si="46"/>
        <v>433800</v>
      </c>
      <c r="I43" s="82">
        <f t="shared" si="46"/>
        <v>289800</v>
      </c>
      <c r="J43" s="112">
        <f t="shared" si="46"/>
        <v>55800</v>
      </c>
      <c r="K43" s="82">
        <f t="shared" si="46"/>
        <v>0</v>
      </c>
      <c r="L43" s="82">
        <f t="shared" si="46"/>
        <v>0</v>
      </c>
      <c r="M43" s="82">
        <f t="shared" si="46"/>
        <v>0</v>
      </c>
      <c r="N43" s="82">
        <f t="shared" si="46"/>
        <v>0</v>
      </c>
      <c r="O43" s="82">
        <f t="shared" si="46"/>
        <v>0</v>
      </c>
      <c r="P43" s="82">
        <f t="shared" si="46"/>
        <v>0</v>
      </c>
      <c r="Q43" s="82">
        <f t="shared" si="46"/>
        <v>0</v>
      </c>
      <c r="R43" s="82">
        <f t="shared" si="46"/>
        <v>0</v>
      </c>
      <c r="S43" s="82">
        <f t="shared" si="46"/>
        <v>0</v>
      </c>
      <c r="T43" s="82">
        <f t="shared" si="46"/>
        <v>0</v>
      </c>
      <c r="U43" s="82">
        <f t="shared" si="46"/>
        <v>0</v>
      </c>
      <c r="V43" s="82">
        <f t="shared" si="46"/>
        <v>0</v>
      </c>
      <c r="W43" s="82">
        <f t="shared" si="46"/>
        <v>0</v>
      </c>
      <c r="X43" s="82">
        <f t="shared" si="46"/>
        <v>0</v>
      </c>
      <c r="Y43" s="82">
        <f t="shared" si="46"/>
        <v>0</v>
      </c>
      <c r="Z43" s="82">
        <f t="shared" si="46"/>
        <v>0</v>
      </c>
      <c r="AA43" s="82">
        <f t="shared" si="46"/>
        <v>0</v>
      </c>
      <c r="AB43" s="82">
        <f t="shared" si="46"/>
        <v>0</v>
      </c>
      <c r="AC43" s="98">
        <f>SUM(D43:AB43)</f>
        <v>1224000</v>
      </c>
    </row>
    <row r="44" spans="2:29" x14ac:dyDescent="0.25">
      <c r="B44" s="51" t="s">
        <v>98</v>
      </c>
      <c r="C44" s="51"/>
      <c r="D44" s="82">
        <f>D39+D40-D43</f>
        <v>0</v>
      </c>
      <c r="E44" s="82">
        <f>E39+E40-E43+E41</f>
        <v>180000</v>
      </c>
      <c r="F44" s="82">
        <f t="shared" ref="F44:AB44" si="47">F39+F40-F43+F41</f>
        <v>360000</v>
      </c>
      <c r="G44" s="82">
        <f t="shared" si="47"/>
        <v>495000</v>
      </c>
      <c r="H44" s="82">
        <f t="shared" si="47"/>
        <v>270000</v>
      </c>
      <c r="I44" s="82">
        <f t="shared" si="47"/>
        <v>45000</v>
      </c>
      <c r="J44" s="112">
        <f t="shared" si="47"/>
        <v>0</v>
      </c>
      <c r="K44" s="82">
        <f t="shared" si="47"/>
        <v>0</v>
      </c>
      <c r="L44" s="82">
        <f t="shared" si="47"/>
        <v>0</v>
      </c>
      <c r="M44" s="82">
        <f t="shared" si="47"/>
        <v>0</v>
      </c>
      <c r="N44" s="82">
        <f t="shared" si="47"/>
        <v>0</v>
      </c>
      <c r="O44" s="82">
        <f t="shared" si="47"/>
        <v>0</v>
      </c>
      <c r="P44" s="82">
        <f t="shared" si="47"/>
        <v>0</v>
      </c>
      <c r="Q44" s="82">
        <f t="shared" si="47"/>
        <v>0</v>
      </c>
      <c r="R44" s="82">
        <f t="shared" si="47"/>
        <v>0</v>
      </c>
      <c r="S44" s="82">
        <f t="shared" si="47"/>
        <v>0</v>
      </c>
      <c r="T44" s="82">
        <f t="shared" si="47"/>
        <v>0</v>
      </c>
      <c r="U44" s="82">
        <f t="shared" si="47"/>
        <v>0</v>
      </c>
      <c r="V44" s="82">
        <f t="shared" si="47"/>
        <v>0</v>
      </c>
      <c r="W44" s="82">
        <f t="shared" si="47"/>
        <v>0</v>
      </c>
      <c r="X44" s="82">
        <f t="shared" si="47"/>
        <v>0</v>
      </c>
      <c r="Y44" s="82">
        <f t="shared" si="47"/>
        <v>0</v>
      </c>
      <c r="Z44" s="82">
        <f t="shared" si="47"/>
        <v>0</v>
      </c>
      <c r="AA44" s="82">
        <f t="shared" si="47"/>
        <v>0</v>
      </c>
      <c r="AB44" s="82">
        <f t="shared" si="47"/>
        <v>0</v>
      </c>
      <c r="AC44" s="98"/>
    </row>
    <row r="45" spans="2:29" x14ac:dyDescent="0.25">
      <c r="C45" s="78"/>
    </row>
    <row r="46" spans="2:29" x14ac:dyDescent="0.25">
      <c r="B46" s="47"/>
      <c r="C46" s="78"/>
    </row>
    <row r="47" spans="2:29" x14ac:dyDescent="0.25">
      <c r="B47" s="47"/>
      <c r="C47" s="78"/>
    </row>
    <row r="48" spans="2:29" x14ac:dyDescent="0.25">
      <c r="B48" s="108" t="s">
        <v>105</v>
      </c>
      <c r="C48" s="8" t="s">
        <v>22</v>
      </c>
      <c r="D48" s="16">
        <v>0</v>
      </c>
      <c r="E48" s="16">
        <v>1</v>
      </c>
      <c r="F48" s="16">
        <v>2</v>
      </c>
      <c r="G48" s="16">
        <v>3</v>
      </c>
      <c r="H48" s="16">
        <v>4</v>
      </c>
      <c r="I48" s="16">
        <v>5</v>
      </c>
      <c r="J48" s="16">
        <v>6</v>
      </c>
      <c r="K48" s="16">
        <v>7</v>
      </c>
      <c r="L48" s="16">
        <v>8</v>
      </c>
      <c r="M48" s="16">
        <v>9</v>
      </c>
      <c r="N48" s="16">
        <v>10</v>
      </c>
      <c r="O48" s="16">
        <v>11</v>
      </c>
      <c r="P48" s="16">
        <v>12</v>
      </c>
      <c r="Q48" s="16">
        <v>13</v>
      </c>
      <c r="R48" s="16">
        <v>14</v>
      </c>
      <c r="S48" s="16">
        <v>15</v>
      </c>
      <c r="T48" s="16">
        <v>16</v>
      </c>
      <c r="U48" s="16">
        <v>17</v>
      </c>
      <c r="V48" s="16">
        <v>18</v>
      </c>
      <c r="W48" s="16">
        <v>19</v>
      </c>
      <c r="X48" s="16">
        <v>20</v>
      </c>
      <c r="Y48" s="16">
        <v>21</v>
      </c>
      <c r="Z48" s="16">
        <v>22</v>
      </c>
      <c r="AA48" s="16">
        <v>23</v>
      </c>
      <c r="AB48" s="16">
        <v>24</v>
      </c>
      <c r="AC48" t="s">
        <v>133</v>
      </c>
    </row>
    <row r="49" spans="2:29" x14ac:dyDescent="0.25">
      <c r="B49" s="51" t="s">
        <v>95</v>
      </c>
      <c r="C49" s="51"/>
      <c r="D49" s="82"/>
      <c r="E49" s="82">
        <f>D54</f>
        <v>0</v>
      </c>
      <c r="F49" s="82">
        <f t="shared" ref="F49:AB49" si="48">E54</f>
        <v>80000</v>
      </c>
      <c r="G49" s="82">
        <f t="shared" si="48"/>
        <v>160000</v>
      </c>
      <c r="H49" s="82">
        <f t="shared" si="48"/>
        <v>220000</v>
      </c>
      <c r="I49" s="82">
        <f t="shared" si="48"/>
        <v>120000</v>
      </c>
      <c r="J49" s="112">
        <f t="shared" si="48"/>
        <v>20000</v>
      </c>
      <c r="K49" s="82">
        <f t="shared" si="48"/>
        <v>0</v>
      </c>
      <c r="L49" s="82">
        <f t="shared" si="48"/>
        <v>0</v>
      </c>
      <c r="M49" s="82">
        <f t="shared" si="48"/>
        <v>0</v>
      </c>
      <c r="N49" s="82">
        <f t="shared" si="48"/>
        <v>0</v>
      </c>
      <c r="O49" s="82">
        <f t="shared" si="48"/>
        <v>0</v>
      </c>
      <c r="P49" s="82">
        <f t="shared" si="48"/>
        <v>0</v>
      </c>
      <c r="Q49" s="82">
        <f t="shared" si="48"/>
        <v>0</v>
      </c>
      <c r="R49" s="82">
        <f t="shared" si="48"/>
        <v>0</v>
      </c>
      <c r="S49" s="82">
        <f t="shared" si="48"/>
        <v>0</v>
      </c>
      <c r="T49" s="82">
        <f t="shared" si="48"/>
        <v>0</v>
      </c>
      <c r="U49" s="82">
        <f t="shared" si="48"/>
        <v>0</v>
      </c>
      <c r="V49" s="82">
        <f t="shared" si="48"/>
        <v>0</v>
      </c>
      <c r="W49" s="82">
        <f t="shared" si="48"/>
        <v>0</v>
      </c>
      <c r="X49" s="82">
        <f t="shared" si="48"/>
        <v>0</v>
      </c>
      <c r="Y49" s="82">
        <f t="shared" si="48"/>
        <v>0</v>
      </c>
      <c r="Z49" s="82">
        <f t="shared" si="48"/>
        <v>0</v>
      </c>
      <c r="AA49" s="82">
        <f t="shared" si="48"/>
        <v>0</v>
      </c>
      <c r="AB49" s="82">
        <f t="shared" si="48"/>
        <v>0</v>
      </c>
      <c r="AC49" s="98"/>
    </row>
    <row r="50" spans="2:29" x14ac:dyDescent="0.25">
      <c r="B50" s="74" t="s">
        <v>96</v>
      </c>
      <c r="C50" s="51"/>
      <c r="D50" s="81">
        <f t="shared" ref="D50:AB50" si="49">$C29*D16</f>
        <v>0</v>
      </c>
      <c r="E50" s="81">
        <f t="shared" si="49"/>
        <v>80000</v>
      </c>
      <c r="F50" s="81">
        <f t="shared" si="49"/>
        <v>120000</v>
      </c>
      <c r="G50" s="81">
        <f t="shared" si="49"/>
        <v>160000</v>
      </c>
      <c r="H50" s="81">
        <f t="shared" si="49"/>
        <v>40000</v>
      </c>
      <c r="I50" s="81">
        <f t="shared" si="49"/>
        <v>0</v>
      </c>
      <c r="J50" s="81">
        <f t="shared" si="49"/>
        <v>0</v>
      </c>
      <c r="K50" s="81">
        <f t="shared" si="49"/>
        <v>0</v>
      </c>
      <c r="L50" s="81">
        <f t="shared" si="49"/>
        <v>0</v>
      </c>
      <c r="M50" s="81">
        <f t="shared" si="49"/>
        <v>0</v>
      </c>
      <c r="N50" s="81">
        <f t="shared" si="49"/>
        <v>0</v>
      </c>
      <c r="O50" s="81">
        <f t="shared" si="49"/>
        <v>0</v>
      </c>
      <c r="P50" s="81">
        <f t="shared" si="49"/>
        <v>0</v>
      </c>
      <c r="Q50" s="81">
        <f t="shared" si="49"/>
        <v>0</v>
      </c>
      <c r="R50" s="81">
        <f t="shared" si="49"/>
        <v>0</v>
      </c>
      <c r="S50" s="81">
        <f t="shared" si="49"/>
        <v>0</v>
      </c>
      <c r="T50" s="81">
        <f t="shared" si="49"/>
        <v>0</v>
      </c>
      <c r="U50" s="81">
        <f t="shared" si="49"/>
        <v>0</v>
      </c>
      <c r="V50" s="81">
        <f t="shared" si="49"/>
        <v>0</v>
      </c>
      <c r="W50" s="81">
        <f t="shared" si="49"/>
        <v>0</v>
      </c>
      <c r="X50" s="81">
        <f t="shared" si="49"/>
        <v>0</v>
      </c>
      <c r="Y50" s="81">
        <f t="shared" si="49"/>
        <v>0</v>
      </c>
      <c r="Z50" s="81">
        <f t="shared" si="49"/>
        <v>0</v>
      </c>
      <c r="AA50" s="81">
        <f t="shared" si="49"/>
        <v>0</v>
      </c>
      <c r="AB50" s="81">
        <f t="shared" si="49"/>
        <v>0</v>
      </c>
      <c r="AC50" s="98">
        <f>SUM(D50:AB50)</f>
        <v>400000</v>
      </c>
    </row>
    <row r="51" spans="2:29" x14ac:dyDescent="0.25">
      <c r="B51" s="51" t="s">
        <v>97</v>
      </c>
      <c r="C51" s="51"/>
      <c r="D51" s="82">
        <v>0</v>
      </c>
      <c r="E51" s="82">
        <f t="shared" ref="E51:AB51" si="50">E49*$C139</f>
        <v>0</v>
      </c>
      <c r="F51" s="82">
        <f t="shared" si="50"/>
        <v>19200</v>
      </c>
      <c r="G51" s="82">
        <f t="shared" si="50"/>
        <v>38400</v>
      </c>
      <c r="H51" s="82">
        <f t="shared" si="50"/>
        <v>52800</v>
      </c>
      <c r="I51" s="82">
        <f t="shared" si="50"/>
        <v>28800</v>
      </c>
      <c r="J51" s="112">
        <f t="shared" si="50"/>
        <v>4800</v>
      </c>
      <c r="K51" s="82">
        <f t="shared" si="50"/>
        <v>0</v>
      </c>
      <c r="L51" s="82">
        <f t="shared" si="50"/>
        <v>0</v>
      </c>
      <c r="M51" s="82">
        <f t="shared" si="50"/>
        <v>0</v>
      </c>
      <c r="N51" s="82">
        <f t="shared" si="50"/>
        <v>0</v>
      </c>
      <c r="O51" s="82">
        <f t="shared" si="50"/>
        <v>0</v>
      </c>
      <c r="P51" s="82">
        <f t="shared" si="50"/>
        <v>0</v>
      </c>
      <c r="Q51" s="82">
        <f t="shared" si="50"/>
        <v>0</v>
      </c>
      <c r="R51" s="82">
        <f t="shared" si="50"/>
        <v>0</v>
      </c>
      <c r="S51" s="82">
        <f t="shared" si="50"/>
        <v>0</v>
      </c>
      <c r="T51" s="82">
        <f t="shared" si="50"/>
        <v>0</v>
      </c>
      <c r="U51" s="82">
        <f t="shared" si="50"/>
        <v>0</v>
      </c>
      <c r="V51" s="82">
        <f t="shared" si="50"/>
        <v>0</v>
      </c>
      <c r="W51" s="82">
        <f t="shared" si="50"/>
        <v>0</v>
      </c>
      <c r="X51" s="82">
        <f t="shared" si="50"/>
        <v>0</v>
      </c>
      <c r="Y51" s="82">
        <f t="shared" si="50"/>
        <v>0</v>
      </c>
      <c r="Z51" s="82">
        <f t="shared" si="50"/>
        <v>0</v>
      </c>
      <c r="AA51" s="82">
        <f t="shared" si="50"/>
        <v>0</v>
      </c>
      <c r="AB51" s="82">
        <f t="shared" si="50"/>
        <v>0</v>
      </c>
      <c r="AC51" s="98">
        <f>SUM(D51:AB51)</f>
        <v>144000</v>
      </c>
    </row>
    <row r="52" spans="2:29" x14ac:dyDescent="0.25">
      <c r="B52" s="51" t="s">
        <v>99</v>
      </c>
      <c r="C52" s="51"/>
      <c r="D52" s="82">
        <v>0</v>
      </c>
      <c r="E52" s="82"/>
      <c r="F52" s="82">
        <f>E50/C27</f>
        <v>40000</v>
      </c>
      <c r="G52" s="82">
        <f t="shared" ref="G52:AB52" si="51">(E50/$C27)+(F50/$C27)</f>
        <v>100000</v>
      </c>
      <c r="H52" s="82">
        <f t="shared" si="51"/>
        <v>140000</v>
      </c>
      <c r="I52" s="82">
        <f t="shared" si="51"/>
        <v>100000</v>
      </c>
      <c r="J52" s="112">
        <f t="shared" si="51"/>
        <v>20000</v>
      </c>
      <c r="K52" s="82">
        <f t="shared" si="51"/>
        <v>0</v>
      </c>
      <c r="L52" s="82">
        <f t="shared" si="51"/>
        <v>0</v>
      </c>
      <c r="M52" s="82">
        <f t="shared" si="51"/>
        <v>0</v>
      </c>
      <c r="N52" s="82">
        <f t="shared" si="51"/>
        <v>0</v>
      </c>
      <c r="O52" s="82">
        <f t="shared" si="51"/>
        <v>0</v>
      </c>
      <c r="P52" s="82">
        <f t="shared" si="51"/>
        <v>0</v>
      </c>
      <c r="Q52" s="82">
        <f t="shared" si="51"/>
        <v>0</v>
      </c>
      <c r="R52" s="82">
        <f t="shared" si="51"/>
        <v>0</v>
      </c>
      <c r="S52" s="82">
        <f t="shared" si="51"/>
        <v>0</v>
      </c>
      <c r="T52" s="82">
        <f t="shared" si="51"/>
        <v>0</v>
      </c>
      <c r="U52" s="82">
        <f t="shared" si="51"/>
        <v>0</v>
      </c>
      <c r="V52" s="82">
        <f t="shared" si="51"/>
        <v>0</v>
      </c>
      <c r="W52" s="82">
        <f t="shared" si="51"/>
        <v>0</v>
      </c>
      <c r="X52" s="82">
        <f t="shared" si="51"/>
        <v>0</v>
      </c>
      <c r="Y52" s="82">
        <f t="shared" si="51"/>
        <v>0</v>
      </c>
      <c r="Z52" s="82">
        <f t="shared" si="51"/>
        <v>0</v>
      </c>
      <c r="AA52" s="82">
        <f t="shared" si="51"/>
        <v>0</v>
      </c>
      <c r="AB52" s="82">
        <f t="shared" si="51"/>
        <v>0</v>
      </c>
      <c r="AC52" s="98">
        <f>SUM(D52:AB52)</f>
        <v>400000</v>
      </c>
    </row>
    <row r="53" spans="2:29" x14ac:dyDescent="0.25">
      <c r="B53" s="51" t="s">
        <v>145</v>
      </c>
      <c r="C53" s="51"/>
      <c r="D53" s="82">
        <f>D51+D52</f>
        <v>0</v>
      </c>
      <c r="E53" s="82">
        <f t="shared" ref="E53:AB53" si="52">E51+E52</f>
        <v>0</v>
      </c>
      <c r="F53" s="82">
        <f t="shared" si="52"/>
        <v>59200</v>
      </c>
      <c r="G53" s="82">
        <f t="shared" si="52"/>
        <v>138400</v>
      </c>
      <c r="H53" s="82">
        <f t="shared" si="52"/>
        <v>192800</v>
      </c>
      <c r="I53" s="82">
        <f t="shared" si="52"/>
        <v>128800</v>
      </c>
      <c r="J53" s="112">
        <f t="shared" si="52"/>
        <v>24800</v>
      </c>
      <c r="K53" s="82">
        <f t="shared" si="52"/>
        <v>0</v>
      </c>
      <c r="L53" s="82">
        <f t="shared" si="52"/>
        <v>0</v>
      </c>
      <c r="M53" s="82">
        <f t="shared" si="52"/>
        <v>0</v>
      </c>
      <c r="N53" s="82">
        <f t="shared" si="52"/>
        <v>0</v>
      </c>
      <c r="O53" s="82">
        <f t="shared" si="52"/>
        <v>0</v>
      </c>
      <c r="P53" s="82">
        <f t="shared" si="52"/>
        <v>0</v>
      </c>
      <c r="Q53" s="82">
        <f t="shared" si="52"/>
        <v>0</v>
      </c>
      <c r="R53" s="82">
        <f t="shared" si="52"/>
        <v>0</v>
      </c>
      <c r="S53" s="82">
        <f t="shared" si="52"/>
        <v>0</v>
      </c>
      <c r="T53" s="82">
        <f t="shared" si="52"/>
        <v>0</v>
      </c>
      <c r="U53" s="82">
        <f t="shared" si="52"/>
        <v>0</v>
      </c>
      <c r="V53" s="82">
        <f t="shared" si="52"/>
        <v>0</v>
      </c>
      <c r="W53" s="82">
        <f t="shared" si="52"/>
        <v>0</v>
      </c>
      <c r="X53" s="82">
        <f t="shared" si="52"/>
        <v>0</v>
      </c>
      <c r="Y53" s="82">
        <f t="shared" si="52"/>
        <v>0</v>
      </c>
      <c r="Z53" s="82">
        <f t="shared" si="52"/>
        <v>0</v>
      </c>
      <c r="AA53" s="82">
        <f t="shared" si="52"/>
        <v>0</v>
      </c>
      <c r="AB53" s="82">
        <f t="shared" si="52"/>
        <v>0</v>
      </c>
      <c r="AC53" s="98">
        <f>SUM(D53:AB53)</f>
        <v>544000</v>
      </c>
    </row>
    <row r="54" spans="2:29" x14ac:dyDescent="0.25">
      <c r="B54" s="51" t="s">
        <v>98</v>
      </c>
      <c r="C54" s="51"/>
      <c r="D54" s="82">
        <f>D49+D50-D53</f>
        <v>0</v>
      </c>
      <c r="E54" s="82">
        <f>E49+E50-E53+E51</f>
        <v>80000</v>
      </c>
      <c r="F54" s="82">
        <f t="shared" ref="F54:AB54" si="53">F49+F50-F53+F51</f>
        <v>160000</v>
      </c>
      <c r="G54" s="82">
        <f t="shared" si="53"/>
        <v>220000</v>
      </c>
      <c r="H54" s="82">
        <f t="shared" si="53"/>
        <v>120000</v>
      </c>
      <c r="I54" s="82">
        <f t="shared" si="53"/>
        <v>20000</v>
      </c>
      <c r="J54" s="112">
        <f t="shared" si="53"/>
        <v>0</v>
      </c>
      <c r="K54" s="82">
        <f t="shared" si="53"/>
        <v>0</v>
      </c>
      <c r="L54" s="82">
        <f t="shared" si="53"/>
        <v>0</v>
      </c>
      <c r="M54" s="82">
        <f t="shared" si="53"/>
        <v>0</v>
      </c>
      <c r="N54" s="82">
        <f t="shared" si="53"/>
        <v>0</v>
      </c>
      <c r="O54" s="82">
        <f t="shared" si="53"/>
        <v>0</v>
      </c>
      <c r="P54" s="82">
        <f t="shared" si="53"/>
        <v>0</v>
      </c>
      <c r="Q54" s="82">
        <f t="shared" si="53"/>
        <v>0</v>
      </c>
      <c r="R54" s="82">
        <f t="shared" si="53"/>
        <v>0</v>
      </c>
      <c r="S54" s="82">
        <f t="shared" si="53"/>
        <v>0</v>
      </c>
      <c r="T54" s="82">
        <f t="shared" si="53"/>
        <v>0</v>
      </c>
      <c r="U54" s="82">
        <f t="shared" si="53"/>
        <v>0</v>
      </c>
      <c r="V54" s="82">
        <f t="shared" si="53"/>
        <v>0</v>
      </c>
      <c r="W54" s="82">
        <f t="shared" si="53"/>
        <v>0</v>
      </c>
      <c r="X54" s="82">
        <f t="shared" si="53"/>
        <v>0</v>
      </c>
      <c r="Y54" s="82">
        <f t="shared" si="53"/>
        <v>0</v>
      </c>
      <c r="Z54" s="82">
        <f t="shared" si="53"/>
        <v>0</v>
      </c>
      <c r="AA54" s="82">
        <f t="shared" si="53"/>
        <v>0</v>
      </c>
      <c r="AB54" s="82">
        <f t="shared" si="53"/>
        <v>0</v>
      </c>
      <c r="AC54" s="98"/>
    </row>
    <row r="55" spans="2:29" x14ac:dyDescent="0.25">
      <c r="C55" s="79"/>
      <c r="D55" s="80"/>
      <c r="E55" s="80"/>
      <c r="F55" s="80"/>
      <c r="G55" s="80"/>
      <c r="H55" s="80"/>
      <c r="I55" s="80"/>
      <c r="J55" s="80"/>
      <c r="K55" s="80"/>
      <c r="L55" s="80"/>
      <c r="M55" s="80"/>
      <c r="N55" s="80"/>
      <c r="O55" s="80"/>
      <c r="P55" s="80"/>
      <c r="Q55" s="80"/>
      <c r="R55" s="80"/>
      <c r="S55" s="80"/>
      <c r="T55" s="80"/>
      <c r="U55" s="80"/>
      <c r="V55" s="80"/>
      <c r="W55" s="80"/>
    </row>
    <row r="56" spans="2:29" hidden="1" x14ac:dyDescent="0.25">
      <c r="B56" s="47" t="s">
        <v>100</v>
      </c>
      <c r="C56" s="78"/>
      <c r="T56" s="80"/>
      <c r="U56" s="80"/>
      <c r="V56" s="80"/>
      <c r="W56" s="80"/>
    </row>
    <row r="57" spans="2:29" hidden="1" x14ac:dyDescent="0.25">
      <c r="B57" s="47"/>
      <c r="C57" s="78"/>
      <c r="T57" s="80"/>
      <c r="U57" s="80"/>
      <c r="V57" s="80"/>
      <c r="W57" s="80"/>
    </row>
    <row r="58" spans="2:29" hidden="1" x14ac:dyDescent="0.25">
      <c r="B58" s="108" t="s">
        <v>105</v>
      </c>
      <c r="C58" s="8" t="s">
        <v>22</v>
      </c>
      <c r="D58" s="16">
        <v>0</v>
      </c>
      <c r="E58" s="16">
        <v>1</v>
      </c>
      <c r="F58" s="16">
        <v>2</v>
      </c>
      <c r="G58" s="16">
        <v>3</v>
      </c>
      <c r="H58" s="16">
        <v>4</v>
      </c>
      <c r="I58" s="16">
        <v>5</v>
      </c>
      <c r="J58" s="16">
        <v>6</v>
      </c>
      <c r="K58" s="16">
        <v>7</v>
      </c>
      <c r="L58" s="16">
        <v>8</v>
      </c>
      <c r="M58" s="16">
        <v>9</v>
      </c>
      <c r="N58" s="16">
        <v>10</v>
      </c>
      <c r="O58" s="16">
        <v>11</v>
      </c>
      <c r="P58" s="16">
        <v>12</v>
      </c>
      <c r="Q58" s="16">
        <v>13</v>
      </c>
      <c r="R58" s="16">
        <v>14</v>
      </c>
      <c r="S58" s="16">
        <v>15</v>
      </c>
      <c r="T58" s="16">
        <v>16</v>
      </c>
      <c r="U58" s="16">
        <v>17</v>
      </c>
      <c r="V58" s="16">
        <v>18</v>
      </c>
      <c r="W58" s="16">
        <v>19</v>
      </c>
      <c r="X58" s="16">
        <v>20</v>
      </c>
      <c r="Y58" s="16">
        <v>21</v>
      </c>
      <c r="Z58" s="16">
        <v>22</v>
      </c>
      <c r="AA58" s="16">
        <v>23</v>
      </c>
      <c r="AB58" s="16">
        <v>24</v>
      </c>
    </row>
    <row r="59" spans="2:29" hidden="1" x14ac:dyDescent="0.25">
      <c r="B59" s="51" t="s">
        <v>95</v>
      </c>
      <c r="C59" s="51"/>
      <c r="D59" s="82"/>
      <c r="E59" s="82">
        <f>D64</f>
        <v>0</v>
      </c>
      <c r="F59" s="82">
        <f t="shared" ref="F59:AB59" si="54">E64</f>
        <v>80000</v>
      </c>
      <c r="G59" s="82">
        <f t="shared" si="54"/>
        <v>160000</v>
      </c>
      <c r="H59" s="82">
        <f t="shared" si="54"/>
        <v>220000</v>
      </c>
      <c r="I59" s="82">
        <f t="shared" si="54"/>
        <v>120000</v>
      </c>
      <c r="J59" s="112">
        <f t="shared" si="54"/>
        <v>20000</v>
      </c>
      <c r="K59" s="82">
        <f t="shared" si="54"/>
        <v>0</v>
      </c>
      <c r="L59" s="82">
        <f t="shared" si="54"/>
        <v>0</v>
      </c>
      <c r="M59" s="82">
        <f t="shared" si="54"/>
        <v>0</v>
      </c>
      <c r="N59" s="82">
        <f t="shared" si="54"/>
        <v>0</v>
      </c>
      <c r="O59" s="82">
        <f t="shared" si="54"/>
        <v>0</v>
      </c>
      <c r="P59" s="82">
        <f t="shared" si="54"/>
        <v>0</v>
      </c>
      <c r="Q59" s="82">
        <f t="shared" si="54"/>
        <v>0</v>
      </c>
      <c r="R59" s="82">
        <f t="shared" si="54"/>
        <v>0</v>
      </c>
      <c r="S59" s="82">
        <f t="shared" si="54"/>
        <v>0</v>
      </c>
      <c r="T59" s="82">
        <f t="shared" si="54"/>
        <v>0</v>
      </c>
      <c r="U59" s="82">
        <f t="shared" si="54"/>
        <v>0</v>
      </c>
      <c r="V59" s="82">
        <f t="shared" si="54"/>
        <v>0</v>
      </c>
      <c r="W59" s="82">
        <f t="shared" si="54"/>
        <v>0</v>
      </c>
      <c r="X59" s="82">
        <f t="shared" si="54"/>
        <v>0</v>
      </c>
      <c r="Y59" s="82">
        <f t="shared" si="54"/>
        <v>0</v>
      </c>
      <c r="Z59" s="82">
        <f t="shared" si="54"/>
        <v>0</v>
      </c>
      <c r="AA59" s="82">
        <f t="shared" si="54"/>
        <v>0</v>
      </c>
      <c r="AB59" s="82">
        <f t="shared" si="54"/>
        <v>0</v>
      </c>
      <c r="AC59" s="98"/>
    </row>
    <row r="60" spans="2:29" hidden="1" x14ac:dyDescent="0.25">
      <c r="B60" s="74" t="s">
        <v>96</v>
      </c>
      <c r="C60" s="51"/>
      <c r="D60" s="81">
        <f t="shared" ref="D60:AB60" si="55">$C29*D6</f>
        <v>0</v>
      </c>
      <c r="E60" s="81">
        <f t="shared" si="55"/>
        <v>80000</v>
      </c>
      <c r="F60" s="81">
        <f t="shared" si="55"/>
        <v>120000</v>
      </c>
      <c r="G60" s="81">
        <f t="shared" si="55"/>
        <v>160000</v>
      </c>
      <c r="H60" s="81">
        <f t="shared" si="55"/>
        <v>40000</v>
      </c>
      <c r="I60" s="81">
        <f t="shared" si="55"/>
        <v>0</v>
      </c>
      <c r="J60" s="81">
        <f t="shared" si="55"/>
        <v>0</v>
      </c>
      <c r="K60" s="81">
        <f t="shared" si="55"/>
        <v>0</v>
      </c>
      <c r="L60" s="81">
        <f t="shared" si="55"/>
        <v>0</v>
      </c>
      <c r="M60" s="81">
        <f t="shared" si="55"/>
        <v>0</v>
      </c>
      <c r="N60" s="81">
        <f t="shared" si="55"/>
        <v>0</v>
      </c>
      <c r="O60" s="81">
        <f t="shared" si="55"/>
        <v>0</v>
      </c>
      <c r="P60" s="81">
        <f t="shared" si="55"/>
        <v>0</v>
      </c>
      <c r="Q60" s="81">
        <f t="shared" si="55"/>
        <v>0</v>
      </c>
      <c r="R60" s="81">
        <f t="shared" si="55"/>
        <v>0</v>
      </c>
      <c r="S60" s="81">
        <f t="shared" si="55"/>
        <v>0</v>
      </c>
      <c r="T60" s="81">
        <f t="shared" si="55"/>
        <v>0</v>
      </c>
      <c r="U60" s="81">
        <f t="shared" si="55"/>
        <v>0</v>
      </c>
      <c r="V60" s="81">
        <f t="shared" si="55"/>
        <v>0</v>
      </c>
      <c r="W60" s="81">
        <f t="shared" si="55"/>
        <v>0</v>
      </c>
      <c r="X60" s="81">
        <f t="shared" si="55"/>
        <v>0</v>
      </c>
      <c r="Y60" s="81">
        <f t="shared" si="55"/>
        <v>0</v>
      </c>
      <c r="Z60" s="81">
        <f t="shared" si="55"/>
        <v>0</v>
      </c>
      <c r="AA60" s="81">
        <f t="shared" si="55"/>
        <v>0</v>
      </c>
      <c r="AB60" s="81">
        <f t="shared" si="55"/>
        <v>0</v>
      </c>
      <c r="AC60" s="98">
        <f>SUM(D60:AB60)</f>
        <v>400000</v>
      </c>
    </row>
    <row r="61" spans="2:29" hidden="1" x14ac:dyDescent="0.25">
      <c r="B61" s="51" t="s">
        <v>97</v>
      </c>
      <c r="C61" s="51"/>
      <c r="D61" s="82">
        <v>0</v>
      </c>
      <c r="E61" s="82">
        <f>E59*$C139</f>
        <v>0</v>
      </c>
      <c r="F61" s="82">
        <f t="shared" ref="F61:AB61" si="56">F59*$C139</f>
        <v>19200</v>
      </c>
      <c r="G61" s="82">
        <f t="shared" si="56"/>
        <v>38400</v>
      </c>
      <c r="H61" s="82">
        <f t="shared" si="56"/>
        <v>52800</v>
      </c>
      <c r="I61" s="82">
        <f t="shared" si="56"/>
        <v>28800</v>
      </c>
      <c r="J61" s="82">
        <f t="shared" si="56"/>
        <v>4800</v>
      </c>
      <c r="K61" s="82">
        <f t="shared" si="56"/>
        <v>0</v>
      </c>
      <c r="L61" s="82">
        <f t="shared" si="56"/>
        <v>0</v>
      </c>
      <c r="M61" s="82">
        <f t="shared" si="56"/>
        <v>0</v>
      </c>
      <c r="N61" s="82">
        <f t="shared" si="56"/>
        <v>0</v>
      </c>
      <c r="O61" s="82">
        <f t="shared" si="56"/>
        <v>0</v>
      </c>
      <c r="P61" s="82">
        <f t="shared" si="56"/>
        <v>0</v>
      </c>
      <c r="Q61" s="82">
        <f t="shared" si="56"/>
        <v>0</v>
      </c>
      <c r="R61" s="82">
        <f t="shared" si="56"/>
        <v>0</v>
      </c>
      <c r="S61" s="82">
        <f t="shared" si="56"/>
        <v>0</v>
      </c>
      <c r="T61" s="82">
        <f t="shared" si="56"/>
        <v>0</v>
      </c>
      <c r="U61" s="82">
        <f t="shared" si="56"/>
        <v>0</v>
      </c>
      <c r="V61" s="82">
        <f t="shared" si="56"/>
        <v>0</v>
      </c>
      <c r="W61" s="82">
        <f t="shared" si="56"/>
        <v>0</v>
      </c>
      <c r="X61" s="82">
        <f t="shared" si="56"/>
        <v>0</v>
      </c>
      <c r="Y61" s="82">
        <f t="shared" si="56"/>
        <v>0</v>
      </c>
      <c r="Z61" s="82">
        <f t="shared" si="56"/>
        <v>0</v>
      </c>
      <c r="AA61" s="82">
        <f t="shared" si="56"/>
        <v>0</v>
      </c>
      <c r="AB61" s="82">
        <f t="shared" si="56"/>
        <v>0</v>
      </c>
      <c r="AC61" s="98">
        <f>SUM(D61:AB61)</f>
        <v>144000</v>
      </c>
    </row>
    <row r="62" spans="2:29" hidden="1" x14ac:dyDescent="0.25">
      <c r="B62" s="51" t="s">
        <v>99</v>
      </c>
      <c r="C62" s="51"/>
      <c r="D62" s="82">
        <f>D52</f>
        <v>0</v>
      </c>
      <c r="E62" s="82">
        <f t="shared" ref="E62:AB62" si="57">E52</f>
        <v>0</v>
      </c>
      <c r="F62" s="82">
        <f t="shared" si="57"/>
        <v>40000</v>
      </c>
      <c r="G62" s="82">
        <f t="shared" si="57"/>
        <v>100000</v>
      </c>
      <c r="H62" s="82">
        <f t="shared" si="57"/>
        <v>140000</v>
      </c>
      <c r="I62" s="82">
        <f t="shared" si="57"/>
        <v>100000</v>
      </c>
      <c r="J62" s="82">
        <f t="shared" si="57"/>
        <v>20000</v>
      </c>
      <c r="K62" s="82">
        <f t="shared" si="57"/>
        <v>0</v>
      </c>
      <c r="L62" s="82">
        <f t="shared" si="57"/>
        <v>0</v>
      </c>
      <c r="M62" s="82">
        <f t="shared" si="57"/>
        <v>0</v>
      </c>
      <c r="N62" s="82">
        <f t="shared" si="57"/>
        <v>0</v>
      </c>
      <c r="O62" s="82">
        <f t="shared" si="57"/>
        <v>0</v>
      </c>
      <c r="P62" s="82">
        <f t="shared" si="57"/>
        <v>0</v>
      </c>
      <c r="Q62" s="82">
        <f t="shared" si="57"/>
        <v>0</v>
      </c>
      <c r="R62" s="82">
        <f t="shared" si="57"/>
        <v>0</v>
      </c>
      <c r="S62" s="82">
        <f t="shared" si="57"/>
        <v>0</v>
      </c>
      <c r="T62" s="82">
        <f t="shared" si="57"/>
        <v>0</v>
      </c>
      <c r="U62" s="82">
        <f t="shared" si="57"/>
        <v>0</v>
      </c>
      <c r="V62" s="82">
        <f t="shared" si="57"/>
        <v>0</v>
      </c>
      <c r="W62" s="82">
        <f t="shared" si="57"/>
        <v>0</v>
      </c>
      <c r="X62" s="82">
        <f t="shared" si="57"/>
        <v>0</v>
      </c>
      <c r="Y62" s="82">
        <f t="shared" si="57"/>
        <v>0</v>
      </c>
      <c r="Z62" s="82">
        <f t="shared" si="57"/>
        <v>0</v>
      </c>
      <c r="AA62" s="82">
        <f t="shared" si="57"/>
        <v>0</v>
      </c>
      <c r="AB62" s="82">
        <f t="shared" si="57"/>
        <v>0</v>
      </c>
      <c r="AC62" s="98">
        <f>SUM(D62:AB62)</f>
        <v>400000</v>
      </c>
    </row>
    <row r="63" spans="2:29" hidden="1" x14ac:dyDescent="0.25">
      <c r="B63" s="51" t="s">
        <v>145</v>
      </c>
      <c r="C63" s="51"/>
      <c r="D63" s="82">
        <f>D61+D62</f>
        <v>0</v>
      </c>
      <c r="E63" s="82">
        <f t="shared" ref="E63" si="58">E61+E62</f>
        <v>0</v>
      </c>
      <c r="F63" s="82">
        <f t="shared" ref="F63" si="59">F61+F62</f>
        <v>59200</v>
      </c>
      <c r="G63" s="82">
        <f t="shared" ref="G63" si="60">G61+G62</f>
        <v>138400</v>
      </c>
      <c r="H63" s="82">
        <f t="shared" ref="H63" si="61">H61+H62</f>
        <v>192800</v>
      </c>
      <c r="I63" s="82">
        <f t="shared" ref="I63" si="62">I61+I62</f>
        <v>128800</v>
      </c>
      <c r="J63" s="112">
        <f t="shared" ref="J63" si="63">J61+J62</f>
        <v>24800</v>
      </c>
      <c r="K63" s="82">
        <f t="shared" ref="K63" si="64">K61+K62</f>
        <v>0</v>
      </c>
      <c r="L63" s="82">
        <f t="shared" ref="L63" si="65">L61+L62</f>
        <v>0</v>
      </c>
      <c r="M63" s="82">
        <f t="shared" ref="M63" si="66">M61+M62</f>
        <v>0</v>
      </c>
      <c r="N63" s="82">
        <f t="shared" ref="N63" si="67">N61+N62</f>
        <v>0</v>
      </c>
      <c r="O63" s="82">
        <f t="shared" ref="O63" si="68">O61+O62</f>
        <v>0</v>
      </c>
      <c r="P63" s="82">
        <f t="shared" ref="P63" si="69">P61+P62</f>
        <v>0</v>
      </c>
      <c r="Q63" s="82">
        <f t="shared" ref="Q63" si="70">Q61+Q62</f>
        <v>0</v>
      </c>
      <c r="R63" s="82">
        <f t="shared" ref="R63" si="71">R61+R62</f>
        <v>0</v>
      </c>
      <c r="S63" s="82">
        <f t="shared" ref="S63" si="72">S61+S62</f>
        <v>0</v>
      </c>
      <c r="T63" s="82">
        <f t="shared" ref="T63" si="73">T61+T62</f>
        <v>0</v>
      </c>
      <c r="U63" s="82">
        <f t="shared" ref="U63" si="74">U61+U62</f>
        <v>0</v>
      </c>
      <c r="V63" s="82">
        <f t="shared" ref="V63" si="75">V61+V62</f>
        <v>0</v>
      </c>
      <c r="W63" s="82">
        <f t="shared" ref="W63" si="76">W61+W62</f>
        <v>0</v>
      </c>
      <c r="X63" s="82">
        <f t="shared" ref="X63" si="77">X61+X62</f>
        <v>0</v>
      </c>
      <c r="Y63" s="82">
        <f t="shared" ref="Y63" si="78">Y61+Y62</f>
        <v>0</v>
      </c>
      <c r="Z63" s="82">
        <f t="shared" ref="Z63" si="79">Z61+Z62</f>
        <v>0</v>
      </c>
      <c r="AA63" s="82">
        <f t="shared" ref="AA63" si="80">AA61+AA62</f>
        <v>0</v>
      </c>
      <c r="AB63" s="82">
        <f t="shared" ref="AB63" si="81">AB61+AB62</f>
        <v>0</v>
      </c>
      <c r="AC63" s="98">
        <f>SUM(D63:AB63)</f>
        <v>544000</v>
      </c>
    </row>
    <row r="64" spans="2:29" hidden="1" x14ac:dyDescent="0.25">
      <c r="B64" s="51" t="s">
        <v>98</v>
      </c>
      <c r="C64" s="51"/>
      <c r="D64" s="82">
        <f>D59+D60-D63</f>
        <v>0</v>
      </c>
      <c r="E64" s="82">
        <f>E59+E60-E63+E61</f>
        <v>80000</v>
      </c>
      <c r="F64" s="82">
        <f t="shared" ref="F64" si="82">F59+F60-F63+F61</f>
        <v>160000</v>
      </c>
      <c r="G64" s="82">
        <f t="shared" ref="G64" si="83">G59+G60-G63+G61</f>
        <v>220000</v>
      </c>
      <c r="H64" s="82">
        <f t="shared" ref="H64" si="84">H59+H60-H63+H61</f>
        <v>120000</v>
      </c>
      <c r="I64" s="82">
        <f t="shared" ref="I64" si="85">I59+I60-I63+I61</f>
        <v>20000</v>
      </c>
      <c r="J64" s="112">
        <f t="shared" ref="J64" si="86">J59+J60-J63+J61</f>
        <v>0</v>
      </c>
      <c r="K64" s="82">
        <f t="shared" ref="K64" si="87">K59+K60-K63+K61</f>
        <v>0</v>
      </c>
      <c r="L64" s="82">
        <f t="shared" ref="L64" si="88">L59+L60-L63+L61</f>
        <v>0</v>
      </c>
      <c r="M64" s="82">
        <f t="shared" ref="M64" si="89">M59+M60-M63+M61</f>
        <v>0</v>
      </c>
      <c r="N64" s="82">
        <f t="shared" ref="N64" si="90">N59+N60-N63+N61</f>
        <v>0</v>
      </c>
      <c r="O64" s="82">
        <f t="shared" ref="O64" si="91">O59+O60-O63+O61</f>
        <v>0</v>
      </c>
      <c r="P64" s="82">
        <f t="shared" ref="P64" si="92">P59+P60-P63+P61</f>
        <v>0</v>
      </c>
      <c r="Q64" s="82">
        <f t="shared" ref="Q64" si="93">Q59+Q60-Q63+Q61</f>
        <v>0</v>
      </c>
      <c r="R64" s="82">
        <f t="shared" ref="R64" si="94">R59+R60-R63+R61</f>
        <v>0</v>
      </c>
      <c r="S64" s="82">
        <f t="shared" ref="S64" si="95">S59+S60-S63+S61</f>
        <v>0</v>
      </c>
      <c r="T64" s="82">
        <f t="shared" ref="T64" si="96">T59+T60-T63+T61</f>
        <v>0</v>
      </c>
      <c r="U64" s="82">
        <f t="shared" ref="U64" si="97">U59+U60-U63+U61</f>
        <v>0</v>
      </c>
      <c r="V64" s="82">
        <f t="shared" ref="V64" si="98">V59+V60-V63+V61</f>
        <v>0</v>
      </c>
      <c r="W64" s="82">
        <f t="shared" ref="W64" si="99">W59+W60-W63+W61</f>
        <v>0</v>
      </c>
      <c r="X64" s="82">
        <f t="shared" ref="X64" si="100">X59+X60-X63+X61</f>
        <v>0</v>
      </c>
      <c r="Y64" s="82">
        <f t="shared" ref="Y64" si="101">Y59+Y60-Y63+Y61</f>
        <v>0</v>
      </c>
      <c r="Z64" s="82">
        <f t="shared" ref="Z64" si="102">Z59+Z60-Z63+Z61</f>
        <v>0</v>
      </c>
      <c r="AA64" s="82">
        <f t="shared" ref="AA64" si="103">AA59+AA60-AA63+AA61</f>
        <v>0</v>
      </c>
      <c r="AB64" s="82">
        <f t="shared" ref="AB64" si="104">AB59+AB60-AB63+AB61</f>
        <v>0</v>
      </c>
      <c r="AC64" s="98"/>
    </row>
    <row r="65" spans="1:29" hidden="1" x14ac:dyDescent="0.25">
      <c r="B65" s="108"/>
      <c r="C65" s="8"/>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9" hidden="1" x14ac:dyDescent="0.25">
      <c r="B66" s="47" t="s">
        <v>101</v>
      </c>
      <c r="C66" s="78"/>
      <c r="T66" s="80"/>
      <c r="U66" s="80"/>
      <c r="V66" s="80"/>
      <c r="W66" s="80"/>
    </row>
    <row r="67" spans="1:29" hidden="1" x14ac:dyDescent="0.25">
      <c r="B67" s="108" t="s">
        <v>105</v>
      </c>
      <c r="C67" s="78"/>
      <c r="T67" s="80"/>
      <c r="U67" s="80"/>
      <c r="V67" s="80"/>
      <c r="W67" s="80"/>
    </row>
    <row r="68" spans="1:29" hidden="1" x14ac:dyDescent="0.25">
      <c r="B68" s="51" t="s">
        <v>95</v>
      </c>
      <c r="C68" s="51"/>
      <c r="D68" s="82"/>
      <c r="E68" s="82">
        <f>D73</f>
        <v>0</v>
      </c>
      <c r="F68" s="82">
        <f t="shared" ref="F68:AB68" si="105">E73</f>
        <v>80000</v>
      </c>
      <c r="G68" s="82">
        <f t="shared" si="105"/>
        <v>160000</v>
      </c>
      <c r="H68" s="82">
        <f t="shared" si="105"/>
        <v>220000</v>
      </c>
      <c r="I68" s="82">
        <f t="shared" si="105"/>
        <v>120000</v>
      </c>
      <c r="J68" s="112">
        <f t="shared" si="105"/>
        <v>20000</v>
      </c>
      <c r="K68" s="82">
        <f t="shared" si="105"/>
        <v>0</v>
      </c>
      <c r="L68" s="82">
        <f t="shared" si="105"/>
        <v>0</v>
      </c>
      <c r="M68" s="82">
        <f t="shared" si="105"/>
        <v>0</v>
      </c>
      <c r="N68" s="82">
        <f t="shared" si="105"/>
        <v>0</v>
      </c>
      <c r="O68" s="82">
        <f t="shared" si="105"/>
        <v>0</v>
      </c>
      <c r="P68" s="82">
        <f t="shared" si="105"/>
        <v>0</v>
      </c>
      <c r="Q68" s="82">
        <f t="shared" si="105"/>
        <v>0</v>
      </c>
      <c r="R68" s="82">
        <f t="shared" si="105"/>
        <v>0</v>
      </c>
      <c r="S68" s="82">
        <f t="shared" si="105"/>
        <v>0</v>
      </c>
      <c r="T68" s="82">
        <f t="shared" si="105"/>
        <v>0</v>
      </c>
      <c r="U68" s="82">
        <f t="shared" si="105"/>
        <v>0</v>
      </c>
      <c r="V68" s="82">
        <f t="shared" si="105"/>
        <v>0</v>
      </c>
      <c r="W68" s="82">
        <f t="shared" si="105"/>
        <v>0</v>
      </c>
      <c r="X68" s="82">
        <f t="shared" si="105"/>
        <v>0</v>
      </c>
      <c r="Y68" s="82">
        <f t="shared" si="105"/>
        <v>0</v>
      </c>
      <c r="Z68" s="82">
        <f t="shared" si="105"/>
        <v>0</v>
      </c>
      <c r="AA68" s="82">
        <f t="shared" si="105"/>
        <v>0</v>
      </c>
      <c r="AB68" s="82">
        <f t="shared" si="105"/>
        <v>0</v>
      </c>
      <c r="AC68" s="98"/>
    </row>
    <row r="69" spans="1:29" hidden="1" x14ac:dyDescent="0.25">
      <c r="B69" s="74" t="s">
        <v>96</v>
      </c>
      <c r="C69" s="51"/>
      <c r="D69" s="81">
        <f>$C60*D47</f>
        <v>0</v>
      </c>
      <c r="E69" s="81">
        <f t="shared" ref="E69:AB69" si="106">$C29*E6</f>
        <v>80000</v>
      </c>
      <c r="F69" s="81">
        <f t="shared" si="106"/>
        <v>120000</v>
      </c>
      <c r="G69" s="81">
        <f t="shared" si="106"/>
        <v>160000</v>
      </c>
      <c r="H69" s="81">
        <f t="shared" si="106"/>
        <v>40000</v>
      </c>
      <c r="I69" s="81">
        <f t="shared" si="106"/>
        <v>0</v>
      </c>
      <c r="J69" s="81">
        <f t="shared" si="106"/>
        <v>0</v>
      </c>
      <c r="K69" s="81">
        <f t="shared" si="106"/>
        <v>0</v>
      </c>
      <c r="L69" s="81">
        <f t="shared" si="106"/>
        <v>0</v>
      </c>
      <c r="M69" s="81">
        <f t="shared" si="106"/>
        <v>0</v>
      </c>
      <c r="N69" s="81">
        <f t="shared" si="106"/>
        <v>0</v>
      </c>
      <c r="O69" s="81">
        <f t="shared" si="106"/>
        <v>0</v>
      </c>
      <c r="P69" s="81">
        <f t="shared" si="106"/>
        <v>0</v>
      </c>
      <c r="Q69" s="81">
        <f t="shared" si="106"/>
        <v>0</v>
      </c>
      <c r="R69" s="81">
        <f t="shared" si="106"/>
        <v>0</v>
      </c>
      <c r="S69" s="81">
        <f t="shared" si="106"/>
        <v>0</v>
      </c>
      <c r="T69" s="81">
        <f t="shared" si="106"/>
        <v>0</v>
      </c>
      <c r="U69" s="81">
        <f t="shared" si="106"/>
        <v>0</v>
      </c>
      <c r="V69" s="81">
        <f t="shared" si="106"/>
        <v>0</v>
      </c>
      <c r="W69" s="81">
        <f t="shared" si="106"/>
        <v>0</v>
      </c>
      <c r="X69" s="81">
        <f t="shared" si="106"/>
        <v>0</v>
      </c>
      <c r="Y69" s="81">
        <f t="shared" si="106"/>
        <v>0</v>
      </c>
      <c r="Z69" s="81">
        <f t="shared" si="106"/>
        <v>0</v>
      </c>
      <c r="AA69" s="81">
        <f t="shared" si="106"/>
        <v>0</v>
      </c>
      <c r="AB69" s="81">
        <f t="shared" si="106"/>
        <v>0</v>
      </c>
      <c r="AC69" s="98">
        <f>SUM(D69:AB69)</f>
        <v>400000</v>
      </c>
    </row>
    <row r="70" spans="1:29" hidden="1" x14ac:dyDescent="0.25">
      <c r="B70" s="51" t="s">
        <v>97</v>
      </c>
      <c r="C70" s="51"/>
      <c r="D70" s="82">
        <v>0</v>
      </c>
      <c r="E70" s="82">
        <f>E68*$C139</f>
        <v>0</v>
      </c>
      <c r="F70" s="82">
        <f t="shared" ref="F70:AB70" si="107">F68*$C139</f>
        <v>19200</v>
      </c>
      <c r="G70" s="82">
        <f t="shared" si="107"/>
        <v>38400</v>
      </c>
      <c r="H70" s="82">
        <f t="shared" si="107"/>
        <v>52800</v>
      </c>
      <c r="I70" s="82">
        <f t="shared" si="107"/>
        <v>28800</v>
      </c>
      <c r="J70" s="82">
        <f t="shared" si="107"/>
        <v>4800</v>
      </c>
      <c r="K70" s="82">
        <f t="shared" si="107"/>
        <v>0</v>
      </c>
      <c r="L70" s="82">
        <f t="shared" si="107"/>
        <v>0</v>
      </c>
      <c r="M70" s="82">
        <f t="shared" si="107"/>
        <v>0</v>
      </c>
      <c r="N70" s="82">
        <f t="shared" si="107"/>
        <v>0</v>
      </c>
      <c r="O70" s="82">
        <f t="shared" si="107"/>
        <v>0</v>
      </c>
      <c r="P70" s="82">
        <f t="shared" si="107"/>
        <v>0</v>
      </c>
      <c r="Q70" s="82">
        <f t="shared" si="107"/>
        <v>0</v>
      </c>
      <c r="R70" s="82">
        <f t="shared" si="107"/>
        <v>0</v>
      </c>
      <c r="S70" s="82">
        <f t="shared" si="107"/>
        <v>0</v>
      </c>
      <c r="T70" s="82">
        <f t="shared" si="107"/>
        <v>0</v>
      </c>
      <c r="U70" s="82">
        <f t="shared" si="107"/>
        <v>0</v>
      </c>
      <c r="V70" s="82">
        <f t="shared" si="107"/>
        <v>0</v>
      </c>
      <c r="W70" s="82">
        <f t="shared" si="107"/>
        <v>0</v>
      </c>
      <c r="X70" s="82">
        <f t="shared" si="107"/>
        <v>0</v>
      </c>
      <c r="Y70" s="82">
        <f t="shared" si="107"/>
        <v>0</v>
      </c>
      <c r="Z70" s="82">
        <f t="shared" si="107"/>
        <v>0</v>
      </c>
      <c r="AA70" s="82">
        <f t="shared" si="107"/>
        <v>0</v>
      </c>
      <c r="AB70" s="82">
        <f t="shared" si="107"/>
        <v>0</v>
      </c>
      <c r="AC70" s="98">
        <f>SUM(D70:AB70)</f>
        <v>144000</v>
      </c>
    </row>
    <row r="71" spans="1:29" hidden="1" x14ac:dyDescent="0.25">
      <c r="B71" s="51" t="s">
        <v>99</v>
      </c>
      <c r="C71" s="51"/>
      <c r="D71" s="82">
        <v>0</v>
      </c>
      <c r="E71" s="82">
        <f>E62</f>
        <v>0</v>
      </c>
      <c r="F71" s="82">
        <f t="shared" ref="F71:AB71" si="108">F62</f>
        <v>40000</v>
      </c>
      <c r="G71" s="82">
        <f t="shared" si="108"/>
        <v>100000</v>
      </c>
      <c r="H71" s="82">
        <f t="shared" si="108"/>
        <v>140000</v>
      </c>
      <c r="I71" s="82">
        <f t="shared" si="108"/>
        <v>100000</v>
      </c>
      <c r="J71" s="82">
        <f t="shared" si="108"/>
        <v>20000</v>
      </c>
      <c r="K71" s="82">
        <f t="shared" si="108"/>
        <v>0</v>
      </c>
      <c r="L71" s="82">
        <f t="shared" si="108"/>
        <v>0</v>
      </c>
      <c r="M71" s="82">
        <f t="shared" si="108"/>
        <v>0</v>
      </c>
      <c r="N71" s="82">
        <f t="shared" si="108"/>
        <v>0</v>
      </c>
      <c r="O71" s="82">
        <f t="shared" si="108"/>
        <v>0</v>
      </c>
      <c r="P71" s="82">
        <f t="shared" si="108"/>
        <v>0</v>
      </c>
      <c r="Q71" s="82">
        <f t="shared" si="108"/>
        <v>0</v>
      </c>
      <c r="R71" s="82">
        <f t="shared" si="108"/>
        <v>0</v>
      </c>
      <c r="S71" s="82">
        <f t="shared" si="108"/>
        <v>0</v>
      </c>
      <c r="T71" s="82">
        <f t="shared" si="108"/>
        <v>0</v>
      </c>
      <c r="U71" s="82">
        <f t="shared" si="108"/>
        <v>0</v>
      </c>
      <c r="V71" s="82">
        <f t="shared" si="108"/>
        <v>0</v>
      </c>
      <c r="W71" s="82">
        <f t="shared" si="108"/>
        <v>0</v>
      </c>
      <c r="X71" s="82">
        <f t="shared" si="108"/>
        <v>0</v>
      </c>
      <c r="Y71" s="82">
        <f t="shared" si="108"/>
        <v>0</v>
      </c>
      <c r="Z71" s="82">
        <f t="shared" si="108"/>
        <v>0</v>
      </c>
      <c r="AA71" s="82">
        <f t="shared" si="108"/>
        <v>0</v>
      </c>
      <c r="AB71" s="82">
        <f t="shared" si="108"/>
        <v>0</v>
      </c>
      <c r="AC71" s="98">
        <f>SUM(D71:AB71)</f>
        <v>400000</v>
      </c>
    </row>
    <row r="72" spans="1:29" hidden="1" x14ac:dyDescent="0.25">
      <c r="B72" s="51" t="s">
        <v>145</v>
      </c>
      <c r="C72" s="51"/>
      <c r="D72" s="82">
        <f>D70+D71</f>
        <v>0</v>
      </c>
      <c r="E72" s="82">
        <f t="shared" ref="E72" si="109">E70+E71</f>
        <v>0</v>
      </c>
      <c r="F72" s="82">
        <f t="shared" ref="F72" si="110">F70+F71</f>
        <v>59200</v>
      </c>
      <c r="G72" s="82">
        <f t="shared" ref="G72" si="111">G70+G71</f>
        <v>138400</v>
      </c>
      <c r="H72" s="82">
        <f t="shared" ref="H72" si="112">H70+H71</f>
        <v>192800</v>
      </c>
      <c r="I72" s="82">
        <f t="shared" ref="I72" si="113">I70+I71</f>
        <v>128800</v>
      </c>
      <c r="J72" s="112">
        <f t="shared" ref="J72" si="114">J70+J71</f>
        <v>24800</v>
      </c>
      <c r="K72" s="82">
        <f t="shared" ref="K72" si="115">K70+K71</f>
        <v>0</v>
      </c>
      <c r="L72" s="82">
        <f t="shared" ref="L72" si="116">L70+L71</f>
        <v>0</v>
      </c>
      <c r="M72" s="82">
        <f t="shared" ref="M72" si="117">M70+M71</f>
        <v>0</v>
      </c>
      <c r="N72" s="82">
        <f t="shared" ref="N72" si="118">N70+N71</f>
        <v>0</v>
      </c>
      <c r="O72" s="82">
        <f t="shared" ref="O72" si="119">O70+O71</f>
        <v>0</v>
      </c>
      <c r="P72" s="82">
        <f t="shared" ref="P72" si="120">P70+P71</f>
        <v>0</v>
      </c>
      <c r="Q72" s="82">
        <f t="shared" ref="Q72" si="121">Q70+Q71</f>
        <v>0</v>
      </c>
      <c r="R72" s="82">
        <f t="shared" ref="R72" si="122">R70+R71</f>
        <v>0</v>
      </c>
      <c r="S72" s="82">
        <f t="shared" ref="S72" si="123">S70+S71</f>
        <v>0</v>
      </c>
      <c r="T72" s="82">
        <f t="shared" ref="T72" si="124">T70+T71</f>
        <v>0</v>
      </c>
      <c r="U72" s="82">
        <f t="shared" ref="U72" si="125">U70+U71</f>
        <v>0</v>
      </c>
      <c r="V72" s="82">
        <f t="shared" ref="V72" si="126">V70+V71</f>
        <v>0</v>
      </c>
      <c r="W72" s="82">
        <f t="shared" ref="W72" si="127">W70+W71</f>
        <v>0</v>
      </c>
      <c r="X72" s="82">
        <f t="shared" ref="X72" si="128">X70+X71</f>
        <v>0</v>
      </c>
      <c r="Y72" s="82">
        <f t="shared" ref="Y72" si="129">Y70+Y71</f>
        <v>0</v>
      </c>
      <c r="Z72" s="82">
        <f t="shared" ref="Z72" si="130">Z70+Z71</f>
        <v>0</v>
      </c>
      <c r="AA72" s="82">
        <f t="shared" ref="AA72" si="131">AA70+AA71</f>
        <v>0</v>
      </c>
      <c r="AB72" s="82">
        <f t="shared" ref="AB72" si="132">AB70+AB71</f>
        <v>0</v>
      </c>
      <c r="AC72" s="98">
        <f>SUM(D72:AB72)</f>
        <v>544000</v>
      </c>
    </row>
    <row r="73" spans="1:29" hidden="1" x14ac:dyDescent="0.25">
      <c r="B73" s="51" t="s">
        <v>98</v>
      </c>
      <c r="C73" s="51"/>
      <c r="D73" s="82">
        <f>D68+D69-D72</f>
        <v>0</v>
      </c>
      <c r="E73" s="82">
        <f>E68+E69-E72+E70</f>
        <v>80000</v>
      </c>
      <c r="F73" s="82">
        <f t="shared" ref="F73" si="133">F68+F69-F72+F70</f>
        <v>160000</v>
      </c>
      <c r="G73" s="82">
        <f t="shared" ref="G73" si="134">G68+G69-G72+G70</f>
        <v>220000</v>
      </c>
      <c r="H73" s="82">
        <f t="shared" ref="H73" si="135">H68+H69-H72+H70</f>
        <v>120000</v>
      </c>
      <c r="I73" s="82">
        <f t="shared" ref="I73" si="136">I68+I69-I72+I70</f>
        <v>20000</v>
      </c>
      <c r="J73" s="112">
        <f t="shared" ref="J73" si="137">J68+J69-J72+J70</f>
        <v>0</v>
      </c>
      <c r="K73" s="82">
        <f t="shared" ref="K73" si="138">K68+K69-K72+K70</f>
        <v>0</v>
      </c>
      <c r="L73" s="82">
        <f t="shared" ref="L73" si="139">L68+L69-L72+L70</f>
        <v>0</v>
      </c>
      <c r="M73" s="82">
        <f t="shared" ref="M73" si="140">M68+M69-M72+M70</f>
        <v>0</v>
      </c>
      <c r="N73" s="82">
        <f t="shared" ref="N73" si="141">N68+N69-N72+N70</f>
        <v>0</v>
      </c>
      <c r="O73" s="82">
        <f t="shared" ref="O73" si="142">O68+O69-O72+O70</f>
        <v>0</v>
      </c>
      <c r="P73" s="82">
        <f t="shared" ref="P73" si="143">P68+P69-P72+P70</f>
        <v>0</v>
      </c>
      <c r="Q73" s="82">
        <f t="shared" ref="Q73" si="144">Q68+Q69-Q72+Q70</f>
        <v>0</v>
      </c>
      <c r="R73" s="82">
        <f t="shared" ref="R73" si="145">R68+R69-R72+R70</f>
        <v>0</v>
      </c>
      <c r="S73" s="82">
        <f t="shared" ref="S73" si="146">S68+S69-S72+S70</f>
        <v>0</v>
      </c>
      <c r="T73" s="82">
        <f t="shared" ref="T73" si="147">T68+T69-T72+T70</f>
        <v>0</v>
      </c>
      <c r="U73" s="82">
        <f t="shared" ref="U73" si="148">U68+U69-U72+U70</f>
        <v>0</v>
      </c>
      <c r="V73" s="82">
        <f t="shared" ref="V73" si="149">V68+V69-V72+V70</f>
        <v>0</v>
      </c>
      <c r="W73" s="82">
        <f t="shared" ref="W73" si="150">W68+W69-W72+W70</f>
        <v>0</v>
      </c>
      <c r="X73" s="82">
        <f t="shared" ref="X73" si="151">X68+X69-X72+X70</f>
        <v>0</v>
      </c>
      <c r="Y73" s="82">
        <f t="shared" ref="Y73" si="152">Y68+Y69-Y72+Y70</f>
        <v>0</v>
      </c>
      <c r="Z73" s="82">
        <f t="shared" ref="Z73" si="153">Z68+Z69-Z72+Z70</f>
        <v>0</v>
      </c>
      <c r="AA73" s="82">
        <f t="shared" ref="AA73" si="154">AA68+AA69-AA72+AA70</f>
        <v>0</v>
      </c>
      <c r="AB73" s="82">
        <f t="shared" ref="AB73" si="155">AB68+AB69-AB72+AB70</f>
        <v>0</v>
      </c>
      <c r="AC73" s="98"/>
    </row>
    <row r="74" spans="1:29" x14ac:dyDescent="0.25">
      <c r="B74" s="47"/>
      <c r="C74" s="78"/>
      <c r="T74" s="80"/>
      <c r="U74" s="80"/>
      <c r="V74" s="80"/>
      <c r="W74" s="80"/>
    </row>
    <row r="75" spans="1:29" x14ac:dyDescent="0.25">
      <c r="D75" s="80"/>
      <c r="E75" s="80"/>
      <c r="F75" s="80"/>
      <c r="G75" s="80"/>
      <c r="H75" s="80"/>
      <c r="I75" s="80"/>
      <c r="J75" s="80"/>
      <c r="K75" s="80"/>
      <c r="L75" s="80"/>
      <c r="M75" s="80"/>
      <c r="N75" s="80"/>
      <c r="O75" s="80"/>
      <c r="P75" s="80"/>
      <c r="Q75" s="80"/>
      <c r="R75" s="80"/>
      <c r="S75" s="80"/>
      <c r="T75" s="80"/>
      <c r="U75" s="80"/>
      <c r="V75" s="80"/>
      <c r="W75" s="80"/>
    </row>
    <row r="76" spans="1:29" x14ac:dyDescent="0.25">
      <c r="A76" s="70">
        <v>4</v>
      </c>
      <c r="B76" s="47" t="s">
        <v>142</v>
      </c>
      <c r="C76" s="106">
        <v>0.09</v>
      </c>
      <c r="D76" s="80"/>
      <c r="E76" s="80"/>
      <c r="F76" s="80"/>
      <c r="G76" s="80"/>
      <c r="H76" s="80"/>
      <c r="I76" s="80"/>
      <c r="J76" s="80"/>
      <c r="K76" s="80"/>
      <c r="L76" s="80"/>
      <c r="M76" s="80"/>
      <c r="N76" s="80"/>
      <c r="O76" s="80"/>
      <c r="P76" s="80"/>
      <c r="Q76" s="80"/>
      <c r="R76" s="80"/>
      <c r="S76" s="80"/>
      <c r="T76" s="80"/>
      <c r="U76" s="80"/>
      <c r="V76" s="80"/>
      <c r="W76" s="80"/>
    </row>
    <row r="77" spans="1:29" x14ac:dyDescent="0.25">
      <c r="A77" s="100"/>
      <c r="C77" s="78"/>
      <c r="D77" s="80"/>
      <c r="E77" s="80"/>
      <c r="F77" s="80"/>
      <c r="G77" s="80"/>
      <c r="H77" s="80"/>
      <c r="I77" s="80"/>
      <c r="J77" s="80"/>
      <c r="K77" s="80"/>
      <c r="L77" s="80"/>
      <c r="M77" s="80"/>
      <c r="N77" s="80"/>
      <c r="O77" s="80"/>
      <c r="P77" s="80"/>
      <c r="Q77" s="80"/>
      <c r="R77" s="80"/>
      <c r="S77" s="80"/>
      <c r="T77" s="80"/>
      <c r="U77" s="80"/>
      <c r="V77" s="80"/>
      <c r="W77" s="80"/>
    </row>
    <row r="78" spans="1:29" x14ac:dyDescent="0.25">
      <c r="A78" s="70">
        <v>5</v>
      </c>
      <c r="B78" s="47" t="s">
        <v>148</v>
      </c>
      <c r="C78" s="78"/>
      <c r="D78" s="80"/>
      <c r="E78" s="80"/>
      <c r="F78" s="80"/>
      <c r="G78" s="80"/>
      <c r="H78" s="80"/>
      <c r="I78" s="80"/>
      <c r="J78" s="80"/>
      <c r="K78" s="80"/>
      <c r="L78" s="80"/>
      <c r="M78" s="80"/>
      <c r="N78" s="80"/>
      <c r="O78" s="80"/>
      <c r="P78" s="80"/>
      <c r="Q78" s="80"/>
      <c r="R78" s="80"/>
      <c r="S78" s="80"/>
      <c r="T78" s="80"/>
      <c r="U78" s="80"/>
      <c r="V78" s="80"/>
      <c r="W78" s="80"/>
    </row>
    <row r="79" spans="1:29" ht="28.15" customHeight="1" x14ac:dyDescent="0.25">
      <c r="B79" t="s">
        <v>149</v>
      </c>
      <c r="C79" s="274" t="s">
        <v>153</v>
      </c>
      <c r="D79" s="274"/>
      <c r="E79" s="274"/>
      <c r="F79" s="274"/>
      <c r="G79" s="80"/>
      <c r="H79" s="80"/>
      <c r="I79" s="80"/>
      <c r="J79" s="80"/>
      <c r="K79" s="80"/>
      <c r="L79" s="80"/>
      <c r="M79" s="80"/>
      <c r="N79" s="80"/>
      <c r="O79" s="80"/>
      <c r="P79" s="80"/>
      <c r="Q79" s="80"/>
      <c r="R79" s="80"/>
      <c r="S79" s="80"/>
      <c r="T79" s="80"/>
      <c r="U79" s="80"/>
      <c r="V79" s="80"/>
      <c r="W79" s="80"/>
    </row>
    <row r="80" spans="1:29" x14ac:dyDescent="0.25">
      <c r="B80" s="72"/>
      <c r="C80" s="17" t="s">
        <v>22</v>
      </c>
      <c r="D80" s="17">
        <v>1</v>
      </c>
      <c r="E80" s="17">
        <v>2</v>
      </c>
      <c r="F80" s="17">
        <v>3</v>
      </c>
      <c r="G80" s="80"/>
      <c r="H80" s="80"/>
      <c r="I80" s="80"/>
      <c r="J80" s="80"/>
      <c r="K80" s="80"/>
      <c r="L80" s="80"/>
      <c r="M80" s="80"/>
      <c r="N80" s="80"/>
      <c r="O80" s="80"/>
      <c r="P80" s="80"/>
      <c r="Q80" s="80"/>
      <c r="R80" s="80"/>
      <c r="S80" s="80"/>
      <c r="T80" s="80"/>
      <c r="U80" s="80"/>
      <c r="V80" s="80"/>
      <c r="W80" s="80"/>
    </row>
    <row r="81" spans="2:30" x14ac:dyDescent="0.25">
      <c r="B81" t="s">
        <v>92</v>
      </c>
      <c r="C81" s="70"/>
      <c r="D81" s="107">
        <v>0</v>
      </c>
      <c r="E81" s="107">
        <v>0</v>
      </c>
      <c r="F81" s="107">
        <v>1</v>
      </c>
      <c r="G81" s="80"/>
      <c r="H81" s="80"/>
      <c r="I81" s="80"/>
      <c r="J81" s="80"/>
      <c r="K81" s="80"/>
      <c r="L81" s="80"/>
      <c r="M81" s="80"/>
      <c r="N81" s="80"/>
      <c r="O81" s="80"/>
      <c r="P81" s="80"/>
      <c r="Q81" s="80"/>
      <c r="R81" s="80"/>
      <c r="S81" s="80"/>
      <c r="T81" s="80"/>
      <c r="U81" s="80"/>
      <c r="V81" s="80"/>
      <c r="W81" s="80"/>
    </row>
    <row r="82" spans="2:30" x14ac:dyDescent="0.25">
      <c r="B82" t="s">
        <v>94</v>
      </c>
      <c r="C82" s="70"/>
      <c r="D82" s="106">
        <v>0</v>
      </c>
      <c r="E82" s="106">
        <v>0</v>
      </c>
      <c r="F82" s="106">
        <v>0.5</v>
      </c>
      <c r="G82" s="80"/>
      <c r="H82" s="80"/>
      <c r="I82" s="80"/>
      <c r="J82" s="80"/>
      <c r="K82" s="80"/>
      <c r="L82" s="80"/>
      <c r="M82" s="80"/>
      <c r="N82" s="80"/>
      <c r="O82" s="80"/>
      <c r="P82" s="80"/>
      <c r="Q82" s="80"/>
      <c r="R82" s="80"/>
      <c r="S82" s="80"/>
      <c r="T82" s="80"/>
      <c r="U82" s="80"/>
      <c r="V82" s="80"/>
      <c r="W82" s="80"/>
    </row>
    <row r="83" spans="2:30" x14ac:dyDescent="0.25">
      <c r="C83" s="100"/>
      <c r="D83" s="78"/>
      <c r="E83" s="78"/>
      <c r="F83" s="78"/>
      <c r="G83" s="80"/>
      <c r="H83" s="80"/>
      <c r="I83" s="80"/>
      <c r="J83" s="80"/>
      <c r="K83" s="80"/>
      <c r="L83" s="80"/>
      <c r="M83" s="80"/>
      <c r="N83" s="80"/>
      <c r="O83" s="80"/>
      <c r="P83" s="80"/>
      <c r="Q83" s="80"/>
      <c r="R83" s="80"/>
      <c r="S83" s="80"/>
      <c r="T83" s="80"/>
      <c r="U83" s="80"/>
      <c r="V83" s="80"/>
      <c r="W83" s="80"/>
    </row>
    <row r="85" spans="2:30" x14ac:dyDescent="0.25">
      <c r="B85" s="72"/>
      <c r="C85" s="17" t="s">
        <v>22</v>
      </c>
      <c r="D85" s="17">
        <v>0</v>
      </c>
      <c r="E85" s="17">
        <v>1</v>
      </c>
      <c r="F85" s="17">
        <v>2</v>
      </c>
      <c r="G85" s="17">
        <v>3</v>
      </c>
      <c r="H85" s="17">
        <v>4</v>
      </c>
      <c r="I85" s="17">
        <v>5</v>
      </c>
      <c r="J85" s="17">
        <v>6</v>
      </c>
      <c r="K85" s="17">
        <v>7</v>
      </c>
      <c r="L85" s="17">
        <v>8</v>
      </c>
      <c r="M85" s="17">
        <v>9</v>
      </c>
      <c r="N85" s="17">
        <v>10</v>
      </c>
      <c r="O85" s="17">
        <v>11</v>
      </c>
      <c r="P85" s="17">
        <v>12</v>
      </c>
      <c r="Q85" s="17">
        <v>13</v>
      </c>
      <c r="R85" s="17">
        <v>14</v>
      </c>
      <c r="S85" s="17">
        <v>15</v>
      </c>
      <c r="T85" s="17">
        <v>16</v>
      </c>
      <c r="U85" s="17">
        <v>17</v>
      </c>
      <c r="V85" s="17">
        <v>18</v>
      </c>
      <c r="W85" s="17">
        <v>19</v>
      </c>
      <c r="X85" s="17">
        <v>20</v>
      </c>
      <c r="Y85" s="17">
        <v>21</v>
      </c>
      <c r="Z85" s="17">
        <v>22</v>
      </c>
      <c r="AA85" s="17">
        <v>23</v>
      </c>
      <c r="AB85" s="17">
        <v>24</v>
      </c>
    </row>
    <row r="86" spans="2:30" x14ac:dyDescent="0.25">
      <c r="B86" t="s">
        <v>92</v>
      </c>
      <c r="C86" s="70"/>
      <c r="D86" s="70"/>
      <c r="E86" s="70">
        <f>D81</f>
        <v>0</v>
      </c>
      <c r="F86" s="70">
        <f>E81</f>
        <v>0</v>
      </c>
      <c r="G86" s="70">
        <f>F81</f>
        <v>1</v>
      </c>
      <c r="H86" s="70">
        <f>D81</f>
        <v>0</v>
      </c>
      <c r="I86" s="70">
        <f t="shared" ref="I86:J86" si="156">E81</f>
        <v>0</v>
      </c>
      <c r="J86" s="70">
        <f t="shared" si="156"/>
        <v>1</v>
      </c>
      <c r="K86" s="70">
        <f>D81</f>
        <v>0</v>
      </c>
      <c r="L86" s="70">
        <f t="shared" ref="L86:M86" si="157">E81</f>
        <v>0</v>
      </c>
      <c r="M86" s="70">
        <f t="shared" si="157"/>
        <v>1</v>
      </c>
      <c r="N86" s="70">
        <f>D81</f>
        <v>0</v>
      </c>
      <c r="O86" s="70">
        <f t="shared" ref="O86:P86" si="158">E81</f>
        <v>0</v>
      </c>
      <c r="P86" s="70">
        <f t="shared" si="158"/>
        <v>1</v>
      </c>
      <c r="Q86" s="70">
        <f>D81</f>
        <v>0</v>
      </c>
      <c r="R86" s="70">
        <f t="shared" ref="R86:S86" si="159">E81</f>
        <v>0</v>
      </c>
      <c r="S86" s="70">
        <f t="shared" si="159"/>
        <v>1</v>
      </c>
      <c r="T86" s="70">
        <f>D81</f>
        <v>0</v>
      </c>
      <c r="U86" s="70">
        <f t="shared" ref="U86:V86" si="160">E81</f>
        <v>0</v>
      </c>
      <c r="V86" s="70">
        <f t="shared" si="160"/>
        <v>1</v>
      </c>
      <c r="W86" s="70">
        <f>D81</f>
        <v>0</v>
      </c>
      <c r="X86" s="70">
        <f t="shared" ref="X86:Y86" si="161">E81</f>
        <v>0</v>
      </c>
      <c r="Y86" s="70">
        <f t="shared" si="161"/>
        <v>1</v>
      </c>
      <c r="Z86" s="70">
        <f>D81</f>
        <v>0</v>
      </c>
      <c r="AA86" s="70">
        <f t="shared" ref="AA86:AB86" si="162">E81</f>
        <v>0</v>
      </c>
      <c r="AB86" s="70">
        <f t="shared" si="162"/>
        <v>1</v>
      </c>
    </row>
    <row r="87" spans="2:30" x14ac:dyDescent="0.25">
      <c r="B87" t="s">
        <v>94</v>
      </c>
      <c r="C87" s="70"/>
      <c r="D87" s="75"/>
      <c r="E87" s="63">
        <f>$D82</f>
        <v>0</v>
      </c>
      <c r="F87" s="115">
        <f>$E82</f>
        <v>0</v>
      </c>
      <c r="G87" s="115">
        <f>$F82</f>
        <v>0.5</v>
      </c>
      <c r="H87" s="63">
        <f>$D82</f>
        <v>0</v>
      </c>
      <c r="I87" s="115">
        <f>$E82</f>
        <v>0</v>
      </c>
      <c r="J87" s="115">
        <f>$F82</f>
        <v>0.5</v>
      </c>
      <c r="K87" s="63">
        <f>$D82</f>
        <v>0</v>
      </c>
      <c r="L87" s="115">
        <f>$E82</f>
        <v>0</v>
      </c>
      <c r="M87" s="115">
        <f>$F82</f>
        <v>0.5</v>
      </c>
      <c r="N87" s="63">
        <f>$D82</f>
        <v>0</v>
      </c>
      <c r="O87" s="115">
        <f>$E82</f>
        <v>0</v>
      </c>
      <c r="P87" s="115">
        <f>$F82</f>
        <v>0.5</v>
      </c>
      <c r="Q87" s="63">
        <f>$D82</f>
        <v>0</v>
      </c>
      <c r="R87" s="115">
        <f>$E82</f>
        <v>0</v>
      </c>
      <c r="S87" s="115">
        <f>$F82</f>
        <v>0.5</v>
      </c>
      <c r="T87" s="63">
        <f>$D82</f>
        <v>0</v>
      </c>
      <c r="U87" s="115">
        <f>$E82</f>
        <v>0</v>
      </c>
      <c r="V87" s="115">
        <f>$F82</f>
        <v>0.5</v>
      </c>
      <c r="W87" s="63">
        <f>$D82</f>
        <v>0</v>
      </c>
      <c r="X87" s="115">
        <f>$E82</f>
        <v>0</v>
      </c>
      <c r="Y87" s="115">
        <f>$F82</f>
        <v>0.5</v>
      </c>
      <c r="Z87" s="63">
        <f>$D82</f>
        <v>0</v>
      </c>
      <c r="AA87" s="115">
        <f>$E82</f>
        <v>0</v>
      </c>
      <c r="AB87" s="115">
        <f>$F82</f>
        <v>0.5</v>
      </c>
      <c r="AC87" s="116"/>
      <c r="AD87" s="116"/>
    </row>
    <row r="88" spans="2:30" x14ac:dyDescent="0.25">
      <c r="C88" s="100"/>
      <c r="D88" s="78"/>
      <c r="E88" s="78"/>
      <c r="F88" s="78"/>
      <c r="G88" s="78"/>
      <c r="H88" s="78"/>
      <c r="I88" s="78"/>
      <c r="J88" s="78"/>
      <c r="K88" s="78"/>
      <c r="L88" s="78"/>
      <c r="M88" s="78"/>
      <c r="N88" s="78"/>
      <c r="O88" s="78"/>
      <c r="P88" s="78"/>
      <c r="Q88" s="78"/>
      <c r="R88" s="78"/>
      <c r="S88" s="78"/>
      <c r="T88" s="78"/>
      <c r="U88" s="78"/>
      <c r="V88" s="78"/>
      <c r="W88" s="78"/>
      <c r="X88" s="78"/>
      <c r="Y88" s="114"/>
      <c r="Z88" s="114"/>
      <c r="AA88" s="114"/>
      <c r="AB88" s="114"/>
      <c r="AC88" s="114"/>
    </row>
    <row r="89" spans="2:30" x14ac:dyDescent="0.25">
      <c r="C89" s="100"/>
      <c r="D89" s="113"/>
      <c r="E89" s="113"/>
      <c r="F89" s="113"/>
      <c r="G89" s="113"/>
      <c r="H89" s="113"/>
      <c r="I89" s="113"/>
      <c r="J89" s="113"/>
      <c r="K89" s="113"/>
      <c r="L89" s="113"/>
      <c r="M89" s="113"/>
      <c r="N89" s="113"/>
      <c r="O89" s="113"/>
      <c r="P89" s="113"/>
      <c r="Q89" s="113"/>
      <c r="R89" s="113"/>
      <c r="S89" s="113"/>
      <c r="T89" s="113"/>
      <c r="U89" s="113"/>
      <c r="V89" s="113"/>
      <c r="W89" s="113"/>
      <c r="X89" s="113"/>
    </row>
    <row r="90" spans="2:30" x14ac:dyDescent="0.25">
      <c r="C90" s="100"/>
      <c r="D90" s="113"/>
      <c r="E90" s="113"/>
      <c r="F90" s="113"/>
      <c r="G90" s="113"/>
      <c r="H90" s="113"/>
      <c r="I90" s="113"/>
      <c r="J90" s="113"/>
      <c r="K90" s="113"/>
      <c r="L90" s="113"/>
      <c r="M90" s="113"/>
      <c r="N90" s="113"/>
      <c r="O90" s="113"/>
      <c r="P90" s="113"/>
      <c r="Q90" s="113"/>
      <c r="R90" s="113"/>
      <c r="S90" s="113"/>
      <c r="T90" s="113"/>
      <c r="U90" s="113"/>
      <c r="V90" s="113"/>
      <c r="W90" s="113"/>
      <c r="X90" s="113"/>
    </row>
    <row r="91" spans="2:30" x14ac:dyDescent="0.25">
      <c r="B91" s="47" t="s">
        <v>150</v>
      </c>
      <c r="C91" s="100"/>
      <c r="D91" s="113"/>
      <c r="E91" s="113"/>
      <c r="F91" s="113"/>
      <c r="G91" s="113"/>
      <c r="H91" s="113"/>
      <c r="I91" s="113"/>
      <c r="J91" s="113"/>
      <c r="K91" s="113"/>
      <c r="L91" s="113"/>
      <c r="M91" s="113"/>
      <c r="N91" s="113"/>
      <c r="O91" s="113"/>
      <c r="P91" s="113"/>
      <c r="Q91" s="113"/>
      <c r="R91" s="113"/>
      <c r="S91" s="113"/>
      <c r="T91" s="113"/>
      <c r="U91" s="113"/>
      <c r="V91" s="113"/>
      <c r="W91" s="113"/>
      <c r="X91" s="113"/>
    </row>
    <row r="92" spans="2:30" x14ac:dyDescent="0.25">
      <c r="C92" s="100"/>
      <c r="D92" s="113"/>
      <c r="E92" s="113"/>
      <c r="F92" s="113"/>
      <c r="G92" s="113"/>
      <c r="H92" s="113"/>
      <c r="I92" s="113"/>
      <c r="J92" s="113"/>
      <c r="K92" s="113"/>
      <c r="L92" s="113"/>
      <c r="M92" s="113"/>
      <c r="N92" s="113"/>
      <c r="O92" s="113"/>
      <c r="P92" s="113"/>
      <c r="Q92" s="113"/>
      <c r="R92" s="113"/>
      <c r="S92" s="113"/>
      <c r="T92" s="113"/>
      <c r="U92" s="113"/>
      <c r="V92" s="113"/>
      <c r="W92" s="113"/>
      <c r="X92" s="113"/>
    </row>
    <row r="93" spans="2:30" ht="28.15" customHeight="1" x14ac:dyDescent="0.25">
      <c r="B93" t="s">
        <v>149</v>
      </c>
      <c r="C93" s="274" t="s">
        <v>152</v>
      </c>
      <c r="D93" s="274"/>
      <c r="E93" s="274"/>
      <c r="F93" s="274"/>
      <c r="G93" s="80"/>
      <c r="H93" s="80"/>
      <c r="I93" s="80"/>
      <c r="J93" s="80"/>
      <c r="K93" s="80"/>
      <c r="L93" s="80"/>
      <c r="M93" s="80"/>
      <c r="N93" s="80"/>
      <c r="O93" s="80"/>
      <c r="P93" s="80"/>
      <c r="Q93" s="80"/>
      <c r="R93" s="80"/>
      <c r="S93" s="80"/>
      <c r="T93" s="80"/>
      <c r="U93" s="80"/>
      <c r="V93" s="80"/>
      <c r="W93" s="80"/>
    </row>
    <row r="94" spans="2:30" x14ac:dyDescent="0.25">
      <c r="B94" s="72"/>
      <c r="C94" s="17" t="s">
        <v>22</v>
      </c>
      <c r="D94" s="17">
        <v>1</v>
      </c>
      <c r="E94" s="17">
        <v>2</v>
      </c>
      <c r="F94" s="17">
        <v>3</v>
      </c>
      <c r="G94" s="80"/>
      <c r="H94" s="80"/>
      <c r="I94" s="80"/>
      <c r="J94" s="80"/>
      <c r="K94" s="80"/>
      <c r="L94" s="80"/>
      <c r="M94" s="80"/>
      <c r="N94" s="80"/>
      <c r="O94" s="80"/>
      <c r="P94" s="80"/>
      <c r="Q94" s="80"/>
      <c r="R94" s="80"/>
      <c r="S94" s="80"/>
      <c r="T94" s="80"/>
      <c r="U94" s="80"/>
      <c r="V94" s="80"/>
      <c r="W94" s="80"/>
    </row>
    <row r="95" spans="2:30" x14ac:dyDescent="0.25">
      <c r="B95" t="s">
        <v>92</v>
      </c>
      <c r="C95" s="70"/>
      <c r="D95" s="75">
        <f>D81</f>
        <v>0</v>
      </c>
      <c r="E95" s="75">
        <f t="shared" ref="E95:F95" si="163">E81</f>
        <v>0</v>
      </c>
      <c r="F95" s="75">
        <f t="shared" si="163"/>
        <v>1</v>
      </c>
      <c r="G95" s="80"/>
      <c r="H95" s="80"/>
      <c r="I95" s="80"/>
      <c r="J95" s="80"/>
      <c r="K95" s="80"/>
      <c r="L95" s="80"/>
      <c r="M95" s="80"/>
      <c r="N95" s="80"/>
      <c r="O95" s="80"/>
      <c r="P95" s="80"/>
      <c r="Q95" s="80"/>
      <c r="R95" s="80"/>
      <c r="S95" s="80"/>
      <c r="T95" s="80"/>
      <c r="U95" s="80"/>
      <c r="V95" s="80"/>
      <c r="W95" s="80"/>
    </row>
    <row r="96" spans="2:30" x14ac:dyDescent="0.25">
      <c r="B96" t="s">
        <v>94</v>
      </c>
      <c r="C96" s="70"/>
      <c r="D96" s="151">
        <f>D82</f>
        <v>0</v>
      </c>
      <c r="E96" s="151">
        <f t="shared" ref="E96:F96" si="164">E82</f>
        <v>0</v>
      </c>
      <c r="F96" s="151">
        <f t="shared" si="164"/>
        <v>0.5</v>
      </c>
      <c r="G96" s="80"/>
      <c r="H96" s="80"/>
      <c r="I96" s="80"/>
      <c r="J96" s="80"/>
      <c r="K96" s="80"/>
      <c r="L96" s="80"/>
      <c r="M96" s="80"/>
      <c r="N96" s="80"/>
      <c r="O96" s="80"/>
      <c r="P96" s="80"/>
      <c r="Q96" s="80"/>
      <c r="R96" s="80"/>
      <c r="S96" s="80"/>
      <c r="T96" s="80"/>
      <c r="U96" s="80"/>
      <c r="V96" s="80"/>
      <c r="W96" s="80"/>
    </row>
    <row r="97" spans="2:30" x14ac:dyDescent="0.25">
      <c r="C97" s="100"/>
      <c r="D97" s="78"/>
      <c r="E97" s="78"/>
      <c r="F97" s="78"/>
      <c r="G97" s="80"/>
      <c r="H97" s="80"/>
      <c r="I97" s="80"/>
      <c r="J97" s="80"/>
      <c r="K97" s="80"/>
      <c r="L97" s="80"/>
      <c r="M97" s="80"/>
      <c r="N97" s="80"/>
      <c r="O97" s="80"/>
      <c r="P97" s="80"/>
      <c r="Q97" s="80"/>
      <c r="R97" s="80"/>
      <c r="S97" s="80"/>
      <c r="T97" s="80"/>
      <c r="U97" s="80"/>
      <c r="V97" s="80"/>
      <c r="W97" s="80"/>
    </row>
    <row r="99" spans="2:30" x14ac:dyDescent="0.25">
      <c r="B99" s="72"/>
      <c r="C99" s="17" t="s">
        <v>22</v>
      </c>
      <c r="D99" s="17">
        <v>0</v>
      </c>
      <c r="E99" s="17">
        <v>1</v>
      </c>
      <c r="F99" s="17">
        <v>2</v>
      </c>
      <c r="G99" s="17">
        <v>3</v>
      </c>
      <c r="H99" s="17">
        <v>4</v>
      </c>
      <c r="I99" s="17">
        <v>5</v>
      </c>
      <c r="J99" s="17">
        <v>6</v>
      </c>
      <c r="K99" s="17">
        <v>7</v>
      </c>
      <c r="L99" s="17">
        <v>8</v>
      </c>
      <c r="M99" s="17">
        <v>9</v>
      </c>
      <c r="N99" s="17">
        <v>10</v>
      </c>
      <c r="O99" s="17">
        <v>11</v>
      </c>
      <c r="P99" s="17">
        <v>12</v>
      </c>
      <c r="Q99" s="17">
        <v>13</v>
      </c>
      <c r="R99" s="17">
        <v>14</v>
      </c>
      <c r="S99" s="17">
        <v>15</v>
      </c>
      <c r="T99" s="17">
        <v>16</v>
      </c>
      <c r="U99" s="17">
        <v>17</v>
      </c>
      <c r="V99" s="17">
        <v>18</v>
      </c>
      <c r="W99" s="17">
        <v>19</v>
      </c>
      <c r="X99" s="17">
        <v>20</v>
      </c>
      <c r="Y99" s="17">
        <v>21</v>
      </c>
      <c r="Z99" s="17">
        <v>22</v>
      </c>
      <c r="AA99" s="17">
        <v>23</v>
      </c>
      <c r="AB99" s="17">
        <v>24</v>
      </c>
    </row>
    <row r="100" spans="2:30" x14ac:dyDescent="0.25">
      <c r="B100" t="s">
        <v>92</v>
      </c>
      <c r="C100" s="70"/>
      <c r="D100" s="70"/>
      <c r="E100" s="70">
        <f>D95</f>
        <v>0</v>
      </c>
      <c r="F100" s="70">
        <f>E95</f>
        <v>0</v>
      </c>
      <c r="G100" s="70">
        <f>F95</f>
        <v>1</v>
      </c>
      <c r="H100" s="70">
        <f>D95</f>
        <v>0</v>
      </c>
      <c r="I100" s="70">
        <f t="shared" ref="I100" si="165">E95</f>
        <v>0</v>
      </c>
      <c r="J100" s="70">
        <f t="shared" ref="J100" si="166">F95</f>
        <v>1</v>
      </c>
      <c r="K100" s="70">
        <f>D95</f>
        <v>0</v>
      </c>
      <c r="L100" s="70">
        <f t="shared" ref="L100" si="167">E95</f>
        <v>0</v>
      </c>
      <c r="M100" s="70">
        <f t="shared" ref="M100" si="168">F95</f>
        <v>1</v>
      </c>
      <c r="N100" s="70">
        <f>D95</f>
        <v>0</v>
      </c>
      <c r="O100" s="70">
        <f t="shared" ref="O100" si="169">E95</f>
        <v>0</v>
      </c>
      <c r="P100" s="70">
        <f t="shared" ref="P100" si="170">F95</f>
        <v>1</v>
      </c>
      <c r="Q100" s="70">
        <f>D95</f>
        <v>0</v>
      </c>
      <c r="R100" s="70">
        <f t="shared" ref="R100" si="171">E95</f>
        <v>0</v>
      </c>
      <c r="S100" s="70">
        <f t="shared" ref="S100" si="172">F95</f>
        <v>1</v>
      </c>
      <c r="T100" s="70">
        <f>D95</f>
        <v>0</v>
      </c>
      <c r="U100" s="70">
        <f t="shared" ref="U100" si="173">E95</f>
        <v>0</v>
      </c>
      <c r="V100" s="70">
        <f t="shared" ref="V100" si="174">F95</f>
        <v>1</v>
      </c>
      <c r="W100" s="70">
        <f>D95</f>
        <v>0</v>
      </c>
      <c r="X100" s="70">
        <f t="shared" ref="X100" si="175">E95</f>
        <v>0</v>
      </c>
      <c r="Y100" s="70">
        <f t="shared" ref="Y100" si="176">F95</f>
        <v>1</v>
      </c>
      <c r="Z100" s="70">
        <f>D95</f>
        <v>0</v>
      </c>
      <c r="AA100" s="70">
        <f t="shared" ref="AA100" si="177">E95</f>
        <v>0</v>
      </c>
      <c r="AB100" s="70">
        <f t="shared" ref="AB100" si="178">F95</f>
        <v>1</v>
      </c>
    </row>
    <row r="101" spans="2:30" x14ac:dyDescent="0.25">
      <c r="B101" t="s">
        <v>94</v>
      </c>
      <c r="C101" s="70"/>
      <c r="D101" s="75"/>
      <c r="E101" s="63">
        <f>$D96</f>
        <v>0</v>
      </c>
      <c r="F101" s="115">
        <f>$E96</f>
        <v>0</v>
      </c>
      <c r="G101" s="115">
        <f>$F96</f>
        <v>0.5</v>
      </c>
      <c r="H101" s="63">
        <f>$D96</f>
        <v>0</v>
      </c>
      <c r="I101" s="115">
        <f>$E96</f>
        <v>0</v>
      </c>
      <c r="J101" s="115">
        <f>$F96</f>
        <v>0.5</v>
      </c>
      <c r="K101" s="63">
        <f>$D96</f>
        <v>0</v>
      </c>
      <c r="L101" s="115">
        <f>$E96</f>
        <v>0</v>
      </c>
      <c r="M101" s="115">
        <f>$F96</f>
        <v>0.5</v>
      </c>
      <c r="N101" s="63">
        <f>$D96</f>
        <v>0</v>
      </c>
      <c r="O101" s="115">
        <f>$E96</f>
        <v>0</v>
      </c>
      <c r="P101" s="115">
        <f>$F96</f>
        <v>0.5</v>
      </c>
      <c r="Q101" s="63">
        <f>$D96</f>
        <v>0</v>
      </c>
      <c r="R101" s="115">
        <f>$E96</f>
        <v>0</v>
      </c>
      <c r="S101" s="115">
        <f>$F96</f>
        <v>0.5</v>
      </c>
      <c r="T101" s="63">
        <f>$D96</f>
        <v>0</v>
      </c>
      <c r="U101" s="115">
        <f>$E96</f>
        <v>0</v>
      </c>
      <c r="V101" s="115">
        <f>$F96</f>
        <v>0.5</v>
      </c>
      <c r="W101" s="63">
        <f>$D96</f>
        <v>0</v>
      </c>
      <c r="X101" s="115">
        <f>$E96</f>
        <v>0</v>
      </c>
      <c r="Y101" s="115">
        <f>$F96</f>
        <v>0.5</v>
      </c>
      <c r="Z101" s="63">
        <f>$D96</f>
        <v>0</v>
      </c>
      <c r="AA101" s="115">
        <f>$E96</f>
        <v>0</v>
      </c>
      <c r="AB101" s="115">
        <f>$F96</f>
        <v>0.5</v>
      </c>
      <c r="AC101" s="116"/>
      <c r="AD101" s="116"/>
    </row>
    <row r="102" spans="2:30" x14ac:dyDescent="0.25">
      <c r="C102" s="100"/>
      <c r="D102" s="113"/>
      <c r="E102" s="113"/>
      <c r="F102" s="113"/>
      <c r="G102" s="113"/>
      <c r="H102" s="113"/>
      <c r="I102" s="113"/>
      <c r="J102" s="113"/>
      <c r="K102" s="113"/>
      <c r="L102" s="113"/>
      <c r="M102" s="113"/>
      <c r="N102" s="113"/>
      <c r="O102" s="113"/>
      <c r="P102" s="113"/>
      <c r="Q102" s="113"/>
      <c r="R102" s="113"/>
      <c r="S102" s="113"/>
      <c r="T102" s="113"/>
      <c r="U102" s="113"/>
      <c r="V102" s="113"/>
      <c r="W102" s="113"/>
      <c r="X102" s="113"/>
    </row>
    <row r="103" spans="2:30" x14ac:dyDescent="0.25">
      <c r="B103" s="47" t="s">
        <v>151</v>
      </c>
      <c r="C103" s="100"/>
      <c r="D103" s="113"/>
      <c r="E103" s="113"/>
      <c r="F103" s="113"/>
      <c r="G103" s="113"/>
      <c r="H103" s="113"/>
      <c r="I103" s="113"/>
      <c r="J103" s="113"/>
      <c r="K103" s="113"/>
      <c r="L103" s="113"/>
      <c r="M103" s="113"/>
      <c r="N103" s="113"/>
      <c r="O103" s="113"/>
      <c r="P103" s="113"/>
      <c r="Q103" s="113"/>
      <c r="R103" s="113"/>
      <c r="S103" s="113"/>
      <c r="T103" s="113"/>
      <c r="U103" s="113"/>
      <c r="V103" s="113"/>
      <c r="W103" s="113"/>
      <c r="X103" s="113"/>
    </row>
    <row r="104" spans="2:30" x14ac:dyDescent="0.25">
      <c r="C104" s="100"/>
      <c r="D104" s="113"/>
      <c r="E104" s="113"/>
      <c r="F104" s="113"/>
      <c r="G104" s="113"/>
      <c r="H104" s="113"/>
      <c r="I104" s="113"/>
      <c r="J104" s="113"/>
      <c r="K104" s="113"/>
      <c r="L104" s="113"/>
      <c r="M104" s="113"/>
      <c r="N104" s="113"/>
      <c r="O104" s="113"/>
      <c r="P104" s="113"/>
      <c r="Q104" s="113"/>
      <c r="R104" s="113"/>
      <c r="S104" s="113"/>
      <c r="T104" s="113"/>
      <c r="U104" s="113"/>
      <c r="V104" s="113"/>
      <c r="W104" s="113"/>
      <c r="X104" s="113"/>
    </row>
    <row r="105" spans="2:30" ht="28.15" customHeight="1" x14ac:dyDescent="0.25">
      <c r="B105" t="s">
        <v>149</v>
      </c>
      <c r="C105" s="274" t="s">
        <v>152</v>
      </c>
      <c r="D105" s="274"/>
      <c r="E105" s="274"/>
      <c r="F105" s="274"/>
      <c r="G105" s="80"/>
      <c r="H105" s="80"/>
      <c r="I105" s="80"/>
      <c r="J105" s="80"/>
      <c r="K105" s="80"/>
      <c r="L105" s="80"/>
      <c r="M105" s="80"/>
      <c r="N105" s="80"/>
      <c r="O105" s="80"/>
      <c r="P105" s="80"/>
      <c r="Q105" s="80"/>
      <c r="R105" s="80"/>
      <c r="S105" s="80"/>
      <c r="T105" s="80"/>
      <c r="U105" s="80"/>
      <c r="V105" s="80"/>
      <c r="W105" s="80"/>
    </row>
    <row r="106" spans="2:30" x14ac:dyDescent="0.25">
      <c r="B106" s="72"/>
      <c r="C106" s="17" t="s">
        <v>22</v>
      </c>
      <c r="D106" s="17">
        <v>1</v>
      </c>
      <c r="E106" s="17">
        <v>2</v>
      </c>
      <c r="F106" s="17">
        <v>3</v>
      </c>
      <c r="G106" s="80"/>
      <c r="H106" s="80"/>
      <c r="I106" s="80"/>
      <c r="J106" s="80"/>
      <c r="K106" s="80"/>
      <c r="L106" s="80"/>
      <c r="M106" s="80"/>
      <c r="N106" s="80"/>
      <c r="O106" s="80"/>
      <c r="P106" s="80"/>
      <c r="Q106" s="80"/>
      <c r="R106" s="80"/>
      <c r="S106" s="80"/>
      <c r="T106" s="80"/>
      <c r="U106" s="80"/>
      <c r="V106" s="80"/>
      <c r="W106" s="80"/>
    </row>
    <row r="107" spans="2:30" x14ac:dyDescent="0.25">
      <c r="B107" t="s">
        <v>92</v>
      </c>
      <c r="C107" s="70"/>
      <c r="D107" s="75">
        <f>D81</f>
        <v>0</v>
      </c>
      <c r="E107" s="75">
        <f t="shared" ref="E107:F107" si="179">E81</f>
        <v>0</v>
      </c>
      <c r="F107" s="75">
        <f t="shared" si="179"/>
        <v>1</v>
      </c>
      <c r="G107" s="80"/>
      <c r="H107" s="80"/>
      <c r="I107" s="80"/>
      <c r="J107" s="80"/>
      <c r="K107" s="80"/>
      <c r="L107" s="80"/>
      <c r="M107" s="80"/>
      <c r="N107" s="80"/>
      <c r="O107" s="80"/>
      <c r="P107" s="80"/>
      <c r="Q107" s="80"/>
      <c r="R107" s="80"/>
      <c r="S107" s="80"/>
      <c r="T107" s="80"/>
      <c r="U107" s="80"/>
      <c r="V107" s="80"/>
      <c r="W107" s="80"/>
    </row>
    <row r="108" spans="2:30" x14ac:dyDescent="0.25">
      <c r="B108" t="s">
        <v>94</v>
      </c>
      <c r="C108" s="70"/>
      <c r="D108" s="151">
        <f>D96</f>
        <v>0</v>
      </c>
      <c r="E108" s="151">
        <f t="shared" ref="E108:F108" si="180">E96</f>
        <v>0</v>
      </c>
      <c r="F108" s="151">
        <f t="shared" si="180"/>
        <v>0.5</v>
      </c>
      <c r="G108" s="80"/>
      <c r="H108" s="80"/>
      <c r="I108" s="80"/>
      <c r="J108" s="80"/>
      <c r="K108" s="80"/>
      <c r="L108" s="80"/>
      <c r="M108" s="80"/>
      <c r="N108" s="80"/>
      <c r="O108" s="80"/>
      <c r="P108" s="80"/>
      <c r="Q108" s="80"/>
      <c r="R108" s="80"/>
      <c r="S108" s="80"/>
      <c r="T108" s="80"/>
      <c r="U108" s="80"/>
      <c r="V108" s="80"/>
      <c r="W108" s="80"/>
    </row>
    <row r="109" spans="2:30" x14ac:dyDescent="0.25">
      <c r="C109" s="100"/>
      <c r="D109" s="78"/>
      <c r="E109" s="78"/>
      <c r="F109" s="78"/>
      <c r="G109" s="80"/>
      <c r="H109" s="80"/>
      <c r="I109" s="80"/>
      <c r="J109" s="80"/>
      <c r="K109" s="80"/>
      <c r="L109" s="80"/>
      <c r="M109" s="80"/>
      <c r="N109" s="80"/>
      <c r="O109" s="80"/>
      <c r="P109" s="80"/>
      <c r="Q109" s="80"/>
      <c r="R109" s="80"/>
      <c r="S109" s="80"/>
      <c r="T109" s="80"/>
      <c r="U109" s="80"/>
      <c r="V109" s="80"/>
      <c r="W109" s="80"/>
    </row>
    <row r="111" spans="2:30" x14ac:dyDescent="0.25">
      <c r="B111" s="72"/>
      <c r="C111" s="17" t="s">
        <v>22</v>
      </c>
      <c r="D111" s="17">
        <v>0</v>
      </c>
      <c r="E111" s="17">
        <v>1</v>
      </c>
      <c r="F111" s="17">
        <v>2</v>
      </c>
      <c r="G111" s="17">
        <v>3</v>
      </c>
      <c r="H111" s="17">
        <v>4</v>
      </c>
      <c r="I111" s="17">
        <v>5</v>
      </c>
      <c r="J111" s="17">
        <v>6</v>
      </c>
      <c r="K111" s="17">
        <v>7</v>
      </c>
      <c r="L111" s="17">
        <v>8</v>
      </c>
      <c r="M111" s="17">
        <v>9</v>
      </c>
      <c r="N111" s="17">
        <v>10</v>
      </c>
      <c r="O111" s="17">
        <v>11</v>
      </c>
      <c r="P111" s="17">
        <v>12</v>
      </c>
      <c r="Q111" s="17">
        <v>13</v>
      </c>
      <c r="R111" s="17">
        <v>14</v>
      </c>
      <c r="S111" s="17">
        <v>15</v>
      </c>
      <c r="T111" s="17">
        <v>16</v>
      </c>
      <c r="U111" s="17">
        <v>17</v>
      </c>
      <c r="V111" s="17">
        <v>18</v>
      </c>
      <c r="W111" s="17">
        <v>19</v>
      </c>
      <c r="X111" s="17">
        <v>20</v>
      </c>
      <c r="Y111" s="17">
        <v>21</v>
      </c>
      <c r="Z111" s="17">
        <v>22</v>
      </c>
      <c r="AA111" s="17">
        <v>23</v>
      </c>
      <c r="AB111" s="17">
        <v>24</v>
      </c>
    </row>
    <row r="112" spans="2:30" x14ac:dyDescent="0.25">
      <c r="B112" t="s">
        <v>92</v>
      </c>
      <c r="C112" s="70"/>
      <c r="D112" s="70"/>
      <c r="E112" s="70">
        <f>D107</f>
        <v>0</v>
      </c>
      <c r="F112" s="70">
        <f>E107</f>
        <v>0</v>
      </c>
      <c r="G112" s="70">
        <f>F107</f>
        <v>1</v>
      </c>
      <c r="H112" s="70">
        <f>D107</f>
        <v>0</v>
      </c>
      <c r="I112" s="70">
        <f t="shared" ref="I112" si="181">E107</f>
        <v>0</v>
      </c>
      <c r="J112" s="70">
        <f t="shared" ref="J112" si="182">F107</f>
        <v>1</v>
      </c>
      <c r="K112" s="70">
        <f>D107</f>
        <v>0</v>
      </c>
      <c r="L112" s="70">
        <f t="shared" ref="L112" si="183">E107</f>
        <v>0</v>
      </c>
      <c r="M112" s="70">
        <f t="shared" ref="M112" si="184">F107</f>
        <v>1</v>
      </c>
      <c r="N112" s="70">
        <f>D107</f>
        <v>0</v>
      </c>
      <c r="O112" s="70">
        <f t="shared" ref="O112" si="185">E107</f>
        <v>0</v>
      </c>
      <c r="P112" s="70">
        <f t="shared" ref="P112" si="186">F107</f>
        <v>1</v>
      </c>
      <c r="Q112" s="70">
        <f>D107</f>
        <v>0</v>
      </c>
      <c r="R112" s="70">
        <f t="shared" ref="R112" si="187">E107</f>
        <v>0</v>
      </c>
      <c r="S112" s="70">
        <f t="shared" ref="S112" si="188">F107</f>
        <v>1</v>
      </c>
      <c r="T112" s="70">
        <f>D107</f>
        <v>0</v>
      </c>
      <c r="U112" s="70">
        <f t="shared" ref="U112" si="189">E107</f>
        <v>0</v>
      </c>
      <c r="V112" s="70">
        <f t="shared" ref="V112" si="190">F107</f>
        <v>1</v>
      </c>
      <c r="W112" s="70">
        <f>D107</f>
        <v>0</v>
      </c>
      <c r="X112" s="70">
        <f t="shared" ref="X112" si="191">E107</f>
        <v>0</v>
      </c>
      <c r="Y112" s="70">
        <f t="shared" ref="Y112" si="192">F107</f>
        <v>1</v>
      </c>
      <c r="Z112" s="70">
        <f>D107</f>
        <v>0</v>
      </c>
      <c r="AA112" s="70">
        <f t="shared" ref="AA112" si="193">E107</f>
        <v>0</v>
      </c>
      <c r="AB112" s="70">
        <f t="shared" ref="AB112" si="194">F107</f>
        <v>1</v>
      </c>
    </row>
    <row r="113" spans="1:30" x14ac:dyDescent="0.25">
      <c r="B113" t="s">
        <v>94</v>
      </c>
      <c r="C113" s="70"/>
      <c r="D113" s="75"/>
      <c r="E113" s="63">
        <f>$D108</f>
        <v>0</v>
      </c>
      <c r="F113" s="115">
        <f>$E108</f>
        <v>0</v>
      </c>
      <c r="G113" s="115">
        <f>$F108</f>
        <v>0.5</v>
      </c>
      <c r="H113" s="63">
        <f>$D108</f>
        <v>0</v>
      </c>
      <c r="I113" s="115">
        <f>$E108</f>
        <v>0</v>
      </c>
      <c r="J113" s="115">
        <f>$F108</f>
        <v>0.5</v>
      </c>
      <c r="K113" s="63">
        <f>$D108</f>
        <v>0</v>
      </c>
      <c r="L113" s="115">
        <f>$E108</f>
        <v>0</v>
      </c>
      <c r="M113" s="115">
        <f>$F108</f>
        <v>0.5</v>
      </c>
      <c r="N113" s="63">
        <f>$D108</f>
        <v>0</v>
      </c>
      <c r="O113" s="115">
        <f>$E108</f>
        <v>0</v>
      </c>
      <c r="P113" s="115">
        <f>$F108</f>
        <v>0.5</v>
      </c>
      <c r="Q113" s="63">
        <f>$D108</f>
        <v>0</v>
      </c>
      <c r="R113" s="115">
        <f>$E108</f>
        <v>0</v>
      </c>
      <c r="S113" s="115">
        <f>$F108</f>
        <v>0.5</v>
      </c>
      <c r="T113" s="63">
        <f>$D108</f>
        <v>0</v>
      </c>
      <c r="U113" s="115">
        <f>$E108</f>
        <v>0</v>
      </c>
      <c r="V113" s="115">
        <f>$F108</f>
        <v>0.5</v>
      </c>
      <c r="W113" s="63">
        <f>$D108</f>
        <v>0</v>
      </c>
      <c r="X113" s="115">
        <f>$E108</f>
        <v>0</v>
      </c>
      <c r="Y113" s="115">
        <f>$F108</f>
        <v>0.5</v>
      </c>
      <c r="Z113" s="63">
        <f>$D108</f>
        <v>0</v>
      </c>
      <c r="AA113" s="115">
        <f>$E108</f>
        <v>0</v>
      </c>
      <c r="AB113" s="115">
        <f>$F108</f>
        <v>0.5</v>
      </c>
      <c r="AC113" s="116"/>
      <c r="AD113" s="116"/>
    </row>
    <row r="114" spans="1:30" x14ac:dyDescent="0.25">
      <c r="C114" s="100"/>
      <c r="D114" s="113"/>
      <c r="E114" s="113"/>
      <c r="F114" s="113"/>
      <c r="G114" s="113"/>
      <c r="H114" s="113"/>
      <c r="I114" s="113"/>
      <c r="J114" s="113"/>
      <c r="K114" s="113"/>
      <c r="L114" s="113"/>
      <c r="M114" s="113"/>
      <c r="N114" s="113"/>
      <c r="O114" s="113"/>
      <c r="P114" s="113"/>
      <c r="Q114" s="113"/>
      <c r="R114" s="113"/>
      <c r="S114" s="113"/>
      <c r="T114" s="113"/>
      <c r="U114" s="113"/>
      <c r="V114" s="113"/>
      <c r="W114" s="113"/>
      <c r="X114" s="113"/>
    </row>
    <row r="115" spans="1:30" x14ac:dyDescent="0.25">
      <c r="C115" s="100"/>
      <c r="D115" s="113"/>
      <c r="E115" s="113"/>
      <c r="F115" s="113"/>
      <c r="G115" s="113"/>
      <c r="H115" s="113"/>
      <c r="I115" s="113"/>
      <c r="J115" s="113"/>
      <c r="K115" s="113"/>
      <c r="L115" s="113"/>
      <c r="M115" s="113"/>
      <c r="N115" s="113"/>
      <c r="O115" s="113"/>
      <c r="P115" s="113"/>
      <c r="Q115" s="113"/>
      <c r="R115" s="113"/>
      <c r="S115" s="113"/>
      <c r="T115" s="113"/>
      <c r="U115" s="113"/>
      <c r="V115" s="113"/>
      <c r="W115" s="113"/>
      <c r="X115" s="113"/>
    </row>
    <row r="116" spans="1:30" x14ac:dyDescent="0.25">
      <c r="C116" s="78"/>
      <c r="D116" s="80"/>
      <c r="E116" s="80"/>
      <c r="F116" s="80"/>
      <c r="G116" s="80"/>
      <c r="H116" s="80"/>
      <c r="I116" s="80"/>
      <c r="J116" s="80"/>
      <c r="K116" s="80"/>
      <c r="L116" s="80"/>
      <c r="M116" s="80"/>
      <c r="N116" s="80"/>
      <c r="O116" s="80"/>
      <c r="P116" s="80"/>
      <c r="Q116" s="80"/>
      <c r="R116" s="80"/>
      <c r="S116" s="80"/>
      <c r="T116" s="80"/>
      <c r="U116" s="80"/>
      <c r="V116" s="80"/>
      <c r="W116" s="80"/>
    </row>
    <row r="117" spans="1:30" x14ac:dyDescent="0.25">
      <c r="A117" s="70">
        <v>6</v>
      </c>
      <c r="B117" s="47" t="s">
        <v>121</v>
      </c>
      <c r="C117" s="80"/>
      <c r="D117" s="98"/>
      <c r="E117" s="80"/>
      <c r="F117" s="80"/>
      <c r="G117" s="80"/>
      <c r="H117" s="80"/>
      <c r="P117" s="80"/>
      <c r="U117" s="80"/>
      <c r="V117" s="80"/>
      <c r="W117" s="80"/>
    </row>
    <row r="118" spans="1:30" x14ac:dyDescent="0.25">
      <c r="A118" s="100"/>
      <c r="B118" s="47"/>
      <c r="C118" s="80"/>
      <c r="D118" s="98"/>
      <c r="E118" s="80"/>
      <c r="F118" s="145"/>
      <c r="G118" s="145"/>
      <c r="H118" s="145"/>
      <c r="K118" s="265" t="s">
        <v>84</v>
      </c>
      <c r="L118" s="265"/>
      <c r="M118" s="265"/>
      <c r="N118" s="265"/>
      <c r="P118" s="270" t="s">
        <v>82</v>
      </c>
      <c r="Q118" s="270"/>
      <c r="R118" s="270"/>
      <c r="S118" s="270"/>
      <c r="U118" s="270" t="s">
        <v>85</v>
      </c>
      <c r="V118" s="270"/>
      <c r="W118" s="270"/>
      <c r="X118" s="270"/>
    </row>
    <row r="119" spans="1:30" ht="22.15" customHeight="1" x14ac:dyDescent="0.25">
      <c r="K119" s="271" t="s">
        <v>154</v>
      </c>
      <c r="L119" s="272"/>
      <c r="M119" s="272"/>
      <c r="N119" s="273"/>
      <c r="P119" s="271" t="s">
        <v>154</v>
      </c>
      <c r="Q119" s="272"/>
      <c r="R119" s="272"/>
      <c r="S119" s="273"/>
      <c r="U119" s="271" t="s">
        <v>154</v>
      </c>
      <c r="V119" s="272"/>
      <c r="W119" s="272"/>
      <c r="X119" s="273"/>
    </row>
    <row r="120" spans="1:30" ht="45" x14ac:dyDescent="0.25">
      <c r="B120" s="18" t="s">
        <v>6</v>
      </c>
      <c r="C120" s="14" t="s">
        <v>7</v>
      </c>
      <c r="D120" s="21" t="s">
        <v>8</v>
      </c>
      <c r="E120" s="260" t="s">
        <v>9</v>
      </c>
      <c r="F120" s="260"/>
      <c r="G120" s="260"/>
      <c r="H120" s="260"/>
      <c r="K120" s="97"/>
      <c r="L120" s="119" t="s">
        <v>155</v>
      </c>
      <c r="M120" s="97" t="s">
        <v>120</v>
      </c>
      <c r="N120" s="97" t="s">
        <v>119</v>
      </c>
      <c r="P120" s="97"/>
      <c r="Q120" s="119" t="s">
        <v>155</v>
      </c>
      <c r="R120" s="97" t="s">
        <v>120</v>
      </c>
      <c r="S120" s="97" t="s">
        <v>119</v>
      </c>
      <c r="U120" s="97"/>
      <c r="V120" s="119" t="s">
        <v>155</v>
      </c>
      <c r="W120" s="97" t="s">
        <v>120</v>
      </c>
      <c r="X120" s="97" t="s">
        <v>119</v>
      </c>
    </row>
    <row r="121" spans="1:30" ht="17.25" customHeight="1" x14ac:dyDescent="0.25">
      <c r="B121" s="9" t="s">
        <v>42</v>
      </c>
      <c r="C121" s="122">
        <v>500000</v>
      </c>
      <c r="D121" s="30" t="s">
        <v>43</v>
      </c>
      <c r="E121" s="261" t="s">
        <v>122</v>
      </c>
      <c r="F121" s="261"/>
      <c r="G121" s="261"/>
      <c r="H121" s="261"/>
      <c r="K121" s="51" t="s">
        <v>89</v>
      </c>
      <c r="L121" s="106">
        <v>-0.05</v>
      </c>
      <c r="M121" s="63">
        <f>$F82*F81</f>
        <v>0.5</v>
      </c>
      <c r="N121" s="117">
        <f>L121*M121</f>
        <v>-2.5000000000000001E-2</v>
      </c>
      <c r="P121" s="51" t="s">
        <v>89</v>
      </c>
      <c r="Q121" s="106">
        <v>-0.1</v>
      </c>
      <c r="R121" s="63">
        <f>F96*F95</f>
        <v>0.5</v>
      </c>
      <c r="S121" s="117">
        <f>Q121*R121</f>
        <v>-0.05</v>
      </c>
      <c r="U121" s="51" t="s">
        <v>89</v>
      </c>
      <c r="V121" s="106">
        <v>-0.15</v>
      </c>
      <c r="W121" s="63">
        <f>F108*F107</f>
        <v>0.5</v>
      </c>
      <c r="X121" s="117">
        <f>V121*W121</f>
        <v>-7.4999999999999997E-2</v>
      </c>
    </row>
    <row r="122" spans="1:30" ht="17.25" customHeight="1" x14ac:dyDescent="0.25">
      <c r="B122" s="9" t="s">
        <v>44</v>
      </c>
      <c r="C122" s="123">
        <v>1.7000000000000001E-2</v>
      </c>
      <c r="D122" s="30" t="s">
        <v>45</v>
      </c>
      <c r="E122" s="261"/>
      <c r="F122" s="261"/>
      <c r="G122" s="261"/>
      <c r="H122" s="261"/>
      <c r="K122" s="51" t="s">
        <v>83</v>
      </c>
      <c r="L122" s="106">
        <v>0</v>
      </c>
      <c r="M122" s="63">
        <f>M121</f>
        <v>0.5</v>
      </c>
      <c r="N122" s="117">
        <f t="shared" ref="N122:N124" si="195">L122*M122</f>
        <v>0</v>
      </c>
      <c r="P122" s="51" t="s">
        <v>83</v>
      </c>
      <c r="Q122" s="106">
        <v>0</v>
      </c>
      <c r="R122" s="63">
        <f>R121</f>
        <v>0.5</v>
      </c>
      <c r="S122" s="117">
        <f t="shared" ref="S122:S124" si="196">Q122*R122</f>
        <v>0</v>
      </c>
      <c r="U122" s="51" t="s">
        <v>83</v>
      </c>
      <c r="V122" s="106">
        <v>0</v>
      </c>
      <c r="W122" s="63">
        <f>W121</f>
        <v>0.5</v>
      </c>
      <c r="X122" s="117">
        <f t="shared" ref="X122:X124" si="197">V122*W122</f>
        <v>0</v>
      </c>
    </row>
    <row r="123" spans="1:30" ht="17.25" customHeight="1" x14ac:dyDescent="0.25">
      <c r="B123" s="9" t="s">
        <v>46</v>
      </c>
      <c r="C123" s="124">
        <v>0.02</v>
      </c>
      <c r="D123" s="30" t="s">
        <v>31</v>
      </c>
      <c r="E123" s="261"/>
      <c r="F123" s="261"/>
      <c r="G123" s="261"/>
      <c r="H123" s="261"/>
      <c r="K123" s="51" t="s">
        <v>83</v>
      </c>
      <c r="L123" s="106">
        <v>0</v>
      </c>
      <c r="M123" s="63">
        <f t="shared" ref="M123:M124" si="198">M122</f>
        <v>0.5</v>
      </c>
      <c r="N123" s="117">
        <f t="shared" si="195"/>
        <v>0</v>
      </c>
      <c r="P123" s="51" t="s">
        <v>83</v>
      </c>
      <c r="Q123" s="106">
        <v>0</v>
      </c>
      <c r="R123" s="63">
        <f t="shared" ref="R123:R124" si="199">R122</f>
        <v>0.5</v>
      </c>
      <c r="S123" s="117">
        <f t="shared" si="196"/>
        <v>0</v>
      </c>
      <c r="U123" s="51" t="s">
        <v>83</v>
      </c>
      <c r="V123" s="106">
        <v>0</v>
      </c>
      <c r="W123" s="63">
        <f t="shared" ref="W123:W124" si="200">W122</f>
        <v>0.5</v>
      </c>
      <c r="X123" s="117">
        <f t="shared" si="197"/>
        <v>0</v>
      </c>
    </row>
    <row r="124" spans="1:30" ht="29.25" customHeight="1" x14ac:dyDescent="0.25">
      <c r="B124" s="9" t="s">
        <v>47</v>
      </c>
      <c r="C124" s="111">
        <v>0.2</v>
      </c>
      <c r="D124" s="30" t="s">
        <v>48</v>
      </c>
      <c r="E124" s="261" t="s">
        <v>123</v>
      </c>
      <c r="F124" s="261"/>
      <c r="G124" s="261"/>
      <c r="H124" s="261"/>
      <c r="K124" s="51" t="s">
        <v>89</v>
      </c>
      <c r="L124" s="106">
        <v>-0.1</v>
      </c>
      <c r="M124" s="63">
        <f t="shared" si="198"/>
        <v>0.5</v>
      </c>
      <c r="N124" s="117">
        <f t="shared" si="195"/>
        <v>-0.05</v>
      </c>
      <c r="P124" s="51" t="s">
        <v>89</v>
      </c>
      <c r="Q124" s="106">
        <v>-0.25</v>
      </c>
      <c r="R124" s="63">
        <f t="shared" si="199"/>
        <v>0.5</v>
      </c>
      <c r="S124" s="117">
        <f t="shared" si="196"/>
        <v>-0.125</v>
      </c>
      <c r="U124" s="51" t="s">
        <v>89</v>
      </c>
      <c r="V124" s="106">
        <v>-0.9</v>
      </c>
      <c r="W124" s="63">
        <f t="shared" si="200"/>
        <v>0.5</v>
      </c>
      <c r="X124" s="117">
        <f t="shared" si="197"/>
        <v>-0.45</v>
      </c>
    </row>
    <row r="125" spans="1:30" x14ac:dyDescent="0.25">
      <c r="L125" s="100"/>
      <c r="M125" s="100"/>
      <c r="N125" s="100"/>
      <c r="Q125" s="100"/>
      <c r="R125" s="100"/>
      <c r="S125" s="100"/>
      <c r="V125" s="100"/>
      <c r="W125" s="100"/>
      <c r="X125" s="100"/>
    </row>
    <row r="126" spans="1:30" x14ac:dyDescent="0.25">
      <c r="L126" s="100"/>
      <c r="M126" s="100"/>
      <c r="N126" s="100"/>
      <c r="Q126" s="100"/>
      <c r="R126" s="100"/>
      <c r="S126" s="100"/>
      <c r="V126" s="100"/>
      <c r="W126" s="100"/>
      <c r="X126" s="100"/>
    </row>
    <row r="127" spans="1:30" x14ac:dyDescent="0.25">
      <c r="B127" s="18" t="s">
        <v>13</v>
      </c>
      <c r="C127" s="15" t="s">
        <v>7</v>
      </c>
      <c r="D127" s="22" t="s">
        <v>8</v>
      </c>
      <c r="E127" s="262" t="s">
        <v>9</v>
      </c>
      <c r="F127" s="262"/>
      <c r="G127" s="262"/>
      <c r="H127" s="262"/>
      <c r="L127" s="100"/>
      <c r="M127" s="100"/>
      <c r="N127" s="100"/>
      <c r="Q127" s="100"/>
      <c r="R127" s="100"/>
      <c r="S127" s="100"/>
      <c r="V127" s="100"/>
      <c r="W127" s="100"/>
      <c r="X127" s="100"/>
    </row>
    <row r="128" spans="1:30" ht="16.899999999999999" customHeight="1" x14ac:dyDescent="0.25">
      <c r="B128" s="9" t="s">
        <v>49</v>
      </c>
      <c r="C128" s="121">
        <f>C30</f>
        <v>10000</v>
      </c>
      <c r="D128" s="30" t="s">
        <v>12</v>
      </c>
      <c r="E128" s="253" t="s">
        <v>14</v>
      </c>
      <c r="F128" s="254"/>
      <c r="G128" s="254"/>
      <c r="H128" s="255"/>
      <c r="K128" s="51" t="s">
        <v>83</v>
      </c>
      <c r="L128" s="106">
        <v>0</v>
      </c>
      <c r="M128" s="63">
        <f>M121</f>
        <v>0.5</v>
      </c>
      <c r="N128" s="71">
        <f>L128*M128</f>
        <v>0</v>
      </c>
      <c r="P128" s="51" t="s">
        <v>83</v>
      </c>
      <c r="Q128" s="106">
        <v>0</v>
      </c>
      <c r="R128" s="63">
        <f>R124</f>
        <v>0.5</v>
      </c>
      <c r="S128" s="120">
        <f>Q128*R128</f>
        <v>0</v>
      </c>
      <c r="U128" s="51" t="s">
        <v>83</v>
      </c>
      <c r="V128" s="106">
        <v>0</v>
      </c>
      <c r="W128" s="63">
        <f>W124</f>
        <v>0.5</v>
      </c>
      <c r="X128" s="150">
        <f>V128*W128</f>
        <v>0</v>
      </c>
    </row>
    <row r="129" spans="1:28" ht="18" customHeight="1" x14ac:dyDescent="0.25">
      <c r="B129" s="9" t="s">
        <v>128</v>
      </c>
      <c r="C129" s="122">
        <v>500</v>
      </c>
      <c r="D129" s="30" t="s">
        <v>50</v>
      </c>
      <c r="E129" s="253" t="s">
        <v>158</v>
      </c>
      <c r="F129" s="254"/>
      <c r="G129" s="254"/>
      <c r="H129" s="255"/>
      <c r="K129" s="99" t="s">
        <v>86</v>
      </c>
      <c r="L129" s="106">
        <v>0.03</v>
      </c>
      <c r="M129" s="63">
        <f>M128</f>
        <v>0.5</v>
      </c>
      <c r="N129" s="117">
        <f t="shared" ref="N129:N138" si="201">L129*M129</f>
        <v>1.4999999999999999E-2</v>
      </c>
      <c r="P129" s="99" t="s">
        <v>86</v>
      </c>
      <c r="Q129" s="106">
        <v>0.05</v>
      </c>
      <c r="R129" s="63">
        <f>R128</f>
        <v>0.5</v>
      </c>
      <c r="S129" s="120">
        <f t="shared" ref="S129:S139" si="202">Q129*R129</f>
        <v>2.5000000000000001E-2</v>
      </c>
      <c r="U129" s="99" t="s">
        <v>86</v>
      </c>
      <c r="V129" s="106">
        <v>0.25</v>
      </c>
      <c r="W129" s="63">
        <f>W128</f>
        <v>0.5</v>
      </c>
      <c r="X129" s="150">
        <f t="shared" ref="X129:X139" si="203">V129*W129</f>
        <v>0.125</v>
      </c>
    </row>
    <row r="130" spans="1:28" ht="16.899999999999999" customHeight="1" x14ac:dyDescent="0.25">
      <c r="B130" s="9" t="s">
        <v>51</v>
      </c>
      <c r="C130" s="122">
        <v>1000</v>
      </c>
      <c r="D130" s="30" t="s">
        <v>50</v>
      </c>
      <c r="E130" s="253" t="s">
        <v>52</v>
      </c>
      <c r="F130" s="254"/>
      <c r="G130" s="254"/>
      <c r="H130" s="255"/>
      <c r="J130" s="80"/>
      <c r="K130" s="99" t="s">
        <v>86</v>
      </c>
      <c r="L130" s="106">
        <v>0.03</v>
      </c>
      <c r="M130" s="63">
        <f t="shared" ref="M130:M139" si="204">M129</f>
        <v>0.5</v>
      </c>
      <c r="N130" s="117">
        <f t="shared" si="201"/>
        <v>1.4999999999999999E-2</v>
      </c>
      <c r="P130" s="99" t="s">
        <v>86</v>
      </c>
      <c r="Q130" s="106">
        <v>0.05</v>
      </c>
      <c r="R130" s="63">
        <f t="shared" ref="R130:R139" si="205">R129</f>
        <v>0.5</v>
      </c>
      <c r="S130" s="120">
        <f t="shared" si="202"/>
        <v>2.5000000000000001E-2</v>
      </c>
      <c r="U130" s="99" t="s">
        <v>86</v>
      </c>
      <c r="V130" s="106">
        <v>0.2</v>
      </c>
      <c r="W130" s="63">
        <f t="shared" ref="W130:W139" si="206">W129</f>
        <v>0.5</v>
      </c>
      <c r="X130" s="150">
        <f t="shared" si="203"/>
        <v>0.1</v>
      </c>
    </row>
    <row r="131" spans="1:28" x14ac:dyDescent="0.25">
      <c r="B131" s="9" t="s">
        <v>53</v>
      </c>
      <c r="C131" s="122">
        <v>1000</v>
      </c>
      <c r="D131" s="30" t="s">
        <v>50</v>
      </c>
      <c r="E131" s="253" t="s">
        <v>54</v>
      </c>
      <c r="F131" s="254"/>
      <c r="G131" s="254"/>
      <c r="H131" s="255"/>
      <c r="K131" s="51" t="s">
        <v>83</v>
      </c>
      <c r="L131" s="106">
        <v>0</v>
      </c>
      <c r="M131" s="63">
        <f t="shared" si="204"/>
        <v>0.5</v>
      </c>
      <c r="N131" s="117">
        <f t="shared" si="201"/>
        <v>0</v>
      </c>
      <c r="P131" s="51" t="s">
        <v>83</v>
      </c>
      <c r="Q131" s="106">
        <v>0</v>
      </c>
      <c r="R131" s="63">
        <f t="shared" si="205"/>
        <v>0.5</v>
      </c>
      <c r="S131" s="120">
        <f t="shared" si="202"/>
        <v>0</v>
      </c>
      <c r="U131" s="51" t="s">
        <v>83</v>
      </c>
      <c r="V131" s="106">
        <v>0</v>
      </c>
      <c r="W131" s="63">
        <f t="shared" si="206"/>
        <v>0.5</v>
      </c>
      <c r="X131" s="150">
        <f t="shared" si="203"/>
        <v>0</v>
      </c>
    </row>
    <row r="132" spans="1:28" x14ac:dyDescent="0.25">
      <c r="B132" s="9" t="s">
        <v>55</v>
      </c>
      <c r="C132" s="122">
        <v>100</v>
      </c>
      <c r="D132" s="30" t="s">
        <v>50</v>
      </c>
      <c r="E132" s="253" t="s">
        <v>54</v>
      </c>
      <c r="F132" s="254"/>
      <c r="G132" s="254"/>
      <c r="H132" s="255"/>
      <c r="K132" s="99" t="s">
        <v>86</v>
      </c>
      <c r="L132" s="106">
        <v>0.05</v>
      </c>
      <c r="M132" s="63">
        <f t="shared" si="204"/>
        <v>0.5</v>
      </c>
      <c r="N132" s="117">
        <f t="shared" si="201"/>
        <v>2.5000000000000001E-2</v>
      </c>
      <c r="P132" s="99" t="s">
        <v>86</v>
      </c>
      <c r="Q132" s="106">
        <v>0.15</v>
      </c>
      <c r="R132" s="63">
        <f t="shared" si="205"/>
        <v>0.5</v>
      </c>
      <c r="S132" s="120">
        <f t="shared" si="202"/>
        <v>7.4999999999999997E-2</v>
      </c>
      <c r="U132" s="99" t="s">
        <v>86</v>
      </c>
      <c r="V132" s="106">
        <v>0.3</v>
      </c>
      <c r="W132" s="63">
        <f t="shared" si="206"/>
        <v>0.5</v>
      </c>
      <c r="X132" s="150">
        <f t="shared" si="203"/>
        <v>0.15</v>
      </c>
    </row>
    <row r="133" spans="1:28" x14ac:dyDescent="0.25">
      <c r="B133" s="118" t="s">
        <v>126</v>
      </c>
      <c r="C133" s="122">
        <v>2000</v>
      </c>
      <c r="D133" s="30" t="s">
        <v>50</v>
      </c>
      <c r="E133" s="253" t="s">
        <v>54</v>
      </c>
      <c r="F133" s="254"/>
      <c r="G133" s="254"/>
      <c r="H133" s="255"/>
      <c r="K133" s="99" t="s">
        <v>86</v>
      </c>
      <c r="L133" s="106">
        <v>0.02</v>
      </c>
      <c r="M133" s="63">
        <f t="shared" si="204"/>
        <v>0.5</v>
      </c>
      <c r="N133" s="117">
        <f t="shared" si="201"/>
        <v>0.01</v>
      </c>
      <c r="P133" s="99" t="s">
        <v>86</v>
      </c>
      <c r="Q133" s="106">
        <v>0.05</v>
      </c>
      <c r="R133" s="63">
        <f t="shared" si="205"/>
        <v>0.5</v>
      </c>
      <c r="S133" s="120">
        <f t="shared" si="202"/>
        <v>2.5000000000000001E-2</v>
      </c>
      <c r="U133" s="99" t="s">
        <v>86</v>
      </c>
      <c r="V133" s="106">
        <v>0.15</v>
      </c>
      <c r="W133" s="63">
        <f t="shared" si="206"/>
        <v>0.5</v>
      </c>
      <c r="X133" s="150">
        <f t="shared" si="203"/>
        <v>7.4999999999999997E-2</v>
      </c>
    </row>
    <row r="134" spans="1:28" x14ac:dyDescent="0.25">
      <c r="B134" s="118" t="s">
        <v>127</v>
      </c>
      <c r="C134" s="122">
        <v>2000</v>
      </c>
      <c r="D134" s="30" t="s">
        <v>50</v>
      </c>
      <c r="E134" s="253" t="s">
        <v>54</v>
      </c>
      <c r="F134" s="254"/>
      <c r="G134" s="254"/>
      <c r="H134" s="255"/>
      <c r="K134" s="99" t="s">
        <v>86</v>
      </c>
      <c r="L134" s="106">
        <v>0.02</v>
      </c>
      <c r="M134" s="63">
        <f t="shared" si="204"/>
        <v>0.5</v>
      </c>
      <c r="N134" s="117">
        <f t="shared" si="201"/>
        <v>0.01</v>
      </c>
      <c r="P134" s="99" t="s">
        <v>86</v>
      </c>
      <c r="Q134" s="106">
        <v>0.05</v>
      </c>
      <c r="R134" s="63">
        <f t="shared" si="205"/>
        <v>0.5</v>
      </c>
      <c r="S134" s="120">
        <f t="shared" si="202"/>
        <v>2.5000000000000001E-2</v>
      </c>
      <c r="U134" s="99" t="s">
        <v>86</v>
      </c>
      <c r="V134" s="106">
        <v>0.15</v>
      </c>
      <c r="W134" s="63">
        <f t="shared" si="206"/>
        <v>0.5</v>
      </c>
      <c r="X134" s="150">
        <f t="shared" si="203"/>
        <v>7.4999999999999997E-2</v>
      </c>
    </row>
    <row r="135" spans="1:28" ht="13.9" customHeight="1" x14ac:dyDescent="0.25">
      <c r="B135" s="9" t="s">
        <v>40</v>
      </c>
      <c r="C135" s="122">
        <v>1500</v>
      </c>
      <c r="D135" s="30" t="s">
        <v>50</v>
      </c>
      <c r="E135" s="253" t="s">
        <v>54</v>
      </c>
      <c r="F135" s="254"/>
      <c r="G135" s="254"/>
      <c r="H135" s="255"/>
      <c r="K135" s="99" t="s">
        <v>86</v>
      </c>
      <c r="L135" s="106">
        <v>0.03</v>
      </c>
      <c r="M135" s="63">
        <f t="shared" si="204"/>
        <v>0.5</v>
      </c>
      <c r="N135" s="117">
        <f t="shared" si="201"/>
        <v>1.4999999999999999E-2</v>
      </c>
      <c r="P135" s="99" t="s">
        <v>86</v>
      </c>
      <c r="Q135" s="106">
        <v>7.0000000000000007E-2</v>
      </c>
      <c r="R135" s="63">
        <f t="shared" si="205"/>
        <v>0.5</v>
      </c>
      <c r="S135" s="120">
        <f t="shared" si="202"/>
        <v>3.5000000000000003E-2</v>
      </c>
      <c r="U135" s="99" t="s">
        <v>86</v>
      </c>
      <c r="V135" s="106">
        <v>0.15</v>
      </c>
      <c r="W135" s="63">
        <f t="shared" si="206"/>
        <v>0.5</v>
      </c>
      <c r="X135" s="150">
        <f t="shared" si="203"/>
        <v>7.4999999999999997E-2</v>
      </c>
    </row>
    <row r="136" spans="1:28" ht="18" customHeight="1" x14ac:dyDescent="0.25">
      <c r="B136" s="9" t="s">
        <v>15</v>
      </c>
      <c r="C136" s="122">
        <v>58</v>
      </c>
      <c r="D136" s="30" t="s">
        <v>124</v>
      </c>
      <c r="E136" s="253"/>
      <c r="F136" s="254"/>
      <c r="G136" s="254"/>
      <c r="H136" s="255"/>
      <c r="K136" s="51" t="s">
        <v>83</v>
      </c>
      <c r="L136" s="106">
        <v>0</v>
      </c>
      <c r="M136" s="63">
        <f t="shared" si="204"/>
        <v>0.5</v>
      </c>
      <c r="N136" s="117">
        <f t="shared" si="201"/>
        <v>0</v>
      </c>
      <c r="P136" s="51" t="s">
        <v>83</v>
      </c>
      <c r="Q136" s="106">
        <v>0</v>
      </c>
      <c r="R136" s="63">
        <f t="shared" si="205"/>
        <v>0.5</v>
      </c>
      <c r="S136" s="120">
        <f t="shared" si="202"/>
        <v>0</v>
      </c>
      <c r="U136" s="51" t="s">
        <v>83</v>
      </c>
      <c r="V136" s="106">
        <v>0</v>
      </c>
      <c r="W136" s="63">
        <f t="shared" si="206"/>
        <v>0.5</v>
      </c>
      <c r="X136" s="150">
        <f t="shared" si="203"/>
        <v>0</v>
      </c>
    </row>
    <row r="137" spans="1:28" ht="33" customHeight="1" x14ac:dyDescent="0.25">
      <c r="B137" s="9" t="s">
        <v>16</v>
      </c>
      <c r="C137" s="122">
        <v>7</v>
      </c>
      <c r="D137" s="30" t="s">
        <v>41</v>
      </c>
      <c r="E137" s="253"/>
      <c r="F137" s="254"/>
      <c r="G137" s="254"/>
      <c r="H137" s="255"/>
      <c r="K137" s="51" t="s">
        <v>83</v>
      </c>
      <c r="L137" s="106">
        <v>0</v>
      </c>
      <c r="M137" s="63">
        <f t="shared" si="204"/>
        <v>0.5</v>
      </c>
      <c r="N137" s="117">
        <f t="shared" si="201"/>
        <v>0</v>
      </c>
      <c r="P137" s="51" t="s">
        <v>83</v>
      </c>
      <c r="Q137" s="106">
        <v>0</v>
      </c>
      <c r="R137" s="63">
        <f t="shared" si="205"/>
        <v>0.5</v>
      </c>
      <c r="S137" s="120">
        <f t="shared" si="202"/>
        <v>0</v>
      </c>
      <c r="U137" s="51" t="s">
        <v>83</v>
      </c>
      <c r="V137" s="106">
        <v>0</v>
      </c>
      <c r="W137" s="63">
        <f t="shared" si="206"/>
        <v>0.5</v>
      </c>
      <c r="X137" s="150">
        <f t="shared" si="203"/>
        <v>0</v>
      </c>
    </row>
    <row r="138" spans="1:28" x14ac:dyDescent="0.25">
      <c r="B138" s="9" t="s">
        <v>157</v>
      </c>
      <c r="C138" s="111">
        <v>0.01</v>
      </c>
      <c r="D138" s="30" t="s">
        <v>19</v>
      </c>
      <c r="E138" s="256"/>
      <c r="F138" s="256"/>
      <c r="G138" s="256"/>
      <c r="H138" s="256"/>
      <c r="K138" s="51" t="s">
        <v>83</v>
      </c>
      <c r="L138" s="106">
        <v>0</v>
      </c>
      <c r="M138" s="63">
        <f t="shared" si="204"/>
        <v>0.5</v>
      </c>
      <c r="N138" s="117">
        <f t="shared" si="201"/>
        <v>0</v>
      </c>
      <c r="P138" s="51" t="s">
        <v>83</v>
      </c>
      <c r="Q138" s="106">
        <v>0</v>
      </c>
      <c r="R138" s="63">
        <f t="shared" si="205"/>
        <v>0.5</v>
      </c>
      <c r="S138" s="120">
        <f t="shared" si="202"/>
        <v>0</v>
      </c>
      <c r="U138" s="51" t="s">
        <v>83</v>
      </c>
      <c r="V138" s="106">
        <v>0</v>
      </c>
      <c r="W138" s="63">
        <f t="shared" si="206"/>
        <v>0.5</v>
      </c>
      <c r="X138" s="150">
        <f t="shared" si="203"/>
        <v>0</v>
      </c>
    </row>
    <row r="139" spans="1:28" x14ac:dyDescent="0.25">
      <c r="B139" s="9" t="s">
        <v>18</v>
      </c>
      <c r="C139" s="111">
        <v>0.24</v>
      </c>
      <c r="D139" s="29" t="s">
        <v>19</v>
      </c>
      <c r="E139" s="256" t="s">
        <v>20</v>
      </c>
      <c r="F139" s="256"/>
      <c r="G139" s="256"/>
      <c r="H139" s="256"/>
      <c r="K139" s="51" t="s">
        <v>83</v>
      </c>
      <c r="L139" s="106">
        <v>0</v>
      </c>
      <c r="M139" s="63">
        <f t="shared" si="204"/>
        <v>0.5</v>
      </c>
      <c r="N139" s="117">
        <f>L139*M139</f>
        <v>0</v>
      </c>
      <c r="P139" s="51" t="s">
        <v>83</v>
      </c>
      <c r="Q139" s="106">
        <v>0</v>
      </c>
      <c r="R139" s="63">
        <f t="shared" si="205"/>
        <v>0.5</v>
      </c>
      <c r="S139" s="120">
        <f t="shared" si="202"/>
        <v>0</v>
      </c>
      <c r="U139" s="51" t="s">
        <v>83</v>
      </c>
      <c r="V139" s="106">
        <v>0</v>
      </c>
      <c r="W139" s="63">
        <f t="shared" si="206"/>
        <v>0.5</v>
      </c>
      <c r="X139" s="150">
        <f t="shared" si="203"/>
        <v>0</v>
      </c>
    </row>
    <row r="140" spans="1:28" x14ac:dyDescent="0.25">
      <c r="B140" s="10"/>
      <c r="C140" s="68"/>
      <c r="D140" s="109"/>
      <c r="E140" s="110"/>
      <c r="F140" s="110"/>
      <c r="G140" s="110"/>
      <c r="H140" s="110"/>
    </row>
    <row r="141" spans="1:28" x14ac:dyDescent="0.25">
      <c r="A141" s="70">
        <v>7</v>
      </c>
      <c r="B141" s="47" t="s">
        <v>159</v>
      </c>
      <c r="C141" s="100"/>
      <c r="D141" s="113"/>
      <c r="E141" s="113"/>
      <c r="F141" s="113"/>
      <c r="G141" s="113"/>
      <c r="H141" s="113"/>
      <c r="I141" s="113"/>
      <c r="J141" s="113"/>
      <c r="K141" s="113"/>
      <c r="L141" s="113"/>
      <c r="M141" s="113"/>
      <c r="N141" s="113"/>
      <c r="O141" s="113"/>
      <c r="P141" s="113"/>
      <c r="Q141" s="113"/>
      <c r="R141" s="113"/>
      <c r="S141" s="113"/>
      <c r="T141" s="113"/>
      <c r="U141" s="113"/>
      <c r="V141" s="113"/>
      <c r="W141" s="113"/>
      <c r="X141" s="113"/>
    </row>
    <row r="142" spans="1:28" x14ac:dyDescent="0.25">
      <c r="C142" s="100"/>
      <c r="D142" s="113"/>
      <c r="E142" s="113"/>
      <c r="F142" s="113"/>
      <c r="G142" s="113"/>
      <c r="H142" s="113"/>
      <c r="I142" s="113"/>
      <c r="J142" s="113"/>
      <c r="K142" s="113"/>
      <c r="L142" s="113"/>
      <c r="M142" s="113"/>
      <c r="N142" s="113"/>
      <c r="O142" s="113"/>
      <c r="P142" s="113"/>
      <c r="Q142" s="113"/>
      <c r="R142" s="113"/>
      <c r="S142" s="113"/>
      <c r="T142" s="113"/>
      <c r="U142" s="113"/>
      <c r="V142" s="113"/>
      <c r="W142" s="113"/>
      <c r="X142" s="113"/>
    </row>
    <row r="143" spans="1:28" x14ac:dyDescent="0.25">
      <c r="B143" s="228" t="s">
        <v>6</v>
      </c>
      <c r="C143" s="17" t="s">
        <v>22</v>
      </c>
      <c r="D143" s="17">
        <v>0</v>
      </c>
      <c r="E143" s="17">
        <v>1</v>
      </c>
      <c r="F143" s="17">
        <v>2</v>
      </c>
      <c r="G143" s="132">
        <v>3</v>
      </c>
      <c r="H143" s="17">
        <v>4</v>
      </c>
      <c r="I143" s="17">
        <v>5</v>
      </c>
      <c r="J143" s="132">
        <v>6</v>
      </c>
      <c r="K143" s="17">
        <v>7</v>
      </c>
      <c r="L143" s="17">
        <v>8</v>
      </c>
      <c r="M143" s="132">
        <v>9</v>
      </c>
      <c r="N143" s="17">
        <v>10</v>
      </c>
      <c r="O143" s="17">
        <v>11</v>
      </c>
      <c r="P143" s="132">
        <v>12</v>
      </c>
      <c r="Q143" s="17">
        <v>13</v>
      </c>
      <c r="R143" s="17">
        <v>14</v>
      </c>
      <c r="S143" s="132">
        <v>15</v>
      </c>
      <c r="T143" s="17">
        <v>16</v>
      </c>
      <c r="U143" s="17">
        <v>17</v>
      </c>
      <c r="V143" s="132">
        <v>18</v>
      </c>
      <c r="W143" s="17">
        <v>19</v>
      </c>
      <c r="X143" s="17">
        <v>20</v>
      </c>
      <c r="Y143" s="132">
        <v>21</v>
      </c>
      <c r="Z143" s="17">
        <v>22</v>
      </c>
      <c r="AA143" s="17">
        <v>23</v>
      </c>
      <c r="AB143" s="132">
        <v>24</v>
      </c>
    </row>
    <row r="144" spans="1:28" x14ac:dyDescent="0.25">
      <c r="B144" s="118" t="s">
        <v>42</v>
      </c>
      <c r="C144" s="70" t="str">
        <f>K121</f>
        <v>Decrease</v>
      </c>
      <c r="D144" s="128">
        <f>C121</f>
        <v>500000</v>
      </c>
      <c r="E144" s="128">
        <f>D144</f>
        <v>500000</v>
      </c>
      <c r="F144" s="128">
        <f>E144</f>
        <v>500000</v>
      </c>
      <c r="G144" s="157">
        <f>F144*(1+$N121)</f>
        <v>487500</v>
      </c>
      <c r="H144" s="128">
        <f>E144</f>
        <v>500000</v>
      </c>
      <c r="I144" s="128">
        <f t="shared" ref="I144" si="207">F144</f>
        <v>500000</v>
      </c>
      <c r="J144" s="70">
        <f>I144*(1+$N121)</f>
        <v>487500</v>
      </c>
      <c r="K144" s="128">
        <f>H144</f>
        <v>500000</v>
      </c>
      <c r="L144" s="128">
        <f>K144</f>
        <v>500000</v>
      </c>
      <c r="M144" s="70">
        <f>L144*(1+$N121)</f>
        <v>487500</v>
      </c>
      <c r="N144" s="128">
        <f>K144</f>
        <v>500000</v>
      </c>
      <c r="O144" s="128">
        <f t="shared" ref="O144" si="208">L144</f>
        <v>500000</v>
      </c>
      <c r="P144" s="70">
        <f>O144*(1+$N121)</f>
        <v>487500</v>
      </c>
      <c r="Q144" s="128">
        <f>N144</f>
        <v>500000</v>
      </c>
      <c r="R144" s="128">
        <f>O144</f>
        <v>500000</v>
      </c>
      <c r="S144" s="70">
        <f>R144*(1+$N121)</f>
        <v>487500</v>
      </c>
      <c r="T144" s="128">
        <f>Q144</f>
        <v>500000</v>
      </c>
      <c r="U144" s="128">
        <f>R144</f>
        <v>500000</v>
      </c>
      <c r="V144" s="70">
        <f>U144*(1+$N121)</f>
        <v>487500</v>
      </c>
      <c r="W144" s="128">
        <f>T144</f>
        <v>500000</v>
      </c>
      <c r="X144" s="128">
        <f>U144</f>
        <v>500000</v>
      </c>
      <c r="Y144" s="70">
        <f>X144*(1+$N121)</f>
        <v>487500</v>
      </c>
      <c r="Z144" s="128">
        <f>W144</f>
        <v>500000</v>
      </c>
      <c r="AA144" s="128">
        <f>X144</f>
        <v>500000</v>
      </c>
      <c r="AB144" s="70">
        <f>AA144*(1+$N121)</f>
        <v>487500</v>
      </c>
    </row>
    <row r="145" spans="2:28" x14ac:dyDescent="0.25">
      <c r="B145" s="118" t="s">
        <v>44</v>
      </c>
      <c r="C145" s="70" t="str">
        <f t="shared" ref="C145:C147" si="209">K122</f>
        <v>No change</v>
      </c>
      <c r="D145" s="129">
        <f>C122</f>
        <v>1.7000000000000001E-2</v>
      </c>
      <c r="E145" s="129">
        <f>D145</f>
        <v>1.7000000000000001E-2</v>
      </c>
      <c r="F145" s="129">
        <f t="shared" ref="F145:AB145" si="210">E145</f>
        <v>1.7000000000000001E-2</v>
      </c>
      <c r="G145" s="138">
        <f t="shared" si="210"/>
        <v>1.7000000000000001E-2</v>
      </c>
      <c r="H145" s="129">
        <f t="shared" si="210"/>
        <v>1.7000000000000001E-2</v>
      </c>
      <c r="I145" s="129">
        <f t="shared" si="210"/>
        <v>1.7000000000000001E-2</v>
      </c>
      <c r="J145" s="138">
        <f t="shared" si="210"/>
        <v>1.7000000000000001E-2</v>
      </c>
      <c r="K145" s="129">
        <f t="shared" si="210"/>
        <v>1.7000000000000001E-2</v>
      </c>
      <c r="L145" s="129">
        <f t="shared" si="210"/>
        <v>1.7000000000000001E-2</v>
      </c>
      <c r="M145" s="138">
        <f t="shared" si="210"/>
        <v>1.7000000000000001E-2</v>
      </c>
      <c r="N145" s="129">
        <f t="shared" si="210"/>
        <v>1.7000000000000001E-2</v>
      </c>
      <c r="O145" s="129">
        <f t="shared" si="210"/>
        <v>1.7000000000000001E-2</v>
      </c>
      <c r="P145" s="138">
        <f t="shared" si="210"/>
        <v>1.7000000000000001E-2</v>
      </c>
      <c r="Q145" s="129">
        <f t="shared" si="210"/>
        <v>1.7000000000000001E-2</v>
      </c>
      <c r="R145" s="129">
        <f t="shared" si="210"/>
        <v>1.7000000000000001E-2</v>
      </c>
      <c r="S145" s="138">
        <f t="shared" si="210"/>
        <v>1.7000000000000001E-2</v>
      </c>
      <c r="T145" s="129">
        <f t="shared" si="210"/>
        <v>1.7000000000000001E-2</v>
      </c>
      <c r="U145" s="129">
        <f t="shared" si="210"/>
        <v>1.7000000000000001E-2</v>
      </c>
      <c r="V145" s="138">
        <f t="shared" si="210"/>
        <v>1.7000000000000001E-2</v>
      </c>
      <c r="W145" s="129">
        <f t="shared" si="210"/>
        <v>1.7000000000000001E-2</v>
      </c>
      <c r="X145" s="129">
        <f t="shared" si="210"/>
        <v>1.7000000000000001E-2</v>
      </c>
      <c r="Y145" s="138">
        <f t="shared" si="210"/>
        <v>1.7000000000000001E-2</v>
      </c>
      <c r="Z145" s="129">
        <f t="shared" si="210"/>
        <v>1.7000000000000001E-2</v>
      </c>
      <c r="AA145" s="129">
        <f t="shared" si="210"/>
        <v>1.7000000000000001E-2</v>
      </c>
      <c r="AB145" s="138">
        <f t="shared" si="210"/>
        <v>1.7000000000000001E-2</v>
      </c>
    </row>
    <row r="146" spans="2:28" x14ac:dyDescent="0.25">
      <c r="B146" s="118" t="s">
        <v>46</v>
      </c>
      <c r="C146" s="70" t="str">
        <f t="shared" si="209"/>
        <v>No change</v>
      </c>
      <c r="D146" s="63">
        <f>C123</f>
        <v>0.02</v>
      </c>
      <c r="E146" s="63">
        <f>D146</f>
        <v>0.02</v>
      </c>
      <c r="F146" s="63">
        <f>E146</f>
        <v>0.02</v>
      </c>
      <c r="G146" s="134">
        <f t="shared" ref="G146:AB146" si="211">F146</f>
        <v>0.02</v>
      </c>
      <c r="H146" s="63">
        <f t="shared" si="211"/>
        <v>0.02</v>
      </c>
      <c r="I146" s="63">
        <f t="shared" si="211"/>
        <v>0.02</v>
      </c>
      <c r="J146" s="134">
        <f t="shared" si="211"/>
        <v>0.02</v>
      </c>
      <c r="K146" s="63">
        <f t="shared" si="211"/>
        <v>0.02</v>
      </c>
      <c r="L146" s="63">
        <f t="shared" si="211"/>
        <v>0.02</v>
      </c>
      <c r="M146" s="134">
        <f t="shared" si="211"/>
        <v>0.02</v>
      </c>
      <c r="N146" s="63">
        <f t="shared" si="211"/>
        <v>0.02</v>
      </c>
      <c r="O146" s="63">
        <f t="shared" si="211"/>
        <v>0.02</v>
      </c>
      <c r="P146" s="134">
        <f t="shared" si="211"/>
        <v>0.02</v>
      </c>
      <c r="Q146" s="63">
        <f t="shared" si="211"/>
        <v>0.02</v>
      </c>
      <c r="R146" s="63">
        <f t="shared" si="211"/>
        <v>0.02</v>
      </c>
      <c r="S146" s="134">
        <f t="shared" si="211"/>
        <v>0.02</v>
      </c>
      <c r="T146" s="63">
        <f t="shared" si="211"/>
        <v>0.02</v>
      </c>
      <c r="U146" s="63">
        <f t="shared" si="211"/>
        <v>0.02</v>
      </c>
      <c r="V146" s="134">
        <f t="shared" si="211"/>
        <v>0.02</v>
      </c>
      <c r="W146" s="63">
        <f t="shared" si="211"/>
        <v>0.02</v>
      </c>
      <c r="X146" s="63">
        <f t="shared" si="211"/>
        <v>0.02</v>
      </c>
      <c r="Y146" s="134">
        <f t="shared" si="211"/>
        <v>0.02</v>
      </c>
      <c r="Z146" s="63">
        <f t="shared" si="211"/>
        <v>0.02</v>
      </c>
      <c r="AA146" s="63">
        <f t="shared" si="211"/>
        <v>0.02</v>
      </c>
      <c r="AB146" s="134">
        <f t="shared" si="211"/>
        <v>0.02</v>
      </c>
    </row>
    <row r="147" spans="2:28" s="141" customFormat="1" x14ac:dyDescent="0.25">
      <c r="B147" s="118" t="s">
        <v>47</v>
      </c>
      <c r="C147" s="139" t="str">
        <f t="shared" si="209"/>
        <v>Decrease</v>
      </c>
      <c r="D147" s="142">
        <f>D151*$C124</f>
        <v>2000</v>
      </c>
      <c r="E147" s="142">
        <f>D147</f>
        <v>2000</v>
      </c>
      <c r="F147" s="142">
        <f>E147</f>
        <v>2000</v>
      </c>
      <c r="G147" s="142">
        <f>F147*(1+$N124)</f>
        <v>1900</v>
      </c>
      <c r="H147" s="142">
        <f>E147</f>
        <v>2000</v>
      </c>
      <c r="I147" s="142">
        <f>H147</f>
        <v>2000</v>
      </c>
      <c r="J147" s="142">
        <f>I147*(1+$N124)</f>
        <v>1900</v>
      </c>
      <c r="K147" s="142">
        <f>I147</f>
        <v>2000</v>
      </c>
      <c r="L147" s="142">
        <f>K147</f>
        <v>2000</v>
      </c>
      <c r="M147" s="142">
        <f>L147*(1+$N124)</f>
        <v>1900</v>
      </c>
      <c r="N147" s="142">
        <f>K147</f>
        <v>2000</v>
      </c>
      <c r="O147" s="142">
        <f>N147</f>
        <v>2000</v>
      </c>
      <c r="P147" s="142">
        <f>O147*(1+$N124)</f>
        <v>1900</v>
      </c>
      <c r="Q147" s="142">
        <f>O147</f>
        <v>2000</v>
      </c>
      <c r="R147" s="142">
        <f>Q147</f>
        <v>2000</v>
      </c>
      <c r="S147" s="142">
        <f>R147*(1+$N124)</f>
        <v>1900</v>
      </c>
      <c r="T147" s="142">
        <f>R147</f>
        <v>2000</v>
      </c>
      <c r="U147" s="142">
        <f>T147</f>
        <v>2000</v>
      </c>
      <c r="V147" s="142">
        <f>U147*(1+$N124)</f>
        <v>1900</v>
      </c>
      <c r="W147" s="142">
        <f>U147</f>
        <v>2000</v>
      </c>
      <c r="X147" s="142">
        <f>W147</f>
        <v>2000</v>
      </c>
      <c r="Y147" s="142">
        <f>X147*(1+$N124)</f>
        <v>1900</v>
      </c>
      <c r="Z147" s="143">
        <f>X147</f>
        <v>2000</v>
      </c>
      <c r="AA147" s="143">
        <f>Z147</f>
        <v>2000</v>
      </c>
      <c r="AB147" s="142">
        <f>AA147*(1+$N124)</f>
        <v>1900</v>
      </c>
    </row>
    <row r="148" spans="2:28" x14ac:dyDescent="0.25">
      <c r="J148" s="137"/>
      <c r="M148" s="137"/>
      <c r="P148" s="137"/>
      <c r="S148" s="137"/>
      <c r="V148" s="137"/>
      <c r="Y148" s="137"/>
      <c r="AB148" s="137"/>
    </row>
    <row r="149" spans="2:28" x14ac:dyDescent="0.25">
      <c r="J149" s="137"/>
      <c r="M149" s="137"/>
      <c r="P149" s="137"/>
      <c r="S149" s="137"/>
      <c r="V149" s="137"/>
      <c r="Y149" s="137"/>
      <c r="AB149" s="137"/>
    </row>
    <row r="150" spans="2:28" x14ac:dyDescent="0.25">
      <c r="B150" s="18" t="s">
        <v>13</v>
      </c>
      <c r="C150" s="17" t="s">
        <v>22</v>
      </c>
      <c r="D150" s="17">
        <v>0</v>
      </c>
      <c r="E150" s="17">
        <v>1</v>
      </c>
      <c r="F150" s="17">
        <v>2</v>
      </c>
      <c r="G150" s="132">
        <v>3</v>
      </c>
      <c r="H150" s="17">
        <v>4</v>
      </c>
      <c r="I150" s="17">
        <v>5</v>
      </c>
      <c r="J150" s="132">
        <v>6</v>
      </c>
      <c r="K150" s="17">
        <v>7</v>
      </c>
      <c r="L150" s="17">
        <v>8</v>
      </c>
      <c r="M150" s="132">
        <v>9</v>
      </c>
      <c r="N150" s="17">
        <v>10</v>
      </c>
      <c r="O150" s="17">
        <v>11</v>
      </c>
      <c r="P150" s="132">
        <v>12</v>
      </c>
      <c r="Q150" s="17">
        <v>13</v>
      </c>
      <c r="R150" s="17">
        <v>14</v>
      </c>
      <c r="S150" s="132">
        <v>15</v>
      </c>
      <c r="T150" s="17">
        <v>16</v>
      </c>
      <c r="U150" s="17">
        <v>17</v>
      </c>
      <c r="V150" s="132">
        <v>18</v>
      </c>
      <c r="W150" s="17">
        <v>19</v>
      </c>
      <c r="X150" s="17">
        <v>20</v>
      </c>
      <c r="Y150" s="132">
        <v>21</v>
      </c>
      <c r="Z150" s="17">
        <v>22</v>
      </c>
      <c r="AA150" s="17">
        <v>23</v>
      </c>
      <c r="AB150" s="132">
        <v>24</v>
      </c>
    </row>
    <row r="151" spans="2:28" x14ac:dyDescent="0.25">
      <c r="B151" s="118" t="s">
        <v>49</v>
      </c>
      <c r="C151" s="70" t="str">
        <f>K128</f>
        <v>No change</v>
      </c>
      <c r="D151" s="128">
        <f>C128</f>
        <v>10000</v>
      </c>
      <c r="E151" s="128">
        <f t="shared" ref="E151:F155" si="212">D151</f>
        <v>10000</v>
      </c>
      <c r="F151" s="128">
        <f t="shared" si="212"/>
        <v>10000</v>
      </c>
      <c r="G151" s="133">
        <f t="shared" ref="G151:AB151" si="213">F151</f>
        <v>10000</v>
      </c>
      <c r="H151" s="128">
        <f t="shared" si="213"/>
        <v>10000</v>
      </c>
      <c r="I151" s="128">
        <f t="shared" si="213"/>
        <v>10000</v>
      </c>
      <c r="J151" s="133">
        <f t="shared" si="213"/>
        <v>10000</v>
      </c>
      <c r="K151" s="128">
        <f t="shared" si="213"/>
        <v>10000</v>
      </c>
      <c r="L151" s="128">
        <f t="shared" si="213"/>
        <v>10000</v>
      </c>
      <c r="M151" s="133">
        <f t="shared" si="213"/>
        <v>10000</v>
      </c>
      <c r="N151" s="128">
        <f t="shared" si="213"/>
        <v>10000</v>
      </c>
      <c r="O151" s="128">
        <f t="shared" si="213"/>
        <v>10000</v>
      </c>
      <c r="P151" s="133">
        <f t="shared" si="213"/>
        <v>10000</v>
      </c>
      <c r="Q151" s="128">
        <f t="shared" si="213"/>
        <v>10000</v>
      </c>
      <c r="R151" s="128">
        <f t="shared" si="213"/>
        <v>10000</v>
      </c>
      <c r="S151" s="133">
        <f t="shared" si="213"/>
        <v>10000</v>
      </c>
      <c r="T151" s="128">
        <f t="shared" si="213"/>
        <v>10000</v>
      </c>
      <c r="U151" s="128">
        <f t="shared" si="213"/>
        <v>10000</v>
      </c>
      <c r="V151" s="133">
        <f t="shared" si="213"/>
        <v>10000</v>
      </c>
      <c r="W151" s="128">
        <f t="shared" si="213"/>
        <v>10000</v>
      </c>
      <c r="X151" s="128">
        <f t="shared" si="213"/>
        <v>10000</v>
      </c>
      <c r="Y151" s="133">
        <f t="shared" si="213"/>
        <v>10000</v>
      </c>
      <c r="Z151" s="128">
        <f t="shared" si="213"/>
        <v>10000</v>
      </c>
      <c r="AA151" s="128">
        <f t="shared" si="213"/>
        <v>10000</v>
      </c>
      <c r="AB151" s="133">
        <f t="shared" si="213"/>
        <v>10000</v>
      </c>
    </row>
    <row r="152" spans="2:28" s="141" customFormat="1" x14ac:dyDescent="0.25">
      <c r="B152" s="118" t="s">
        <v>128</v>
      </c>
      <c r="C152" s="139" t="str">
        <f t="shared" ref="C152:C162" si="214">K129</f>
        <v>Increase</v>
      </c>
      <c r="D152" s="140">
        <f>C129</f>
        <v>500</v>
      </c>
      <c r="E152" s="140">
        <f t="shared" si="212"/>
        <v>500</v>
      </c>
      <c r="F152" s="140">
        <f t="shared" si="212"/>
        <v>500</v>
      </c>
      <c r="G152" s="139">
        <f>F152*(1+$N129)</f>
        <v>507.49999999999994</v>
      </c>
      <c r="H152" s="140">
        <f>F152</f>
        <v>500</v>
      </c>
      <c r="I152" s="140">
        <f>H152</f>
        <v>500</v>
      </c>
      <c r="J152" s="139">
        <f>I152*(1+$N129)</f>
        <v>507.49999999999994</v>
      </c>
      <c r="K152" s="140">
        <f>I152</f>
        <v>500</v>
      </c>
      <c r="L152" s="140">
        <f>I152</f>
        <v>500</v>
      </c>
      <c r="M152" s="139">
        <f>L152*(1+$N129)</f>
        <v>507.49999999999994</v>
      </c>
      <c r="N152" s="140">
        <f>L152</f>
        <v>500</v>
      </c>
      <c r="O152" s="140">
        <f>N152</f>
        <v>500</v>
      </c>
      <c r="P152" s="139">
        <f>O152*(1+$N129)</f>
        <v>507.49999999999994</v>
      </c>
      <c r="Q152" s="140">
        <f>O152</f>
        <v>500</v>
      </c>
      <c r="R152" s="140">
        <f>Q152</f>
        <v>500</v>
      </c>
      <c r="S152" s="139">
        <f>R152*(1+$N129)</f>
        <v>507.49999999999994</v>
      </c>
      <c r="T152" s="140">
        <f>R152</f>
        <v>500</v>
      </c>
      <c r="U152" s="140">
        <f>T152</f>
        <v>500</v>
      </c>
      <c r="V152" s="139">
        <f>U152*(1+$N129)</f>
        <v>507.49999999999994</v>
      </c>
      <c r="W152" s="140">
        <f>U152</f>
        <v>500</v>
      </c>
      <c r="X152" s="140">
        <f>W152</f>
        <v>500</v>
      </c>
      <c r="Y152" s="139">
        <f>X152*(1+$N129)</f>
        <v>507.49999999999994</v>
      </c>
      <c r="Z152" s="140">
        <f>X152</f>
        <v>500</v>
      </c>
      <c r="AA152" s="140">
        <f>Z152</f>
        <v>500</v>
      </c>
      <c r="AB152" s="139">
        <f>AA152*(1+$N129)</f>
        <v>507.49999999999994</v>
      </c>
    </row>
    <row r="153" spans="2:28" s="141" customFormat="1" x14ac:dyDescent="0.25">
      <c r="B153" s="118" t="s">
        <v>51</v>
      </c>
      <c r="C153" s="139" t="str">
        <f t="shared" si="214"/>
        <v>Increase</v>
      </c>
      <c r="D153" s="140">
        <f>C130</f>
        <v>1000</v>
      </c>
      <c r="E153" s="140">
        <f t="shared" si="212"/>
        <v>1000</v>
      </c>
      <c r="F153" s="140">
        <f t="shared" si="212"/>
        <v>1000</v>
      </c>
      <c r="G153" s="139">
        <f>F153*(1+$N130)</f>
        <v>1014.9999999999999</v>
      </c>
      <c r="H153" s="140">
        <f>F153</f>
        <v>1000</v>
      </c>
      <c r="I153" s="140">
        <f>H153</f>
        <v>1000</v>
      </c>
      <c r="J153" s="139">
        <f>I153*(1+$N130)</f>
        <v>1014.9999999999999</v>
      </c>
      <c r="K153" s="140">
        <f>I153</f>
        <v>1000</v>
      </c>
      <c r="L153" s="140">
        <f>K153</f>
        <v>1000</v>
      </c>
      <c r="M153" s="139">
        <f>L153*(1+$N130)</f>
        <v>1014.9999999999999</v>
      </c>
      <c r="N153" s="140">
        <f>L153</f>
        <v>1000</v>
      </c>
      <c r="O153" s="140">
        <f>L153</f>
        <v>1000</v>
      </c>
      <c r="P153" s="139">
        <f>O153*(1+$N130)</f>
        <v>1014.9999999999999</v>
      </c>
      <c r="Q153" s="140">
        <f>O153</f>
        <v>1000</v>
      </c>
      <c r="R153" s="140">
        <f>Q153</f>
        <v>1000</v>
      </c>
      <c r="S153" s="139">
        <f>R153*(1+$N130)</f>
        <v>1014.9999999999999</v>
      </c>
      <c r="T153" s="140">
        <f>R153</f>
        <v>1000</v>
      </c>
      <c r="U153" s="140">
        <f>T153</f>
        <v>1000</v>
      </c>
      <c r="V153" s="139">
        <f>U153*(1+$N130)</f>
        <v>1014.9999999999999</v>
      </c>
      <c r="W153" s="140">
        <f>U153</f>
        <v>1000</v>
      </c>
      <c r="X153" s="140">
        <f>W153</f>
        <v>1000</v>
      </c>
      <c r="Y153" s="139">
        <f>X153*(1+$N130)</f>
        <v>1014.9999999999999</v>
      </c>
      <c r="Z153" s="140">
        <f>X153</f>
        <v>1000</v>
      </c>
      <c r="AA153" s="140">
        <f>X153</f>
        <v>1000</v>
      </c>
      <c r="AB153" s="139">
        <f>AA153*(1+$N130)</f>
        <v>1014.9999999999999</v>
      </c>
    </row>
    <row r="154" spans="2:28" x14ac:dyDescent="0.25">
      <c r="B154" s="118" t="s">
        <v>53</v>
      </c>
      <c r="C154" s="70" t="str">
        <f t="shared" si="214"/>
        <v>No change</v>
      </c>
      <c r="D154" s="128">
        <f>C131</f>
        <v>1000</v>
      </c>
      <c r="E154" s="128">
        <f t="shared" si="212"/>
        <v>1000</v>
      </c>
      <c r="F154" s="128">
        <f t="shared" si="212"/>
        <v>1000</v>
      </c>
      <c r="G154" s="133">
        <f t="shared" ref="G154:AB154" si="215">F154</f>
        <v>1000</v>
      </c>
      <c r="H154" s="128">
        <f t="shared" si="215"/>
        <v>1000</v>
      </c>
      <c r="I154" s="128">
        <f t="shared" si="215"/>
        <v>1000</v>
      </c>
      <c r="J154" s="133">
        <f t="shared" si="215"/>
        <v>1000</v>
      </c>
      <c r="K154" s="128">
        <f t="shared" si="215"/>
        <v>1000</v>
      </c>
      <c r="L154" s="128">
        <f t="shared" si="215"/>
        <v>1000</v>
      </c>
      <c r="M154" s="133">
        <f t="shared" si="215"/>
        <v>1000</v>
      </c>
      <c r="N154" s="128">
        <f t="shared" si="215"/>
        <v>1000</v>
      </c>
      <c r="O154" s="128">
        <f t="shared" si="215"/>
        <v>1000</v>
      </c>
      <c r="P154" s="133">
        <f t="shared" si="215"/>
        <v>1000</v>
      </c>
      <c r="Q154" s="128">
        <f t="shared" si="215"/>
        <v>1000</v>
      </c>
      <c r="R154" s="128">
        <f t="shared" si="215"/>
        <v>1000</v>
      </c>
      <c r="S154" s="133">
        <f t="shared" si="215"/>
        <v>1000</v>
      </c>
      <c r="T154" s="128">
        <f t="shared" si="215"/>
        <v>1000</v>
      </c>
      <c r="U154" s="128">
        <f t="shared" si="215"/>
        <v>1000</v>
      </c>
      <c r="V154" s="133">
        <f t="shared" si="215"/>
        <v>1000</v>
      </c>
      <c r="W154" s="128">
        <f t="shared" si="215"/>
        <v>1000</v>
      </c>
      <c r="X154" s="128">
        <f t="shared" si="215"/>
        <v>1000</v>
      </c>
      <c r="Y154" s="133">
        <f t="shared" si="215"/>
        <v>1000</v>
      </c>
      <c r="Z154" s="128">
        <f t="shared" si="215"/>
        <v>1000</v>
      </c>
      <c r="AA154" s="128">
        <f t="shared" si="215"/>
        <v>1000</v>
      </c>
      <c r="AB154" s="133">
        <f t="shared" si="215"/>
        <v>1000</v>
      </c>
    </row>
    <row r="155" spans="2:28" s="141" customFormat="1" x14ac:dyDescent="0.25">
      <c r="B155" s="118" t="s">
        <v>55</v>
      </c>
      <c r="C155" s="139" t="str">
        <f t="shared" si="214"/>
        <v>Increase</v>
      </c>
      <c r="D155" s="140">
        <f>C131</f>
        <v>1000</v>
      </c>
      <c r="E155" s="140">
        <f t="shared" si="212"/>
        <v>1000</v>
      </c>
      <c r="F155" s="140">
        <f t="shared" si="212"/>
        <v>1000</v>
      </c>
      <c r="G155" s="139">
        <f>F155*(1+$N132)</f>
        <v>1025</v>
      </c>
      <c r="H155" s="140">
        <f>F155</f>
        <v>1000</v>
      </c>
      <c r="I155" s="140">
        <f>H155</f>
        <v>1000</v>
      </c>
      <c r="J155" s="139">
        <f>I155*(1+$N132)</f>
        <v>1025</v>
      </c>
      <c r="K155" s="140">
        <f>I155</f>
        <v>1000</v>
      </c>
      <c r="L155" s="140">
        <f>K155</f>
        <v>1000</v>
      </c>
      <c r="M155" s="139">
        <f>L155*(1+$N132)</f>
        <v>1025</v>
      </c>
      <c r="N155" s="140">
        <f>L155</f>
        <v>1000</v>
      </c>
      <c r="O155" s="140">
        <f>N155</f>
        <v>1000</v>
      </c>
      <c r="P155" s="139">
        <f>O155*(1+$N132)</f>
        <v>1025</v>
      </c>
      <c r="Q155" s="140">
        <f>O155</f>
        <v>1000</v>
      </c>
      <c r="R155" s="140">
        <f>Q155</f>
        <v>1000</v>
      </c>
      <c r="S155" s="139">
        <f>R155*(1+$N132)</f>
        <v>1025</v>
      </c>
      <c r="T155" s="140">
        <f>R155</f>
        <v>1000</v>
      </c>
      <c r="U155" s="140">
        <f>T155</f>
        <v>1000</v>
      </c>
      <c r="V155" s="139">
        <f>U155*(1+$N132)</f>
        <v>1025</v>
      </c>
      <c r="W155" s="140">
        <f>U155</f>
        <v>1000</v>
      </c>
      <c r="X155" s="140">
        <f>W155</f>
        <v>1000</v>
      </c>
      <c r="Y155" s="139">
        <f>X155*(1+$N132)</f>
        <v>1025</v>
      </c>
      <c r="Z155" s="140">
        <f>X155</f>
        <v>1000</v>
      </c>
      <c r="AA155" s="140">
        <f>Z155</f>
        <v>1000</v>
      </c>
      <c r="AB155" s="139">
        <f>AA155*(1+$N132)</f>
        <v>1025</v>
      </c>
    </row>
    <row r="156" spans="2:28" s="141" customFormat="1" x14ac:dyDescent="0.25">
      <c r="B156" s="118" t="s">
        <v>126</v>
      </c>
      <c r="C156" s="139" t="str">
        <f t="shared" si="214"/>
        <v>Increase</v>
      </c>
      <c r="D156" s="140">
        <f t="shared" ref="D156:D158" si="216">C132</f>
        <v>100</v>
      </c>
      <c r="E156" s="140">
        <f t="shared" ref="E156:F156" si="217">D156</f>
        <v>100</v>
      </c>
      <c r="F156" s="140">
        <f t="shared" si="217"/>
        <v>100</v>
      </c>
      <c r="G156" s="139">
        <f>F156*(1+$N133)</f>
        <v>101</v>
      </c>
      <c r="H156" s="140">
        <f t="shared" ref="H156:H158" si="218">F156</f>
        <v>100</v>
      </c>
      <c r="I156" s="140">
        <f t="shared" ref="I156:I158" si="219">H156</f>
        <v>100</v>
      </c>
      <c r="J156" s="139">
        <f>I156*(1+$N133)</f>
        <v>101</v>
      </c>
      <c r="K156" s="140">
        <f t="shared" ref="K156:K158" si="220">I156</f>
        <v>100</v>
      </c>
      <c r="L156" s="140">
        <f t="shared" ref="L156:L158" si="221">K156</f>
        <v>100</v>
      </c>
      <c r="M156" s="139">
        <f>L156*(1+$N133)</f>
        <v>101</v>
      </c>
      <c r="N156" s="140">
        <f t="shared" ref="N156:N158" si="222">L156</f>
        <v>100</v>
      </c>
      <c r="O156" s="140">
        <f t="shared" ref="O156:O158" si="223">N156</f>
        <v>100</v>
      </c>
      <c r="P156" s="139">
        <f>O156*(1+$N133)</f>
        <v>101</v>
      </c>
      <c r="Q156" s="140">
        <f t="shared" ref="Q156:Q158" si="224">O156</f>
        <v>100</v>
      </c>
      <c r="R156" s="140">
        <f t="shared" ref="R156:R158" si="225">Q156</f>
        <v>100</v>
      </c>
      <c r="S156" s="139">
        <f>R156*(1+$N133)</f>
        <v>101</v>
      </c>
      <c r="T156" s="140">
        <f t="shared" ref="T156:T158" si="226">R156</f>
        <v>100</v>
      </c>
      <c r="U156" s="140">
        <f t="shared" ref="U156:U158" si="227">T156</f>
        <v>100</v>
      </c>
      <c r="V156" s="139">
        <f>U156*(1+$N133)</f>
        <v>101</v>
      </c>
      <c r="W156" s="140">
        <f t="shared" ref="W156:W158" si="228">U156</f>
        <v>100</v>
      </c>
      <c r="X156" s="140">
        <f t="shared" ref="X156:X158" si="229">W156</f>
        <v>100</v>
      </c>
      <c r="Y156" s="139">
        <f>X156*(1+$N133)</f>
        <v>101</v>
      </c>
      <c r="Z156" s="140">
        <f t="shared" ref="Z156:Z158" si="230">X156</f>
        <v>100</v>
      </c>
      <c r="AA156" s="140">
        <f t="shared" ref="AA156:AA158" si="231">Z156</f>
        <v>100</v>
      </c>
      <c r="AB156" s="139">
        <f>AA156*(1+$N133)</f>
        <v>101</v>
      </c>
    </row>
    <row r="157" spans="2:28" s="141" customFormat="1" x14ac:dyDescent="0.25">
      <c r="B157" s="118" t="s">
        <v>127</v>
      </c>
      <c r="C157" s="139" t="str">
        <f t="shared" si="214"/>
        <v>Increase</v>
      </c>
      <c r="D157" s="140">
        <f t="shared" si="216"/>
        <v>2000</v>
      </c>
      <c r="E157" s="140">
        <f t="shared" ref="E157:F157" si="232">D157</f>
        <v>2000</v>
      </c>
      <c r="F157" s="140">
        <f t="shared" si="232"/>
        <v>2000</v>
      </c>
      <c r="G157" s="139">
        <f>F157*(1+$N134)</f>
        <v>2020</v>
      </c>
      <c r="H157" s="140">
        <f t="shared" si="218"/>
        <v>2000</v>
      </c>
      <c r="I157" s="140">
        <f t="shared" si="219"/>
        <v>2000</v>
      </c>
      <c r="J157" s="139">
        <f>I157*(1+$N134)</f>
        <v>2020</v>
      </c>
      <c r="K157" s="140">
        <f t="shared" si="220"/>
        <v>2000</v>
      </c>
      <c r="L157" s="140">
        <f t="shared" si="221"/>
        <v>2000</v>
      </c>
      <c r="M157" s="139">
        <f>L157*(1+$N134)</f>
        <v>2020</v>
      </c>
      <c r="N157" s="140">
        <f t="shared" si="222"/>
        <v>2000</v>
      </c>
      <c r="O157" s="140">
        <f t="shared" si="223"/>
        <v>2000</v>
      </c>
      <c r="P157" s="139">
        <f>O157*(1+$N134)</f>
        <v>2020</v>
      </c>
      <c r="Q157" s="140">
        <f t="shared" si="224"/>
        <v>2000</v>
      </c>
      <c r="R157" s="140">
        <f t="shared" si="225"/>
        <v>2000</v>
      </c>
      <c r="S157" s="139">
        <f>R157*(1+$N134)</f>
        <v>2020</v>
      </c>
      <c r="T157" s="140">
        <f t="shared" si="226"/>
        <v>2000</v>
      </c>
      <c r="U157" s="140">
        <f t="shared" si="227"/>
        <v>2000</v>
      </c>
      <c r="V157" s="139">
        <f>U157*(1+$N134)</f>
        <v>2020</v>
      </c>
      <c r="W157" s="140">
        <f t="shared" si="228"/>
        <v>2000</v>
      </c>
      <c r="X157" s="140">
        <f t="shared" si="229"/>
        <v>2000</v>
      </c>
      <c r="Y157" s="139">
        <f>X157*(1+$N134)</f>
        <v>2020</v>
      </c>
      <c r="Z157" s="140">
        <f t="shared" si="230"/>
        <v>2000</v>
      </c>
      <c r="AA157" s="140">
        <f t="shared" si="231"/>
        <v>2000</v>
      </c>
      <c r="AB157" s="139">
        <f>AA157*(1+$N134)</f>
        <v>2020</v>
      </c>
    </row>
    <row r="158" spans="2:28" s="141" customFormat="1" x14ac:dyDescent="0.25">
      <c r="B158" s="118" t="s">
        <v>40</v>
      </c>
      <c r="C158" s="139" t="str">
        <f t="shared" si="214"/>
        <v>Increase</v>
      </c>
      <c r="D158" s="140">
        <f t="shared" si="216"/>
        <v>2000</v>
      </c>
      <c r="E158" s="140">
        <f t="shared" ref="E158:F158" si="233">D158</f>
        <v>2000</v>
      </c>
      <c r="F158" s="140">
        <f t="shared" si="233"/>
        <v>2000</v>
      </c>
      <c r="G158" s="139">
        <f>F158*(1+$N135)</f>
        <v>2029.9999999999998</v>
      </c>
      <c r="H158" s="140">
        <f t="shared" si="218"/>
        <v>2000</v>
      </c>
      <c r="I158" s="140">
        <f t="shared" si="219"/>
        <v>2000</v>
      </c>
      <c r="J158" s="139">
        <f>I158*(1+$N135)</f>
        <v>2029.9999999999998</v>
      </c>
      <c r="K158" s="140">
        <f t="shared" si="220"/>
        <v>2000</v>
      </c>
      <c r="L158" s="140">
        <f t="shared" si="221"/>
        <v>2000</v>
      </c>
      <c r="M158" s="139">
        <f>L158*(1+$N135)</f>
        <v>2029.9999999999998</v>
      </c>
      <c r="N158" s="140">
        <f t="shared" si="222"/>
        <v>2000</v>
      </c>
      <c r="O158" s="140">
        <f t="shared" si="223"/>
        <v>2000</v>
      </c>
      <c r="P158" s="139">
        <f>O158*(1+$N135)</f>
        <v>2029.9999999999998</v>
      </c>
      <c r="Q158" s="140">
        <f t="shared" si="224"/>
        <v>2000</v>
      </c>
      <c r="R158" s="140">
        <f t="shared" si="225"/>
        <v>2000</v>
      </c>
      <c r="S158" s="139">
        <f>R158*(1+$N135)</f>
        <v>2029.9999999999998</v>
      </c>
      <c r="T158" s="140">
        <f t="shared" si="226"/>
        <v>2000</v>
      </c>
      <c r="U158" s="140">
        <f t="shared" si="227"/>
        <v>2000</v>
      </c>
      <c r="V158" s="139">
        <f>U158*(1+$N135)</f>
        <v>2029.9999999999998</v>
      </c>
      <c r="W158" s="140">
        <f t="shared" si="228"/>
        <v>2000</v>
      </c>
      <c r="X158" s="140">
        <f t="shared" si="229"/>
        <v>2000</v>
      </c>
      <c r="Y158" s="139">
        <f>X158*(1+$N135)</f>
        <v>2029.9999999999998</v>
      </c>
      <c r="Z158" s="140">
        <f t="shared" si="230"/>
        <v>2000</v>
      </c>
      <c r="AA158" s="140">
        <f t="shared" si="231"/>
        <v>2000</v>
      </c>
      <c r="AB158" s="139">
        <f>AA158*(1+$N135)</f>
        <v>2029.9999999999998</v>
      </c>
    </row>
    <row r="159" spans="2:28" x14ac:dyDescent="0.25">
      <c r="B159" s="118" t="s">
        <v>15</v>
      </c>
      <c r="C159" s="70" t="str">
        <f t="shared" si="214"/>
        <v>No change</v>
      </c>
      <c r="D159" s="102">
        <f>C136</f>
        <v>58</v>
      </c>
      <c r="E159" s="102">
        <f>D159</f>
        <v>58</v>
      </c>
      <c r="F159" s="102">
        <f t="shared" ref="F159:AB162" si="234">E159</f>
        <v>58</v>
      </c>
      <c r="G159" s="135">
        <f t="shared" si="234"/>
        <v>58</v>
      </c>
      <c r="H159" s="102">
        <f t="shared" si="234"/>
        <v>58</v>
      </c>
      <c r="I159" s="102">
        <f t="shared" si="234"/>
        <v>58</v>
      </c>
      <c r="J159" s="135">
        <f t="shared" si="234"/>
        <v>58</v>
      </c>
      <c r="K159" s="102">
        <f t="shared" si="234"/>
        <v>58</v>
      </c>
      <c r="L159" s="102">
        <f t="shared" si="234"/>
        <v>58</v>
      </c>
      <c r="M159" s="135">
        <f t="shared" si="234"/>
        <v>58</v>
      </c>
      <c r="N159" s="102">
        <f t="shared" si="234"/>
        <v>58</v>
      </c>
      <c r="O159" s="102">
        <f t="shared" si="234"/>
        <v>58</v>
      </c>
      <c r="P159" s="135">
        <f t="shared" si="234"/>
        <v>58</v>
      </c>
      <c r="Q159" s="102">
        <f t="shared" si="234"/>
        <v>58</v>
      </c>
      <c r="R159" s="102">
        <f t="shared" si="234"/>
        <v>58</v>
      </c>
      <c r="S159" s="135">
        <f t="shared" si="234"/>
        <v>58</v>
      </c>
      <c r="T159" s="102">
        <f t="shared" si="234"/>
        <v>58</v>
      </c>
      <c r="U159" s="102">
        <f t="shared" si="234"/>
        <v>58</v>
      </c>
      <c r="V159" s="135">
        <f t="shared" si="234"/>
        <v>58</v>
      </c>
      <c r="W159" s="102">
        <f t="shared" si="234"/>
        <v>58</v>
      </c>
      <c r="X159" s="102">
        <f t="shared" si="234"/>
        <v>58</v>
      </c>
      <c r="Y159" s="135">
        <f t="shared" si="234"/>
        <v>58</v>
      </c>
      <c r="Z159" s="102">
        <f t="shared" si="234"/>
        <v>58</v>
      </c>
      <c r="AA159" s="102">
        <f t="shared" si="234"/>
        <v>58</v>
      </c>
      <c r="AB159" s="135">
        <f t="shared" si="234"/>
        <v>58</v>
      </c>
    </row>
    <row r="160" spans="2:28" x14ac:dyDescent="0.25">
      <c r="B160" s="171" t="s">
        <v>16</v>
      </c>
      <c r="C160" s="70" t="str">
        <f t="shared" si="214"/>
        <v>No change</v>
      </c>
      <c r="D160" s="128">
        <f>C137</f>
        <v>7</v>
      </c>
      <c r="E160" s="102">
        <f t="shared" ref="E160:T162" si="235">D160</f>
        <v>7</v>
      </c>
      <c r="F160" s="102">
        <f t="shared" si="235"/>
        <v>7</v>
      </c>
      <c r="G160" s="135">
        <f t="shared" si="235"/>
        <v>7</v>
      </c>
      <c r="H160" s="102">
        <f t="shared" si="235"/>
        <v>7</v>
      </c>
      <c r="I160" s="102">
        <f t="shared" si="235"/>
        <v>7</v>
      </c>
      <c r="J160" s="135">
        <f t="shared" si="235"/>
        <v>7</v>
      </c>
      <c r="K160" s="102">
        <f t="shared" si="235"/>
        <v>7</v>
      </c>
      <c r="L160" s="102">
        <f t="shared" si="235"/>
        <v>7</v>
      </c>
      <c r="M160" s="135">
        <f t="shared" si="235"/>
        <v>7</v>
      </c>
      <c r="N160" s="102">
        <f t="shared" si="235"/>
        <v>7</v>
      </c>
      <c r="O160" s="102">
        <f t="shared" si="235"/>
        <v>7</v>
      </c>
      <c r="P160" s="135">
        <f t="shared" si="235"/>
        <v>7</v>
      </c>
      <c r="Q160" s="102">
        <f t="shared" si="235"/>
        <v>7</v>
      </c>
      <c r="R160" s="102">
        <f t="shared" si="235"/>
        <v>7</v>
      </c>
      <c r="S160" s="135">
        <f t="shared" si="235"/>
        <v>7</v>
      </c>
      <c r="T160" s="102">
        <f t="shared" si="235"/>
        <v>7</v>
      </c>
      <c r="U160" s="102">
        <f t="shared" si="234"/>
        <v>7</v>
      </c>
      <c r="V160" s="135">
        <f t="shared" si="234"/>
        <v>7</v>
      </c>
      <c r="W160" s="102">
        <f t="shared" si="234"/>
        <v>7</v>
      </c>
      <c r="X160" s="102">
        <f t="shared" si="234"/>
        <v>7</v>
      </c>
      <c r="Y160" s="135">
        <f t="shared" si="234"/>
        <v>7</v>
      </c>
      <c r="Z160" s="102">
        <f t="shared" si="234"/>
        <v>7</v>
      </c>
      <c r="AA160" s="102">
        <f t="shared" si="234"/>
        <v>7</v>
      </c>
      <c r="AB160" s="135">
        <f t="shared" si="234"/>
        <v>7</v>
      </c>
    </row>
    <row r="161" spans="2:28" x14ac:dyDescent="0.25">
      <c r="B161" s="125" t="s">
        <v>157</v>
      </c>
      <c r="C161" s="70" t="str">
        <f t="shared" si="214"/>
        <v>No change</v>
      </c>
      <c r="D161" s="63">
        <f>C138</f>
        <v>0.01</v>
      </c>
      <c r="E161" s="71">
        <f>D161</f>
        <v>0.01</v>
      </c>
      <c r="F161" s="71">
        <f t="shared" ref="F161:AB161" si="236">E161</f>
        <v>0.01</v>
      </c>
      <c r="G161" s="136">
        <f t="shared" si="236"/>
        <v>0.01</v>
      </c>
      <c r="H161" s="71">
        <f t="shared" si="236"/>
        <v>0.01</v>
      </c>
      <c r="I161" s="71">
        <f t="shared" si="236"/>
        <v>0.01</v>
      </c>
      <c r="J161" s="136">
        <f t="shared" si="236"/>
        <v>0.01</v>
      </c>
      <c r="K161" s="71">
        <f t="shared" si="236"/>
        <v>0.01</v>
      </c>
      <c r="L161" s="71">
        <f t="shared" si="236"/>
        <v>0.01</v>
      </c>
      <c r="M161" s="136">
        <f t="shared" si="236"/>
        <v>0.01</v>
      </c>
      <c r="N161" s="71">
        <f t="shared" si="236"/>
        <v>0.01</v>
      </c>
      <c r="O161" s="71">
        <f t="shared" si="236"/>
        <v>0.01</v>
      </c>
      <c r="P161" s="136">
        <f t="shared" si="236"/>
        <v>0.01</v>
      </c>
      <c r="Q161" s="71">
        <f t="shared" si="236"/>
        <v>0.01</v>
      </c>
      <c r="R161" s="71">
        <f t="shared" si="236"/>
        <v>0.01</v>
      </c>
      <c r="S161" s="136">
        <f t="shared" si="236"/>
        <v>0.01</v>
      </c>
      <c r="T161" s="71">
        <f t="shared" si="236"/>
        <v>0.01</v>
      </c>
      <c r="U161" s="71">
        <f t="shared" si="236"/>
        <v>0.01</v>
      </c>
      <c r="V161" s="136">
        <f t="shared" si="236"/>
        <v>0.01</v>
      </c>
      <c r="W161" s="71">
        <f t="shared" si="236"/>
        <v>0.01</v>
      </c>
      <c r="X161" s="71">
        <f t="shared" si="236"/>
        <v>0.01</v>
      </c>
      <c r="Y161" s="136">
        <f t="shared" si="236"/>
        <v>0.01</v>
      </c>
      <c r="Z161" s="71">
        <f t="shared" si="236"/>
        <v>0.01</v>
      </c>
      <c r="AA161" s="71">
        <f t="shared" si="236"/>
        <v>0.01</v>
      </c>
      <c r="AB161" s="136">
        <f t="shared" si="236"/>
        <v>0.01</v>
      </c>
    </row>
    <row r="162" spans="2:28" x14ac:dyDescent="0.25">
      <c r="B162" s="125" t="s">
        <v>18</v>
      </c>
      <c r="C162" s="70" t="str">
        <f t="shared" si="214"/>
        <v>No change</v>
      </c>
      <c r="D162" s="63">
        <f>C139</f>
        <v>0.24</v>
      </c>
      <c r="E162" s="71">
        <f t="shared" si="235"/>
        <v>0.24</v>
      </c>
      <c r="F162" s="71">
        <f t="shared" si="234"/>
        <v>0.24</v>
      </c>
      <c r="G162" s="136">
        <f t="shared" si="234"/>
        <v>0.24</v>
      </c>
      <c r="H162" s="71">
        <f t="shared" si="234"/>
        <v>0.24</v>
      </c>
      <c r="I162" s="71">
        <f t="shared" si="234"/>
        <v>0.24</v>
      </c>
      <c r="J162" s="136">
        <f t="shared" si="234"/>
        <v>0.24</v>
      </c>
      <c r="K162" s="71">
        <f t="shared" si="234"/>
        <v>0.24</v>
      </c>
      <c r="L162" s="71">
        <f t="shared" si="234"/>
        <v>0.24</v>
      </c>
      <c r="M162" s="136">
        <f t="shared" si="234"/>
        <v>0.24</v>
      </c>
      <c r="N162" s="71">
        <f t="shared" si="234"/>
        <v>0.24</v>
      </c>
      <c r="O162" s="71">
        <f t="shared" si="234"/>
        <v>0.24</v>
      </c>
      <c r="P162" s="136">
        <f t="shared" si="234"/>
        <v>0.24</v>
      </c>
      <c r="Q162" s="71">
        <f t="shared" si="234"/>
        <v>0.24</v>
      </c>
      <c r="R162" s="71">
        <f t="shared" si="234"/>
        <v>0.24</v>
      </c>
      <c r="S162" s="136">
        <f t="shared" si="234"/>
        <v>0.24</v>
      </c>
      <c r="T162" s="71">
        <f t="shared" si="234"/>
        <v>0.24</v>
      </c>
      <c r="U162" s="71">
        <f t="shared" si="234"/>
        <v>0.24</v>
      </c>
      <c r="V162" s="136">
        <f t="shared" si="234"/>
        <v>0.24</v>
      </c>
      <c r="W162" s="71">
        <f t="shared" si="234"/>
        <v>0.24</v>
      </c>
      <c r="X162" s="71">
        <f t="shared" si="234"/>
        <v>0.24</v>
      </c>
      <c r="Y162" s="136">
        <f t="shared" si="234"/>
        <v>0.24</v>
      </c>
      <c r="Z162" s="71">
        <f t="shared" si="234"/>
        <v>0.24</v>
      </c>
      <c r="AA162" s="71">
        <f t="shared" si="234"/>
        <v>0.24</v>
      </c>
      <c r="AB162" s="136">
        <f t="shared" si="234"/>
        <v>0.24</v>
      </c>
    </row>
    <row r="163" spans="2:28" x14ac:dyDescent="0.25">
      <c r="G163" s="137"/>
      <c r="J163" s="137"/>
      <c r="M163" s="137"/>
      <c r="P163" s="137"/>
      <c r="S163" s="137"/>
      <c r="V163" s="137"/>
      <c r="Y163" s="137"/>
      <c r="AB163" s="137"/>
    </row>
    <row r="164" spans="2:28" x14ac:dyDescent="0.25">
      <c r="G164" s="137"/>
    </row>
    <row r="165" spans="2:28" x14ac:dyDescent="0.25">
      <c r="G165" s="137"/>
    </row>
    <row r="166" spans="2:28" x14ac:dyDescent="0.25">
      <c r="G166" s="137"/>
    </row>
    <row r="167" spans="2:28" x14ac:dyDescent="0.25">
      <c r="G167" s="137"/>
    </row>
    <row r="168" spans="2:28" x14ac:dyDescent="0.25">
      <c r="G168" s="137"/>
    </row>
  </sheetData>
  <mergeCells count="30">
    <mergeCell ref="E129:H129"/>
    <mergeCell ref="E130:H130"/>
    <mergeCell ref="B3:E3"/>
    <mergeCell ref="B22:F22"/>
    <mergeCell ref="B23:J23"/>
    <mergeCell ref="E123:H123"/>
    <mergeCell ref="E120:H120"/>
    <mergeCell ref="E121:H121"/>
    <mergeCell ref="E122:H122"/>
    <mergeCell ref="E139:H139"/>
    <mergeCell ref="C79:F79"/>
    <mergeCell ref="C93:F93"/>
    <mergeCell ref="C105:F105"/>
    <mergeCell ref="K119:N119"/>
    <mergeCell ref="E133:H133"/>
    <mergeCell ref="E134:H134"/>
    <mergeCell ref="E138:H138"/>
    <mergeCell ref="E131:H131"/>
    <mergeCell ref="E132:H132"/>
    <mergeCell ref="E135:H135"/>
    <mergeCell ref="E136:H136"/>
    <mergeCell ref="E137:H137"/>
    <mergeCell ref="E124:H124"/>
    <mergeCell ref="E127:H127"/>
    <mergeCell ref="E128:H128"/>
    <mergeCell ref="P119:S119"/>
    <mergeCell ref="U119:X119"/>
    <mergeCell ref="K118:N118"/>
    <mergeCell ref="P118:S118"/>
    <mergeCell ref="U118:X118"/>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Z95"/>
  <sheetViews>
    <sheetView showGridLines="0" topLeftCell="I67" zoomScale="85" zoomScaleNormal="85" workbookViewId="0">
      <selection activeCell="K95" sqref="K95"/>
    </sheetView>
  </sheetViews>
  <sheetFormatPr defaultColWidth="9" defaultRowHeight="15" x14ac:dyDescent="0.25"/>
  <cols>
    <col min="1" max="1" width="40.7109375" style="10" customWidth="1"/>
    <col min="2" max="2" width="12.7109375" style="28" customWidth="1"/>
    <col min="3" max="3" width="13" style="28" customWidth="1"/>
    <col min="4" max="4" width="17" style="28" customWidth="1"/>
    <col min="5" max="6" width="12.5703125" style="28" customWidth="1"/>
    <col min="7" max="7" width="11.85546875" style="28" customWidth="1"/>
    <col min="8" max="8" width="12.28515625" style="28" customWidth="1"/>
    <col min="9" max="9" width="11.7109375" style="28" customWidth="1"/>
    <col min="10" max="10" width="13" style="28" customWidth="1"/>
    <col min="11" max="11" width="12.7109375" style="28" customWidth="1"/>
    <col min="12" max="12" width="12.28515625" style="28" customWidth="1"/>
    <col min="13" max="23" width="13.7109375" style="3" customWidth="1"/>
    <col min="24" max="24" width="15.7109375" style="3" customWidth="1"/>
    <col min="25" max="25" width="11" style="3" customWidth="1"/>
    <col min="26" max="26" width="11.140625" style="3" customWidth="1"/>
    <col min="27" max="16384" width="9" style="3"/>
  </cols>
  <sheetData>
    <row r="2" spans="1:26" ht="38.25" customHeight="1" x14ac:dyDescent="0.25">
      <c r="A2" s="11" t="s">
        <v>77</v>
      </c>
      <c r="B2" s="32"/>
      <c r="C2" s="76"/>
      <c r="D2" s="77"/>
      <c r="E2" s="32"/>
      <c r="F2" s="126" t="s">
        <v>106</v>
      </c>
      <c r="G2" s="32"/>
      <c r="H2" s="32"/>
      <c r="I2" s="32"/>
      <c r="J2" s="32"/>
      <c r="K2" s="32"/>
      <c r="L2" s="32"/>
      <c r="M2" s="11"/>
    </row>
    <row r="3" spans="1:26" ht="15" customHeight="1" x14ac:dyDescent="0.25">
      <c r="A3" s="23"/>
      <c r="B3" s="32"/>
      <c r="C3" s="32"/>
      <c r="D3" s="32"/>
      <c r="E3" s="32"/>
      <c r="F3" s="32"/>
      <c r="G3" s="32"/>
      <c r="H3" s="32"/>
      <c r="I3" s="32"/>
      <c r="J3" s="32"/>
      <c r="K3" s="32"/>
      <c r="L3" s="32"/>
      <c r="M3" s="11"/>
    </row>
    <row r="4" spans="1:26" x14ac:dyDescent="0.25">
      <c r="A4" s="10" t="s">
        <v>22</v>
      </c>
      <c r="B4" s="28">
        <v>0</v>
      </c>
      <c r="C4" s="28">
        <v>1</v>
      </c>
      <c r="D4" s="28">
        <v>2</v>
      </c>
      <c r="E4" s="28">
        <v>3</v>
      </c>
      <c r="F4" s="28">
        <v>4</v>
      </c>
      <c r="G4" s="28">
        <v>5</v>
      </c>
      <c r="H4" s="28">
        <v>6</v>
      </c>
      <c r="I4" s="28">
        <v>7</v>
      </c>
      <c r="J4" s="28">
        <v>8</v>
      </c>
      <c r="K4" s="28">
        <v>9</v>
      </c>
      <c r="L4" s="28">
        <v>10</v>
      </c>
      <c r="M4" s="28">
        <v>11</v>
      </c>
      <c r="N4" s="28">
        <v>12</v>
      </c>
      <c r="O4" s="28">
        <v>13</v>
      </c>
      <c r="P4" s="28">
        <v>14</v>
      </c>
      <c r="Q4" s="28">
        <v>15</v>
      </c>
      <c r="R4" s="28">
        <v>16</v>
      </c>
      <c r="S4" s="28">
        <v>17</v>
      </c>
      <c r="T4" s="28">
        <v>18</v>
      </c>
      <c r="U4" s="28">
        <v>19</v>
      </c>
      <c r="V4" s="28">
        <v>20</v>
      </c>
      <c r="W4" s="28">
        <v>21</v>
      </c>
      <c r="X4" s="28">
        <v>22</v>
      </c>
      <c r="Y4" s="28">
        <v>23</v>
      </c>
      <c r="Z4" s="28">
        <v>24</v>
      </c>
    </row>
    <row r="5" spans="1:26" x14ac:dyDescent="0.25">
      <c r="A5" s="24" t="s">
        <v>23</v>
      </c>
    </row>
    <row r="6" spans="1:26" x14ac:dyDescent="0.25">
      <c r="A6" s="10" t="s">
        <v>56</v>
      </c>
      <c r="B6" s="33">
        <v>0</v>
      </c>
      <c r="C6" s="33">
        <v>0</v>
      </c>
      <c r="D6" s="33">
        <f>Assumption_Hatchery!F18*Assumption_Hatchery!F144*Assumption_Hatchery!F145*(1+Assumption_Hatchery!F146)^Assumption_Hatchery!F143</f>
        <v>221085.00000000003</v>
      </c>
      <c r="E6" s="146">
        <f>Assumption_Hatchery!G18*Assumption_Hatchery!G144*Assumption_Hatchery!G145*(1+Assumption_Hatchery!G146)^Assumption_Hatchery!G143</f>
        <v>395764.2585</v>
      </c>
      <c r="F6" s="33">
        <f>Assumption_Hatchery!H18*Assumption_Hatchery!H144*Assumption_Hatchery!H145*(1+Assumption_Hatchery!H146)^Assumption_Hatchery!H143</f>
        <v>460033.66800000006</v>
      </c>
      <c r="G6" s="33">
        <f>Assumption_Hatchery!I18*Assumption_Hatchery!I144*Assumption_Hatchery!I145*(1+Assumption_Hatchery!I146)^Assumption_Hatchery!I143</f>
        <v>469234.34136000008</v>
      </c>
      <c r="H6" s="146">
        <f>Assumption_Hatchery!J18*Assumption_Hatchery!J144*Assumption_Hatchery!J145*(1+Assumption_Hatchery!J146)^Assumption_Hatchery!J143</f>
        <v>466653.55248252011</v>
      </c>
      <c r="I6" s="33">
        <f>Assumption_Hatchery!K18*Assumption_Hatchery!K144*Assumption_Hatchery!K145*(1+Assumption_Hatchery!K146)^Assumption_Hatchery!K143</f>
        <v>488191.40875094401</v>
      </c>
      <c r="J6" s="33">
        <f>Assumption_Hatchery!L18*Assumption_Hatchery!L144*Assumption_Hatchery!L145*(1+Assumption_Hatchery!L146)^Assumption_Hatchery!L143</f>
        <v>497955.2369259629</v>
      </c>
      <c r="K6" s="146">
        <f>Assumption_Hatchery!M18*Assumption_Hatchery!M144*Assumption_Hatchery!M145*(1+Assumption_Hatchery!M146)^Assumption_Hatchery!M143</f>
        <v>495216.48312287009</v>
      </c>
      <c r="L6" s="33">
        <f>Assumption_Hatchery!N18*Assumption_Hatchery!N144*Assumption_Hatchery!N145*(1+Assumption_Hatchery!N146)^Assumption_Hatchery!N143</f>
        <v>518072.62849777186</v>
      </c>
      <c r="M6" s="33">
        <f>Assumption_Hatchery!O18*Assumption_Hatchery!O144*Assumption_Hatchery!O145*(1+Assumption_Hatchery!O146)^Assumption_Hatchery!O143</f>
        <v>528434.08106772718</v>
      </c>
      <c r="N6" s="146">
        <f>Assumption_Hatchery!P18*Assumption_Hatchery!P144*Assumption_Hatchery!P145*(1+Assumption_Hatchery!P146)^Assumption_Hatchery!P143</f>
        <v>525527.69362185476</v>
      </c>
      <c r="O6" s="33">
        <f>Assumption_Hatchery!Q18*Assumption_Hatchery!Q144*Assumption_Hatchery!Q145*(1+Assumption_Hatchery!Q146)^Assumption_Hatchery!Q143</f>
        <v>549782.81794286345</v>
      </c>
      <c r="P6" s="33">
        <f>Assumption_Hatchery!R18*Assumption_Hatchery!R144*Assumption_Hatchery!R145*(1+Assumption_Hatchery!R146)^Assumption_Hatchery!R143</f>
        <v>560778.47430172074</v>
      </c>
      <c r="Q6" s="146">
        <f>Assumption_Hatchery!S18*Assumption_Hatchery!S144*Assumption_Hatchery!S145*(1+Assumption_Hatchery!S146)^Assumption_Hatchery!S143</f>
        <v>557694.19269306108</v>
      </c>
      <c r="R6" s="33">
        <f>Assumption_Hatchery!T18*Assumption_Hatchery!T144*Assumption_Hatchery!T145*(1+Assumption_Hatchery!T146)^Assumption_Hatchery!T143</f>
        <v>583433.92466351017</v>
      </c>
      <c r="S6" s="33">
        <f>Assumption_Hatchery!U18*Assumption_Hatchery!U144*Assumption_Hatchery!U145*(1+Assumption_Hatchery!U146)^Assumption_Hatchery!U143</f>
        <v>595102.60315678047</v>
      </c>
      <c r="T6" s="33">
        <f>Assumption_Hatchery!V18*Assumption_Hatchery!V144*Assumption_Hatchery!V145*(1+Assumption_Hatchery!V146)^Assumption_Hatchery!V143</f>
        <v>591829.53883941809</v>
      </c>
      <c r="U6" s="33">
        <f>Assumption_Hatchery!W18*Assumption_Hatchery!W144*Assumption_Hatchery!W145*(1+Assumption_Hatchery!W146)^Assumption_Hatchery!W143</f>
        <v>619144.74832431425</v>
      </c>
      <c r="V6" s="33">
        <f>Assumption_Hatchery!X18*Assumption_Hatchery!X144*Assumption_Hatchery!X145*(1+Assumption_Hatchery!X146)^Assumption_Hatchery!X143</f>
        <v>631527.64329080062</v>
      </c>
      <c r="W6" s="33">
        <f>Assumption_Hatchery!Y18*Assumption_Hatchery!Y144*Assumption_Hatchery!Y145*(1+Assumption_Hatchery!Y146)^Assumption_Hatchery!Y143</f>
        <v>502443.39300216088</v>
      </c>
      <c r="X6" s="33">
        <f>Assumption_Hatchery!Z18*Assumption_Hatchery!Z144*Assumption_Hatchery!Z145*(1+Assumption_Hatchery!Z146)^Assumption_Hatchery!Z143</f>
        <v>328520.68003987451</v>
      </c>
      <c r="Y6" s="33">
        <f>Assumption_Hatchery!AA18*Assumption_Hatchery!AA144*Assumption_Hatchery!AA145*(1+Assumption_Hatchery!AA146)^Assumption_Hatchery!AA143</f>
        <v>67018.218728134379</v>
      </c>
      <c r="Z6" s="33">
        <f>Assumption_Hatchery!AB18*Assumption_Hatchery!AB144*Assumption_Hatchery!AB145*(1+Assumption_Hatchery!AB146)^Assumption_Hatchery!AB143</f>
        <v>0</v>
      </c>
    </row>
    <row r="7" spans="1:26" x14ac:dyDescent="0.25">
      <c r="A7" s="10" t="s">
        <v>57</v>
      </c>
      <c r="B7" s="33">
        <f>Assumption_Hatchery!D17*Assumption_Hatchery!D147</f>
        <v>0</v>
      </c>
      <c r="C7" s="33">
        <f>Assumption_Hatchery!E17*Assumption_Hatchery!E147</f>
        <v>0</v>
      </c>
      <c r="D7" s="33">
        <f>Assumption_Hatchery!F17*Assumption_Hatchery!F147</f>
        <v>0</v>
      </c>
      <c r="E7" s="146">
        <f>Assumption_Hatchery!G17*Assumption_Hatchery!G147</f>
        <v>0</v>
      </c>
      <c r="F7" s="33">
        <f>Assumption_Hatchery!H17*Assumption_Hatchery!H147</f>
        <v>0</v>
      </c>
      <c r="G7" s="33">
        <f>Assumption_Hatchery!I17*Assumption_Hatchery!I147</f>
        <v>0</v>
      </c>
      <c r="H7" s="146">
        <f>Assumption_Hatchery!J17*Assumption_Hatchery!J147</f>
        <v>0</v>
      </c>
      <c r="I7" s="33">
        <f>Assumption_Hatchery!K17*Assumption_Hatchery!K147</f>
        <v>0</v>
      </c>
      <c r="J7" s="33">
        <f>Assumption_Hatchery!L17*Assumption_Hatchery!L147</f>
        <v>0</v>
      </c>
      <c r="K7" s="146">
        <f>Assumption_Hatchery!M17*Assumption_Hatchery!M147</f>
        <v>0</v>
      </c>
      <c r="L7" s="33">
        <f>Assumption_Hatchery!N17*Assumption_Hatchery!N147</f>
        <v>0</v>
      </c>
      <c r="M7" s="33">
        <f>Assumption_Hatchery!O17*Assumption_Hatchery!O147</f>
        <v>0</v>
      </c>
      <c r="N7" s="146">
        <f>Assumption_Hatchery!P17*Assumption_Hatchery!P147</f>
        <v>0</v>
      </c>
      <c r="O7" s="33">
        <f>Assumption_Hatchery!Q17*Assumption_Hatchery!Q147</f>
        <v>0</v>
      </c>
      <c r="P7" s="33">
        <f>Assumption_Hatchery!R17*Assumption_Hatchery!R147</f>
        <v>0</v>
      </c>
      <c r="Q7" s="146">
        <f>Assumption_Hatchery!S17*Assumption_Hatchery!S147</f>
        <v>0</v>
      </c>
      <c r="R7" s="33">
        <f>Assumption_Hatchery!T17*Assumption_Hatchery!T147</f>
        <v>0</v>
      </c>
      <c r="S7" s="33">
        <f>Assumption_Hatchery!U17*Assumption_Hatchery!U147</f>
        <v>0</v>
      </c>
      <c r="T7" s="33">
        <f>Assumption_Hatchery!V17*Assumption_Hatchery!V147</f>
        <v>0</v>
      </c>
      <c r="U7" s="33">
        <f>Assumption_Hatchery!W17*Assumption_Hatchery!W147</f>
        <v>0</v>
      </c>
      <c r="V7" s="33">
        <f>Assumption_Hatchery!X17*Assumption_Hatchery!X147</f>
        <v>0</v>
      </c>
      <c r="W7" s="33">
        <f>Assumption_Hatchery!Y17*Assumption_Hatchery!Y147</f>
        <v>19000</v>
      </c>
      <c r="X7" s="33">
        <f>Assumption_Hatchery!Z17*Assumption_Hatchery!Z147</f>
        <v>30000</v>
      </c>
      <c r="Y7" s="33">
        <f>Assumption_Hatchery!AA17*Assumption_Hatchery!AA147</f>
        <v>40000</v>
      </c>
      <c r="Z7" s="33">
        <f>Assumption_Hatchery!AB17*Assumption_Hatchery!AB147</f>
        <v>9500</v>
      </c>
    </row>
    <row r="8" spans="1:26" s="13" customFormat="1" x14ac:dyDescent="0.25">
      <c r="A8" s="24" t="s">
        <v>58</v>
      </c>
      <c r="B8" s="41">
        <f t="shared" ref="B8" si="0">(B6+B7)</f>
        <v>0</v>
      </c>
      <c r="C8" s="41">
        <f t="shared" ref="C8:Z8" si="1">(C6+C7)</f>
        <v>0</v>
      </c>
      <c r="D8" s="41">
        <f t="shared" si="1"/>
        <v>221085.00000000003</v>
      </c>
      <c r="E8" s="41">
        <f t="shared" si="1"/>
        <v>395764.2585</v>
      </c>
      <c r="F8" s="41">
        <f t="shared" si="1"/>
        <v>460033.66800000006</v>
      </c>
      <c r="G8" s="41">
        <f t="shared" si="1"/>
        <v>469234.34136000008</v>
      </c>
      <c r="H8" s="41">
        <f t="shared" si="1"/>
        <v>466653.55248252011</v>
      </c>
      <c r="I8" s="41">
        <f t="shared" si="1"/>
        <v>488191.40875094401</v>
      </c>
      <c r="J8" s="41">
        <f t="shared" si="1"/>
        <v>497955.2369259629</v>
      </c>
      <c r="K8" s="41">
        <f t="shared" si="1"/>
        <v>495216.48312287009</v>
      </c>
      <c r="L8" s="41">
        <f t="shared" si="1"/>
        <v>518072.62849777186</v>
      </c>
      <c r="M8" s="41">
        <f t="shared" si="1"/>
        <v>528434.08106772718</v>
      </c>
      <c r="N8" s="41">
        <f t="shared" si="1"/>
        <v>525527.69362185476</v>
      </c>
      <c r="O8" s="41">
        <f t="shared" si="1"/>
        <v>549782.81794286345</v>
      </c>
      <c r="P8" s="41">
        <f t="shared" si="1"/>
        <v>560778.47430172074</v>
      </c>
      <c r="Q8" s="41">
        <f t="shared" si="1"/>
        <v>557694.19269306108</v>
      </c>
      <c r="R8" s="41">
        <f t="shared" si="1"/>
        <v>583433.92466351017</v>
      </c>
      <c r="S8" s="41">
        <f t="shared" si="1"/>
        <v>595102.60315678047</v>
      </c>
      <c r="T8" s="41">
        <f t="shared" si="1"/>
        <v>591829.53883941809</v>
      </c>
      <c r="U8" s="41">
        <f t="shared" si="1"/>
        <v>619144.74832431425</v>
      </c>
      <c r="V8" s="41">
        <f t="shared" si="1"/>
        <v>631527.64329080062</v>
      </c>
      <c r="W8" s="41">
        <f t="shared" si="1"/>
        <v>521443.39300216088</v>
      </c>
      <c r="X8" s="41">
        <f t="shared" si="1"/>
        <v>358520.68003987451</v>
      </c>
      <c r="Y8" s="41">
        <f t="shared" si="1"/>
        <v>107018.21872813438</v>
      </c>
      <c r="Z8" s="41">
        <f t="shared" si="1"/>
        <v>9500</v>
      </c>
    </row>
    <row r="9" spans="1:26" x14ac:dyDescent="0.25">
      <c r="A9" s="24"/>
      <c r="B9" s="44"/>
      <c r="C9" s="44"/>
      <c r="D9" s="44"/>
      <c r="E9" s="44"/>
      <c r="F9" s="44"/>
      <c r="G9" s="44"/>
      <c r="H9" s="44"/>
      <c r="I9" s="44"/>
      <c r="J9" s="44"/>
      <c r="K9" s="44"/>
    </row>
    <row r="10" spans="1:26" x14ac:dyDescent="0.25">
      <c r="A10" s="24" t="s">
        <v>24</v>
      </c>
    </row>
    <row r="11" spans="1:26" x14ac:dyDescent="0.25">
      <c r="A11" s="9" t="s">
        <v>49</v>
      </c>
      <c r="B11" s="35">
        <f>Assumption_Hatchery!D151*Assumption_Hatchery!D6</f>
        <v>0</v>
      </c>
      <c r="C11" s="35">
        <f>Assumption_Hatchery!E151*Assumption_Hatchery!E6</f>
        <v>100000</v>
      </c>
      <c r="D11" s="35">
        <f>Assumption_Hatchery!F151*Assumption_Hatchery!F6</f>
        <v>150000</v>
      </c>
      <c r="E11" s="158">
        <f>Assumption_Hatchery!G151*Assumption_Hatchery!G6</f>
        <v>200000</v>
      </c>
      <c r="F11" s="35">
        <f>Assumption_Hatchery!H151*Assumption_Hatchery!H6</f>
        <v>50000</v>
      </c>
      <c r="G11" s="35">
        <f>Assumption_Hatchery!I151*Assumption_Hatchery!I6</f>
        <v>0</v>
      </c>
      <c r="H11" s="35">
        <f>Assumption_Hatchery!J151*Assumption_Hatchery!J6</f>
        <v>0</v>
      </c>
      <c r="I11" s="35">
        <f>Assumption_Hatchery!K151*Assumption_Hatchery!K6</f>
        <v>0</v>
      </c>
      <c r="J11" s="35">
        <f>Assumption_Hatchery!L151*Assumption_Hatchery!L6</f>
        <v>0</v>
      </c>
      <c r="K11" s="35">
        <f>Assumption_Hatchery!M151*Assumption_Hatchery!M6</f>
        <v>0</v>
      </c>
      <c r="L11" s="35">
        <f>Assumption_Hatchery!N151*Assumption_Hatchery!N6</f>
        <v>0</v>
      </c>
      <c r="M11" s="35">
        <f>Assumption_Hatchery!O151*Assumption_Hatchery!O6</f>
        <v>0</v>
      </c>
      <c r="N11" s="35">
        <f>Assumption_Hatchery!P151*Assumption_Hatchery!P6</f>
        <v>0</v>
      </c>
      <c r="O11" s="35">
        <f>Assumption_Hatchery!Q151*Assumption_Hatchery!Q6</f>
        <v>0</v>
      </c>
      <c r="P11" s="35">
        <f>Assumption_Hatchery!R151*Assumption_Hatchery!R6</f>
        <v>0</v>
      </c>
      <c r="Q11" s="35">
        <f>Assumption_Hatchery!S151*Assumption_Hatchery!S6</f>
        <v>0</v>
      </c>
      <c r="R11" s="35">
        <f>Assumption_Hatchery!T151*Assumption_Hatchery!T6</f>
        <v>0</v>
      </c>
      <c r="S11" s="35">
        <f>Assumption_Hatchery!U151*Assumption_Hatchery!U6</f>
        <v>0</v>
      </c>
      <c r="T11" s="35">
        <f>Assumption_Hatchery!V151*Assumption_Hatchery!V6</f>
        <v>0</v>
      </c>
      <c r="U11" s="35">
        <f>Assumption_Hatchery!W151*Assumption_Hatchery!W6</f>
        <v>0</v>
      </c>
      <c r="V11" s="35">
        <f>Assumption_Hatchery!X151*Assumption_Hatchery!X6</f>
        <v>0</v>
      </c>
      <c r="W11" s="35">
        <f>Assumption_Hatchery!Y151*Assumption_Hatchery!Y6</f>
        <v>0</v>
      </c>
      <c r="X11" s="35">
        <f>Assumption_Hatchery!Z151*Assumption_Hatchery!Z6</f>
        <v>0</v>
      </c>
      <c r="Y11" s="35">
        <f>Assumption_Hatchery!AA151*Assumption_Hatchery!AA6</f>
        <v>0</v>
      </c>
      <c r="Z11" s="35">
        <f>Assumption_Hatchery!AB151*Assumption_Hatchery!AB6</f>
        <v>0</v>
      </c>
    </row>
    <row r="12" spans="1:26" x14ac:dyDescent="0.25">
      <c r="A12" s="9" t="s">
        <v>128</v>
      </c>
      <c r="B12" s="35">
        <v>0</v>
      </c>
      <c r="C12" s="35">
        <v>0</v>
      </c>
      <c r="D12" s="35">
        <f>Assumption_Hatchery!E6*Assumption_Hatchery!F152</f>
        <v>5000</v>
      </c>
      <c r="E12" s="158">
        <f>(Assumption_Hatchery!F16*Assumption_Hatchery!G152)+(Assumption_Hatchery!E18*Assumption_Hatchery!G153)</f>
        <v>17762.499999999996</v>
      </c>
      <c r="F12" s="35">
        <f>(Assumption_Hatchery!G16*Assumption_Hatchery!H152)+(Assumption_Hatchery!F18*Assumption_Hatchery!H153)</f>
        <v>35000</v>
      </c>
      <c r="G12" s="35">
        <f>(Assumption_Hatchery!H16*Assumption_Hatchery!I152)+(Assumption_Hatchery!G18*Assumption_Hatchery!I153)</f>
        <v>47500</v>
      </c>
      <c r="H12" s="35">
        <f>(Assumption_Hatchery!I16*Assumption_Hatchery!J152)+(Assumption_Hatchery!H18*Assumption_Hatchery!J153)</f>
        <v>50749.999999999993</v>
      </c>
      <c r="I12" s="35">
        <f>(Assumption_Hatchery!J16*Assumption_Hatchery!K152)+(Assumption_Hatchery!I18*Assumption_Hatchery!K153)</f>
        <v>50000</v>
      </c>
      <c r="J12" s="35">
        <f>(Assumption_Hatchery!K16*Assumption_Hatchery!L152)+(Assumption_Hatchery!J18*Assumption_Hatchery!L153)</f>
        <v>50000</v>
      </c>
      <c r="K12" s="35">
        <f>(Assumption_Hatchery!L16*Assumption_Hatchery!M152)+(Assumption_Hatchery!K18*Assumption_Hatchery!M153)</f>
        <v>50749.999999999993</v>
      </c>
      <c r="L12" s="35">
        <f>(Assumption_Hatchery!M16*Assumption_Hatchery!N152)+(Assumption_Hatchery!L18*Assumption_Hatchery!N153)</f>
        <v>50000</v>
      </c>
      <c r="M12" s="35">
        <f>(Assumption_Hatchery!N16*Assumption_Hatchery!O152)+(Assumption_Hatchery!M18*Assumption_Hatchery!O153)</f>
        <v>50000</v>
      </c>
      <c r="N12" s="35">
        <f>(Assumption_Hatchery!O16*Assumption_Hatchery!P152)+(Assumption_Hatchery!N18*Assumption_Hatchery!P153)</f>
        <v>50749.999999999993</v>
      </c>
      <c r="O12" s="35">
        <f>(Assumption_Hatchery!P16*Assumption_Hatchery!Q152)+(Assumption_Hatchery!O18*Assumption_Hatchery!Q153)</f>
        <v>50000</v>
      </c>
      <c r="P12" s="35">
        <f>(Assumption_Hatchery!Q16*Assumption_Hatchery!R152)+(Assumption_Hatchery!P18*Assumption_Hatchery!R153)</f>
        <v>50000</v>
      </c>
      <c r="Q12" s="35">
        <f>(Assumption_Hatchery!R16*Assumption_Hatchery!S152)+(Assumption_Hatchery!Q18*Assumption_Hatchery!S153)</f>
        <v>50749.999999999993</v>
      </c>
      <c r="R12" s="35">
        <f>(Assumption_Hatchery!S16*Assumption_Hatchery!T152)+(Assumption_Hatchery!R18*Assumption_Hatchery!T153)</f>
        <v>50000</v>
      </c>
      <c r="S12" s="35">
        <f>(Assumption_Hatchery!T16*Assumption_Hatchery!U152)+(Assumption_Hatchery!S18*Assumption_Hatchery!U153)</f>
        <v>50000</v>
      </c>
      <c r="T12" s="35">
        <f>(Assumption_Hatchery!U16*Assumption_Hatchery!V152)+(Assumption_Hatchery!T18*Assumption_Hatchery!V153)</f>
        <v>50749.999999999993</v>
      </c>
      <c r="U12" s="35">
        <f>(Assumption_Hatchery!V16*Assumption_Hatchery!W152)+(Assumption_Hatchery!U18*Assumption_Hatchery!W153)</f>
        <v>50000</v>
      </c>
      <c r="V12" s="35">
        <f>(Assumption_Hatchery!W16*Assumption_Hatchery!X152)+(Assumption_Hatchery!V18*Assumption_Hatchery!X153)</f>
        <v>50000</v>
      </c>
      <c r="W12" s="35">
        <f>(Assumption_Hatchery!X16*Assumption_Hatchery!Y152)+(Assumption_Hatchery!W18*Assumption_Hatchery!Y153)</f>
        <v>50749.999999999993</v>
      </c>
      <c r="X12" s="35">
        <f>(Assumption_Hatchery!Y16*Assumption_Hatchery!Z152)+(Assumption_Hatchery!X18*Assumption_Hatchery!Z153)</f>
        <v>50000</v>
      </c>
      <c r="Y12" s="35">
        <f>(Assumption_Hatchery!Z16*Assumption_Hatchery!AA152)+(Assumption_Hatchery!Y18*Assumption_Hatchery!AA153)</f>
        <v>40000</v>
      </c>
      <c r="Z12" s="35">
        <f>(Assumption_Hatchery!AA16*Assumption_Hatchery!AB152)+(Assumption_Hatchery!Z18*Assumption_Hatchery!AB153)</f>
        <v>25374.999999999996</v>
      </c>
    </row>
    <row r="13" spans="1:26" x14ac:dyDescent="0.25">
      <c r="A13" s="9" t="s">
        <v>53</v>
      </c>
      <c r="B13" s="35">
        <f>Assumption_Hatchery!D18*Assumption_Hatchery!D155</f>
        <v>0</v>
      </c>
      <c r="C13" s="35">
        <f>Assumption_Hatchery!E18*Assumption_Hatchery!E154</f>
        <v>10000</v>
      </c>
      <c r="D13" s="35">
        <f>Assumption_Hatchery!F18*Assumption_Hatchery!F154</f>
        <v>25000</v>
      </c>
      <c r="E13" s="158">
        <f>Assumption_Hatchery!G18*Assumption_Hatchery!G154</f>
        <v>45000</v>
      </c>
      <c r="F13" s="35">
        <f>Assumption_Hatchery!H18*Assumption_Hatchery!H154</f>
        <v>50000</v>
      </c>
      <c r="G13" s="35">
        <f>Assumption_Hatchery!I18*Assumption_Hatchery!I154</f>
        <v>50000</v>
      </c>
      <c r="H13" s="35">
        <f>Assumption_Hatchery!J18*Assumption_Hatchery!J154</f>
        <v>50000</v>
      </c>
      <c r="I13" s="35">
        <f>Assumption_Hatchery!K18*Assumption_Hatchery!K154</f>
        <v>50000</v>
      </c>
      <c r="J13" s="35">
        <f>Assumption_Hatchery!L18*Assumption_Hatchery!L154</f>
        <v>50000</v>
      </c>
      <c r="K13" s="35">
        <f>Assumption_Hatchery!M18*Assumption_Hatchery!M154</f>
        <v>50000</v>
      </c>
      <c r="L13" s="35">
        <f>Assumption_Hatchery!N18*Assumption_Hatchery!N154</f>
        <v>50000</v>
      </c>
      <c r="M13" s="35">
        <f>Assumption_Hatchery!O18*Assumption_Hatchery!O154</f>
        <v>50000</v>
      </c>
      <c r="N13" s="35">
        <f>Assumption_Hatchery!P18*Assumption_Hatchery!P154</f>
        <v>50000</v>
      </c>
      <c r="O13" s="35">
        <f>Assumption_Hatchery!Q18*Assumption_Hatchery!Q154</f>
        <v>50000</v>
      </c>
      <c r="P13" s="35">
        <f>Assumption_Hatchery!R18*Assumption_Hatchery!R154</f>
        <v>50000</v>
      </c>
      <c r="Q13" s="35">
        <f>Assumption_Hatchery!S18*Assumption_Hatchery!S154</f>
        <v>50000</v>
      </c>
      <c r="R13" s="35">
        <f>Assumption_Hatchery!T18*Assumption_Hatchery!T154</f>
        <v>50000</v>
      </c>
      <c r="S13" s="35">
        <f>Assumption_Hatchery!U18*Assumption_Hatchery!U154</f>
        <v>50000</v>
      </c>
      <c r="T13" s="35">
        <f>Assumption_Hatchery!V18*Assumption_Hatchery!V154</f>
        <v>50000</v>
      </c>
      <c r="U13" s="35">
        <f>Assumption_Hatchery!W18*Assumption_Hatchery!W154</f>
        <v>50000</v>
      </c>
      <c r="V13" s="35">
        <f>Assumption_Hatchery!X18*Assumption_Hatchery!X154</f>
        <v>50000</v>
      </c>
      <c r="W13" s="35">
        <f>Assumption_Hatchery!Y18*Assumption_Hatchery!Y154</f>
        <v>40000</v>
      </c>
      <c r="X13" s="35">
        <f>Assumption_Hatchery!Z18*Assumption_Hatchery!Z154</f>
        <v>25000</v>
      </c>
      <c r="Y13" s="35">
        <f>Assumption_Hatchery!AA18*Assumption_Hatchery!AA154</f>
        <v>5000</v>
      </c>
      <c r="Z13" s="35">
        <f>Assumption_Hatchery!AB18*Assumption_Hatchery!AB154</f>
        <v>0</v>
      </c>
    </row>
    <row r="14" spans="1:26" x14ac:dyDescent="0.25">
      <c r="A14" s="9" t="s">
        <v>55</v>
      </c>
      <c r="B14" s="35">
        <f>Assumption_Hatchery!D18*Assumption_Hatchery!D155</f>
        <v>0</v>
      </c>
      <c r="C14" s="35">
        <f>Assumption_Hatchery!E18*Assumption_Hatchery!E155</f>
        <v>10000</v>
      </c>
      <c r="D14" s="35">
        <f>Assumption_Hatchery!F18*Assumption_Hatchery!F155</f>
        <v>25000</v>
      </c>
      <c r="E14" s="158">
        <f>Assumption_Hatchery!G18*Assumption_Hatchery!G155</f>
        <v>46125</v>
      </c>
      <c r="F14" s="35">
        <f>Assumption_Hatchery!H18*Assumption_Hatchery!H155</f>
        <v>50000</v>
      </c>
      <c r="G14" s="35">
        <f>Assumption_Hatchery!I18*Assumption_Hatchery!I155</f>
        <v>50000</v>
      </c>
      <c r="H14" s="35">
        <f>Assumption_Hatchery!J18*Assumption_Hatchery!J155</f>
        <v>51250</v>
      </c>
      <c r="I14" s="35">
        <f>Assumption_Hatchery!K18*Assumption_Hatchery!K155</f>
        <v>50000</v>
      </c>
      <c r="J14" s="35">
        <f>Assumption_Hatchery!L18*Assumption_Hatchery!L155</f>
        <v>50000</v>
      </c>
      <c r="K14" s="35">
        <f>Assumption_Hatchery!M18*Assumption_Hatchery!M155</f>
        <v>51250</v>
      </c>
      <c r="L14" s="35">
        <f>Assumption_Hatchery!N18*Assumption_Hatchery!N155</f>
        <v>50000</v>
      </c>
      <c r="M14" s="35">
        <f>Assumption_Hatchery!O18*Assumption_Hatchery!O155</f>
        <v>50000</v>
      </c>
      <c r="N14" s="35">
        <f>Assumption_Hatchery!P18*Assumption_Hatchery!P155</f>
        <v>51250</v>
      </c>
      <c r="O14" s="35">
        <f>Assumption_Hatchery!Q18*Assumption_Hatchery!Q155</f>
        <v>50000</v>
      </c>
      <c r="P14" s="35">
        <f>Assumption_Hatchery!R18*Assumption_Hatchery!R155</f>
        <v>50000</v>
      </c>
      <c r="Q14" s="35">
        <f>Assumption_Hatchery!S18*Assumption_Hatchery!S155</f>
        <v>51250</v>
      </c>
      <c r="R14" s="35">
        <f>Assumption_Hatchery!T18*Assumption_Hatchery!T155</f>
        <v>50000</v>
      </c>
      <c r="S14" s="35">
        <f>Assumption_Hatchery!U18*Assumption_Hatchery!U155</f>
        <v>50000</v>
      </c>
      <c r="T14" s="35">
        <f>Assumption_Hatchery!V18*Assumption_Hatchery!V155</f>
        <v>51250</v>
      </c>
      <c r="U14" s="35">
        <f>Assumption_Hatchery!W18*Assumption_Hatchery!W155</f>
        <v>50000</v>
      </c>
      <c r="V14" s="35">
        <f>Assumption_Hatchery!X18*Assumption_Hatchery!X155</f>
        <v>50000</v>
      </c>
      <c r="W14" s="35">
        <f>Assumption_Hatchery!Y18*Assumption_Hatchery!Y155</f>
        <v>41000</v>
      </c>
      <c r="X14" s="35">
        <f>Assumption_Hatchery!Z18*Assumption_Hatchery!Z155</f>
        <v>25000</v>
      </c>
      <c r="Y14" s="35">
        <f>Assumption_Hatchery!AA18*Assumption_Hatchery!AA155</f>
        <v>5000</v>
      </c>
      <c r="Z14" s="35">
        <f>Assumption_Hatchery!AB18*Assumption_Hatchery!AB155</f>
        <v>0</v>
      </c>
    </row>
    <row r="15" spans="1:26" x14ac:dyDescent="0.25">
      <c r="A15" s="118" t="s">
        <v>126</v>
      </c>
      <c r="B15" s="35">
        <f>Assumption_Hatchery!D18*Assumption_Hatchery!D156</f>
        <v>0</v>
      </c>
      <c r="C15" s="35">
        <f>Assumption_Hatchery!E18*Assumption_Hatchery!E156</f>
        <v>1000</v>
      </c>
      <c r="D15" s="35">
        <f>Assumption_Hatchery!F18*Assumption_Hatchery!F156</f>
        <v>2500</v>
      </c>
      <c r="E15" s="158">
        <f>Assumption_Hatchery!G18*Assumption_Hatchery!G156</f>
        <v>4545</v>
      </c>
      <c r="F15" s="35">
        <f>Assumption_Hatchery!H18*Assumption_Hatchery!H156</f>
        <v>5000</v>
      </c>
      <c r="G15" s="35">
        <f>Assumption_Hatchery!I18*Assumption_Hatchery!I156</f>
        <v>5000</v>
      </c>
      <c r="H15" s="35">
        <f>Assumption_Hatchery!J18*Assumption_Hatchery!J156</f>
        <v>5050</v>
      </c>
      <c r="I15" s="35">
        <f>Assumption_Hatchery!K18*Assumption_Hatchery!K156</f>
        <v>5000</v>
      </c>
      <c r="J15" s="35">
        <f>Assumption_Hatchery!L18*Assumption_Hatchery!L156</f>
        <v>5000</v>
      </c>
      <c r="K15" s="35">
        <f>Assumption_Hatchery!M18*Assumption_Hatchery!M156</f>
        <v>5050</v>
      </c>
      <c r="L15" s="35">
        <f>Assumption_Hatchery!N18*Assumption_Hatchery!N156</f>
        <v>5000</v>
      </c>
      <c r="M15" s="35">
        <f>Assumption_Hatchery!O18*Assumption_Hatchery!O156</f>
        <v>5000</v>
      </c>
      <c r="N15" s="35">
        <f>Assumption_Hatchery!P18*Assumption_Hatchery!P156</f>
        <v>5050</v>
      </c>
      <c r="O15" s="35">
        <f>Assumption_Hatchery!Q18*Assumption_Hatchery!Q156</f>
        <v>5000</v>
      </c>
      <c r="P15" s="35">
        <f>Assumption_Hatchery!R18*Assumption_Hatchery!R156</f>
        <v>5000</v>
      </c>
      <c r="Q15" s="35">
        <f>Assumption_Hatchery!S18*Assumption_Hatchery!S156</f>
        <v>5050</v>
      </c>
      <c r="R15" s="35">
        <f>Assumption_Hatchery!T18*Assumption_Hatchery!T156</f>
        <v>5000</v>
      </c>
      <c r="S15" s="35">
        <f>Assumption_Hatchery!U18*Assumption_Hatchery!U156</f>
        <v>5000</v>
      </c>
      <c r="T15" s="35">
        <f>Assumption_Hatchery!V18*Assumption_Hatchery!V156</f>
        <v>5050</v>
      </c>
      <c r="U15" s="35">
        <f>Assumption_Hatchery!W18*Assumption_Hatchery!W156</f>
        <v>5000</v>
      </c>
      <c r="V15" s="35">
        <f>Assumption_Hatchery!X18*Assumption_Hatchery!X156</f>
        <v>5000</v>
      </c>
      <c r="W15" s="35">
        <f>Assumption_Hatchery!Y18*Assumption_Hatchery!Y156</f>
        <v>4040</v>
      </c>
      <c r="X15" s="35">
        <f>Assumption_Hatchery!Z18*Assumption_Hatchery!Z156</f>
        <v>2500</v>
      </c>
      <c r="Y15" s="35">
        <f>Assumption_Hatchery!AA18*Assumption_Hatchery!AA156</f>
        <v>500</v>
      </c>
      <c r="Z15" s="35">
        <f>Assumption_Hatchery!AB18*Assumption_Hatchery!AB156</f>
        <v>0</v>
      </c>
    </row>
    <row r="16" spans="1:26" x14ac:dyDescent="0.25">
      <c r="A16" s="118" t="s">
        <v>127</v>
      </c>
      <c r="B16" s="35">
        <f>Assumption_Hatchery!D18*Assumption_Hatchery!D157</f>
        <v>0</v>
      </c>
      <c r="C16" s="35">
        <f>Assumption_Hatchery!E18*Assumption_Hatchery!E157</f>
        <v>20000</v>
      </c>
      <c r="D16" s="35">
        <f>Assumption_Hatchery!F18*Assumption_Hatchery!F157</f>
        <v>50000</v>
      </c>
      <c r="E16" s="158">
        <f>Assumption_Hatchery!G18*Assumption_Hatchery!G157</f>
        <v>90900</v>
      </c>
      <c r="F16" s="35">
        <f>Assumption_Hatchery!H18*Assumption_Hatchery!H157</f>
        <v>100000</v>
      </c>
      <c r="G16" s="35">
        <f>Assumption_Hatchery!I18*Assumption_Hatchery!I157</f>
        <v>100000</v>
      </c>
      <c r="H16" s="35">
        <f>Assumption_Hatchery!J18*Assumption_Hatchery!J157</f>
        <v>101000</v>
      </c>
      <c r="I16" s="35">
        <f>Assumption_Hatchery!K18*Assumption_Hatchery!K157</f>
        <v>100000</v>
      </c>
      <c r="J16" s="35">
        <f>Assumption_Hatchery!L18*Assumption_Hatchery!L157</f>
        <v>100000</v>
      </c>
      <c r="K16" s="35">
        <f>Assumption_Hatchery!M18*Assumption_Hatchery!M157</f>
        <v>101000</v>
      </c>
      <c r="L16" s="35">
        <f>Assumption_Hatchery!N18*Assumption_Hatchery!N157</f>
        <v>100000</v>
      </c>
      <c r="M16" s="35">
        <f>Assumption_Hatchery!O18*Assumption_Hatchery!O157</f>
        <v>100000</v>
      </c>
      <c r="N16" s="35">
        <f>Assumption_Hatchery!P18*Assumption_Hatchery!P157</f>
        <v>101000</v>
      </c>
      <c r="O16" s="35">
        <f>Assumption_Hatchery!Q18*Assumption_Hatchery!Q157</f>
        <v>100000</v>
      </c>
      <c r="P16" s="35">
        <f>Assumption_Hatchery!R18*Assumption_Hatchery!R157</f>
        <v>100000</v>
      </c>
      <c r="Q16" s="35">
        <f>Assumption_Hatchery!S18*Assumption_Hatchery!S157</f>
        <v>101000</v>
      </c>
      <c r="R16" s="35">
        <f>Assumption_Hatchery!T18*Assumption_Hatchery!T157</f>
        <v>100000</v>
      </c>
      <c r="S16" s="35">
        <f>Assumption_Hatchery!U18*Assumption_Hatchery!U157</f>
        <v>100000</v>
      </c>
      <c r="T16" s="35">
        <f>Assumption_Hatchery!V18*Assumption_Hatchery!V157</f>
        <v>101000</v>
      </c>
      <c r="U16" s="35">
        <f>Assumption_Hatchery!W18*Assumption_Hatchery!W157</f>
        <v>100000</v>
      </c>
      <c r="V16" s="35">
        <f>Assumption_Hatchery!X18*Assumption_Hatchery!X157</f>
        <v>100000</v>
      </c>
      <c r="W16" s="35">
        <f>Assumption_Hatchery!Y18*Assumption_Hatchery!Y157</f>
        <v>80800</v>
      </c>
      <c r="X16" s="35">
        <f>Assumption_Hatchery!Z18*Assumption_Hatchery!Z157</f>
        <v>50000</v>
      </c>
      <c r="Y16" s="35">
        <f>Assumption_Hatchery!AA18*Assumption_Hatchery!AA157</f>
        <v>10000</v>
      </c>
      <c r="Z16" s="35">
        <f>Assumption_Hatchery!AB18*Assumption_Hatchery!AB157</f>
        <v>0</v>
      </c>
    </row>
    <row r="17" spans="1:26" x14ac:dyDescent="0.25">
      <c r="A17" s="9" t="s">
        <v>40</v>
      </c>
      <c r="B17" s="35">
        <f>Assumption_Hatchery!D18*Assumption_Hatchery!D158</f>
        <v>0</v>
      </c>
      <c r="C17" s="35">
        <f>Assumption_Hatchery!E18*Assumption_Hatchery!E158</f>
        <v>20000</v>
      </c>
      <c r="D17" s="35">
        <f>Assumption_Hatchery!F18*Assumption_Hatchery!F158</f>
        <v>50000</v>
      </c>
      <c r="E17" s="158">
        <f>Assumption_Hatchery!G18*Assumption_Hatchery!G158</f>
        <v>91349.999999999985</v>
      </c>
      <c r="F17" s="35">
        <f>Assumption_Hatchery!H18*Assumption_Hatchery!H158</f>
        <v>100000</v>
      </c>
      <c r="G17" s="35">
        <f>Assumption_Hatchery!I18*Assumption_Hatchery!I158</f>
        <v>100000</v>
      </c>
      <c r="H17" s="35">
        <f>Assumption_Hatchery!J18*Assumption_Hatchery!J158</f>
        <v>101499.99999999999</v>
      </c>
      <c r="I17" s="35">
        <f>Assumption_Hatchery!K18*Assumption_Hatchery!K158</f>
        <v>100000</v>
      </c>
      <c r="J17" s="35">
        <f>Assumption_Hatchery!L18*Assumption_Hatchery!L158</f>
        <v>100000</v>
      </c>
      <c r="K17" s="35">
        <f>Assumption_Hatchery!M18*Assumption_Hatchery!M158</f>
        <v>101499.99999999999</v>
      </c>
      <c r="L17" s="35">
        <f>Assumption_Hatchery!N18*Assumption_Hatchery!N158</f>
        <v>100000</v>
      </c>
      <c r="M17" s="35">
        <f>Assumption_Hatchery!O18*Assumption_Hatchery!O158</f>
        <v>100000</v>
      </c>
      <c r="N17" s="35">
        <f>Assumption_Hatchery!P18*Assumption_Hatchery!P158</f>
        <v>101499.99999999999</v>
      </c>
      <c r="O17" s="35">
        <f>Assumption_Hatchery!Q18*Assumption_Hatchery!Q158</f>
        <v>100000</v>
      </c>
      <c r="P17" s="35">
        <f>Assumption_Hatchery!R18*Assumption_Hatchery!R158</f>
        <v>100000</v>
      </c>
      <c r="Q17" s="35">
        <f>Assumption_Hatchery!S18*Assumption_Hatchery!S158</f>
        <v>101499.99999999999</v>
      </c>
      <c r="R17" s="35">
        <f>Assumption_Hatchery!T18*Assumption_Hatchery!T158</f>
        <v>100000</v>
      </c>
      <c r="S17" s="35">
        <f>Assumption_Hatchery!U18*Assumption_Hatchery!U158</f>
        <v>100000</v>
      </c>
      <c r="T17" s="35">
        <f>Assumption_Hatchery!V18*Assumption_Hatchery!V158</f>
        <v>101499.99999999999</v>
      </c>
      <c r="U17" s="35">
        <f>Assumption_Hatchery!W18*Assumption_Hatchery!W158</f>
        <v>100000</v>
      </c>
      <c r="V17" s="35">
        <f>Assumption_Hatchery!X18*Assumption_Hatchery!X158</f>
        <v>100000</v>
      </c>
      <c r="W17" s="35">
        <f>Assumption_Hatchery!Y18*Assumption_Hatchery!Y158</f>
        <v>81199.999999999985</v>
      </c>
      <c r="X17" s="35">
        <f>Assumption_Hatchery!Z18*Assumption_Hatchery!Z158</f>
        <v>50000</v>
      </c>
      <c r="Y17" s="35">
        <f>Assumption_Hatchery!AA18*Assumption_Hatchery!AA158</f>
        <v>10000</v>
      </c>
      <c r="Z17" s="35">
        <f>Assumption_Hatchery!AB18*Assumption_Hatchery!AB158</f>
        <v>0</v>
      </c>
    </row>
    <row r="18" spans="1:26" x14ac:dyDescent="0.25">
      <c r="A18" s="9" t="s">
        <v>15</v>
      </c>
      <c r="B18" s="35">
        <f>Assumption_Hatchery!D18*Assumption_Hatchery!D159*Assumption_Hatchery!D160*(1+Assumption_Hatchery!D161)^Assumption_Hatchery!D150</f>
        <v>0</v>
      </c>
      <c r="C18" s="35">
        <f>Assumption_Hatchery!E18*Assumption_Hatchery!E159*Assumption_Hatchery!E160*(1+Assumption_Hatchery!E161)^Assumption_Hatchery!E150</f>
        <v>4100.6000000000004</v>
      </c>
      <c r="D18" s="35">
        <f>Assumption_Hatchery!F18*Assumption_Hatchery!F159*Assumption_Hatchery!F160*(1+Assumption_Hatchery!F161)^Assumption_Hatchery!F150</f>
        <v>10354.014999999999</v>
      </c>
      <c r="E18" s="158">
        <f>Assumption_Hatchery!G18*Assumption_Hatchery!G159*Assumption_Hatchery!G160*(1+Assumption_Hatchery!G161)^Assumption_Hatchery!G150</f>
        <v>18823.599269999999</v>
      </c>
      <c r="F18" s="35">
        <f>Assumption_Hatchery!H18*Assumption_Hatchery!H159*Assumption_Hatchery!H160*(1+Assumption_Hatchery!H161)^Assumption_Hatchery!H150</f>
        <v>21124.261403</v>
      </c>
      <c r="G18" s="35">
        <f>Assumption_Hatchery!I18*Assumption_Hatchery!I159*Assumption_Hatchery!I160*(1+Assumption_Hatchery!I161)^Assumption_Hatchery!I150</f>
        <v>21335.504017029998</v>
      </c>
      <c r="H18" s="35">
        <f>Assumption_Hatchery!J18*Assumption_Hatchery!J159*Assumption_Hatchery!J160*(1+Assumption_Hatchery!J161)^Assumption_Hatchery!J150</f>
        <v>21548.859057200301</v>
      </c>
      <c r="I18" s="35">
        <f>Assumption_Hatchery!K18*Assumption_Hatchery!K159*Assumption_Hatchery!K160*(1+Assumption_Hatchery!K161)^Assumption_Hatchery!K150</f>
        <v>21764.347647772298</v>
      </c>
      <c r="J18" s="35">
        <f>Assumption_Hatchery!L18*Assumption_Hatchery!L159*Assumption_Hatchery!L160*(1+Assumption_Hatchery!L161)^Assumption_Hatchery!L150</f>
        <v>21981.991124250027</v>
      </c>
      <c r="K18" s="35">
        <f>Assumption_Hatchery!M18*Assumption_Hatchery!M159*Assumption_Hatchery!M160*(1+Assumption_Hatchery!M161)^Assumption_Hatchery!M150</f>
        <v>22201.81103549253</v>
      </c>
      <c r="L18" s="35">
        <f>Assumption_Hatchery!N18*Assumption_Hatchery!N159*Assumption_Hatchery!N160*(1+Assumption_Hatchery!N161)^Assumption_Hatchery!N150</f>
        <v>22423.829145847456</v>
      </c>
      <c r="M18" s="35">
        <f>Assumption_Hatchery!O18*Assumption_Hatchery!O159*Assumption_Hatchery!O160*(1+Assumption_Hatchery!O161)^Assumption_Hatchery!O150</f>
        <v>22648.067437305926</v>
      </c>
      <c r="N18" s="35">
        <f>Assumption_Hatchery!P18*Assumption_Hatchery!P159*Assumption_Hatchery!P160*(1+Assumption_Hatchery!P161)^Assumption_Hatchery!P150</f>
        <v>22874.548111678985</v>
      </c>
      <c r="O18" s="35">
        <f>Assumption_Hatchery!Q18*Assumption_Hatchery!Q159*Assumption_Hatchery!Q160*(1+Assumption_Hatchery!Q161)^Assumption_Hatchery!Q150</f>
        <v>23103.293592795777</v>
      </c>
      <c r="P18" s="35">
        <f>Assumption_Hatchery!R18*Assumption_Hatchery!R159*Assumption_Hatchery!R160*(1+Assumption_Hatchery!R161)^Assumption_Hatchery!R150</f>
        <v>23334.326528723737</v>
      </c>
      <c r="Q18" s="35">
        <f>Assumption_Hatchery!S18*Assumption_Hatchery!S159*Assumption_Hatchery!S160*(1+Assumption_Hatchery!S161)^Assumption_Hatchery!S150</f>
        <v>23567.66979401097</v>
      </c>
      <c r="R18" s="35">
        <f>Assumption_Hatchery!T18*Assumption_Hatchery!T159*Assumption_Hatchery!T160*(1+Assumption_Hatchery!T161)^Assumption_Hatchery!T150</f>
        <v>23803.346491951084</v>
      </c>
      <c r="S18" s="35">
        <f>Assumption_Hatchery!U18*Assumption_Hatchery!U159*Assumption_Hatchery!U160*(1+Assumption_Hatchery!U161)^Assumption_Hatchery!U150</f>
        <v>24041.379956870598</v>
      </c>
      <c r="T18" s="35">
        <f>Assumption_Hatchery!V18*Assumption_Hatchery!V159*Assumption_Hatchery!V160*(1+Assumption_Hatchery!V161)^Assumption_Hatchery!V150</f>
        <v>24281.793756439303</v>
      </c>
      <c r="U18" s="35">
        <f>Assumption_Hatchery!W18*Assumption_Hatchery!W159*Assumption_Hatchery!W160*(1+Assumption_Hatchery!W161)^Assumption_Hatchery!W150</f>
        <v>24524.611694003692</v>
      </c>
      <c r="V18" s="35">
        <f>Assumption_Hatchery!X18*Assumption_Hatchery!X159*Assumption_Hatchery!X160*(1+Assumption_Hatchery!X161)^Assumption_Hatchery!X150</f>
        <v>24769.857810943729</v>
      </c>
      <c r="W18" s="35">
        <f>Assumption_Hatchery!Y18*Assumption_Hatchery!Y159*Assumption_Hatchery!Y160*(1+Assumption_Hatchery!Y161)^Assumption_Hatchery!Y150</f>
        <v>20014.045111242533</v>
      </c>
      <c r="X18" s="35">
        <f>Assumption_Hatchery!Z18*Assumption_Hatchery!Z159*Assumption_Hatchery!Z160*(1+Assumption_Hatchery!Z161)^Assumption_Hatchery!Z150</f>
        <v>12633.865976471852</v>
      </c>
      <c r="Y18" s="35">
        <f>Assumption_Hatchery!AA18*Assumption_Hatchery!AA159*Assumption_Hatchery!AA160*(1+Assumption_Hatchery!AA161)^Assumption_Hatchery!AA150</f>
        <v>2552.0409272473134</v>
      </c>
      <c r="Z18" s="35">
        <f>Assumption_Hatchery!AB18*Assumption_Hatchery!AB159*Assumption_Hatchery!AB160*(1+Assumption_Hatchery!AB161)^Assumption_Hatchery!AB150</f>
        <v>0</v>
      </c>
    </row>
    <row r="19" spans="1:26" s="54" customFormat="1" x14ac:dyDescent="0.25">
      <c r="A19" s="56" t="s">
        <v>156</v>
      </c>
      <c r="B19" s="53">
        <f>Assumption_Hatchery!D43</f>
        <v>0</v>
      </c>
      <c r="C19" s="53">
        <f>Assumption_Hatchery!E43</f>
        <v>0</v>
      </c>
      <c r="D19" s="53">
        <f>Assumption_Hatchery!F43</f>
        <v>133200</v>
      </c>
      <c r="E19" s="53">
        <f>Assumption_Hatchery!G43</f>
        <v>311400</v>
      </c>
      <c r="F19" s="53">
        <f>Assumption_Hatchery!H43</f>
        <v>433800</v>
      </c>
      <c r="G19" s="53">
        <f>Assumption_Hatchery!I43</f>
        <v>289800</v>
      </c>
      <c r="H19" s="53">
        <f>Assumption_Hatchery!J43</f>
        <v>55800</v>
      </c>
      <c r="I19" s="53">
        <f>Assumption_Hatchery!K43</f>
        <v>0</v>
      </c>
      <c r="J19" s="53">
        <f>Assumption_Hatchery!L43</f>
        <v>0</v>
      </c>
      <c r="K19" s="53">
        <f>Assumption_Hatchery!M43</f>
        <v>0</v>
      </c>
      <c r="L19" s="53">
        <f>Assumption_Hatchery!N43</f>
        <v>0</v>
      </c>
      <c r="M19" s="53">
        <f>Assumption_Hatchery!O43</f>
        <v>0</v>
      </c>
      <c r="N19" s="53">
        <f>Assumption_Hatchery!P43</f>
        <v>0</v>
      </c>
      <c r="O19" s="53">
        <f>Assumption_Hatchery!Q43</f>
        <v>0</v>
      </c>
      <c r="P19" s="53">
        <f>Assumption_Hatchery!R43</f>
        <v>0</v>
      </c>
      <c r="Q19" s="53">
        <f>Assumption_Hatchery!S43</f>
        <v>0</v>
      </c>
      <c r="R19" s="53">
        <f>Assumption_Hatchery!T43</f>
        <v>0</v>
      </c>
      <c r="S19" s="53">
        <f>Assumption_Hatchery!U43</f>
        <v>0</v>
      </c>
      <c r="T19" s="53">
        <f>Assumption_Hatchery!V43</f>
        <v>0</v>
      </c>
      <c r="U19" s="53">
        <f>Assumption_Hatchery!W43</f>
        <v>0</v>
      </c>
      <c r="V19" s="53">
        <f>Assumption_Hatchery!X43</f>
        <v>0</v>
      </c>
      <c r="W19" s="53">
        <f>Assumption_Hatchery!Y43</f>
        <v>0</v>
      </c>
      <c r="X19" s="53">
        <f>Assumption_Hatchery!Z43</f>
        <v>0</v>
      </c>
      <c r="Y19" s="53">
        <f>Assumption_Hatchery!AA43</f>
        <v>0</v>
      </c>
      <c r="Z19" s="53">
        <f>Assumption_Hatchery!AB43</f>
        <v>0</v>
      </c>
    </row>
    <row r="20" spans="1:26" x14ac:dyDescent="0.25">
      <c r="A20" s="127" t="s">
        <v>59</v>
      </c>
      <c r="B20" s="40">
        <f>SUM(B11:B19)</f>
        <v>0</v>
      </c>
      <c r="C20" s="40">
        <f t="shared" ref="C20:Z20" si="2">SUM(C11:C19)</f>
        <v>165100.6</v>
      </c>
      <c r="D20" s="40">
        <f t="shared" si="2"/>
        <v>451054.01500000001</v>
      </c>
      <c r="E20" s="40">
        <f t="shared" si="2"/>
        <v>825906.09927000001</v>
      </c>
      <c r="F20" s="40">
        <f t="shared" si="2"/>
        <v>844924.26140299998</v>
      </c>
      <c r="G20" s="40">
        <f t="shared" si="2"/>
        <v>663635.50401703001</v>
      </c>
      <c r="H20" s="40">
        <f t="shared" si="2"/>
        <v>436898.85905720032</v>
      </c>
      <c r="I20" s="40">
        <f t="shared" si="2"/>
        <v>376764.34764777229</v>
      </c>
      <c r="J20" s="40">
        <f t="shared" si="2"/>
        <v>376981.99112425005</v>
      </c>
      <c r="K20" s="40">
        <f t="shared" si="2"/>
        <v>381751.81103549252</v>
      </c>
      <c r="L20" s="40">
        <f t="shared" si="2"/>
        <v>377423.82914584747</v>
      </c>
      <c r="M20" s="40">
        <f t="shared" si="2"/>
        <v>377648.06743730593</v>
      </c>
      <c r="N20" s="40">
        <f t="shared" si="2"/>
        <v>382424.54811167897</v>
      </c>
      <c r="O20" s="40">
        <f t="shared" si="2"/>
        <v>378103.29359279579</v>
      </c>
      <c r="P20" s="40">
        <f t="shared" si="2"/>
        <v>378334.32652872376</v>
      </c>
      <c r="Q20" s="40">
        <f t="shared" si="2"/>
        <v>383117.66979401099</v>
      </c>
      <c r="R20" s="40">
        <f t="shared" si="2"/>
        <v>378803.34649195109</v>
      </c>
      <c r="S20" s="40">
        <f t="shared" si="2"/>
        <v>379041.37995687057</v>
      </c>
      <c r="T20" s="40">
        <f t="shared" si="2"/>
        <v>383831.79375643929</v>
      </c>
      <c r="U20" s="40">
        <f t="shared" si="2"/>
        <v>379524.61169400369</v>
      </c>
      <c r="V20" s="40">
        <f t="shared" si="2"/>
        <v>379769.85781094374</v>
      </c>
      <c r="W20" s="40">
        <f t="shared" si="2"/>
        <v>317804.04511124251</v>
      </c>
      <c r="X20" s="40">
        <f t="shared" si="2"/>
        <v>215133.86597647186</v>
      </c>
      <c r="Y20" s="40">
        <f t="shared" si="2"/>
        <v>73052.040927247319</v>
      </c>
      <c r="Z20" s="40">
        <f t="shared" si="2"/>
        <v>25374.999999999996</v>
      </c>
    </row>
    <row r="21" spans="1:26" x14ac:dyDescent="0.25">
      <c r="B21" s="34"/>
      <c r="C21" s="34"/>
      <c r="D21" s="34"/>
      <c r="E21" s="34"/>
      <c r="F21" s="34"/>
      <c r="G21" s="34"/>
      <c r="H21" s="34"/>
      <c r="I21" s="34"/>
      <c r="J21" s="34"/>
      <c r="K21" s="34"/>
      <c r="L21" s="34"/>
    </row>
    <row r="22" spans="1:26" x14ac:dyDescent="0.25">
      <c r="A22" s="24" t="s">
        <v>60</v>
      </c>
      <c r="B22" s="36">
        <f>B8-B20</f>
        <v>0</v>
      </c>
      <c r="C22" s="36">
        <f t="shared" ref="C22:Z22" si="3">C8-C20</f>
        <v>-165100.6</v>
      </c>
      <c r="D22" s="36">
        <f t="shared" si="3"/>
        <v>-229969.01499999998</v>
      </c>
      <c r="E22" s="36">
        <f t="shared" si="3"/>
        <v>-430141.84077000001</v>
      </c>
      <c r="F22" s="36">
        <f t="shared" si="3"/>
        <v>-384890.59340299992</v>
      </c>
      <c r="G22" s="36">
        <f t="shared" si="3"/>
        <v>-194401.16265702993</v>
      </c>
      <c r="H22" s="36">
        <f t="shared" si="3"/>
        <v>29754.693425319798</v>
      </c>
      <c r="I22" s="36">
        <f t="shared" si="3"/>
        <v>111427.06110317173</v>
      </c>
      <c r="J22" s="36">
        <f t="shared" si="3"/>
        <v>120973.24580171285</v>
      </c>
      <c r="K22" s="36">
        <f t="shared" si="3"/>
        <v>113464.67208737758</v>
      </c>
      <c r="L22" s="36">
        <f t="shared" si="3"/>
        <v>140648.79935192439</v>
      </c>
      <c r="M22" s="36">
        <f t="shared" si="3"/>
        <v>150786.01363042125</v>
      </c>
      <c r="N22" s="36">
        <f t="shared" si="3"/>
        <v>143103.14551017579</v>
      </c>
      <c r="O22" s="36">
        <f t="shared" si="3"/>
        <v>171679.52435006766</v>
      </c>
      <c r="P22" s="36">
        <f t="shared" si="3"/>
        <v>182444.14777299698</v>
      </c>
      <c r="Q22" s="36">
        <f t="shared" si="3"/>
        <v>174576.52289905009</v>
      </c>
      <c r="R22" s="36">
        <f t="shared" si="3"/>
        <v>204630.57817155909</v>
      </c>
      <c r="S22" s="36">
        <f t="shared" si="3"/>
        <v>216061.2231999099</v>
      </c>
      <c r="T22" s="36">
        <f t="shared" si="3"/>
        <v>207997.7450829788</v>
      </c>
      <c r="U22" s="36">
        <f t="shared" si="3"/>
        <v>239620.13663031056</v>
      </c>
      <c r="V22" s="36">
        <f t="shared" si="3"/>
        <v>251757.78547985689</v>
      </c>
      <c r="W22" s="36">
        <f t="shared" si="3"/>
        <v>203639.34789091838</v>
      </c>
      <c r="X22" s="36">
        <f t="shared" si="3"/>
        <v>143386.81406340265</v>
      </c>
      <c r="Y22" s="36">
        <f t="shared" si="3"/>
        <v>33966.177800887061</v>
      </c>
      <c r="Z22" s="36">
        <f t="shared" si="3"/>
        <v>-15874.999999999996</v>
      </c>
    </row>
    <row r="23" spans="1:26" x14ac:dyDescent="0.25">
      <c r="B23" s="34"/>
      <c r="C23" s="34"/>
      <c r="D23" s="34"/>
      <c r="E23" s="34"/>
      <c r="F23" s="34"/>
      <c r="G23" s="34"/>
      <c r="H23" s="34"/>
      <c r="I23" s="34"/>
      <c r="J23" s="34"/>
      <c r="K23" s="34"/>
      <c r="L23" s="34"/>
    </row>
    <row r="24" spans="1:26" s="13" customFormat="1" x14ac:dyDescent="0.25">
      <c r="A24" s="24" t="s">
        <v>61</v>
      </c>
      <c r="B24" s="42">
        <f>B22/(1+Assumption_Hatchery!$C76)^B4</f>
        <v>0</v>
      </c>
      <c r="C24" s="42">
        <f>C22/(1+Assumption_Hatchery!$C76)^C4</f>
        <v>-151468.44036697247</v>
      </c>
      <c r="D24" s="42">
        <f>D22/(1+Assumption_Hatchery!$C76)^D4</f>
        <v>-193560.3189967174</v>
      </c>
      <c r="E24" s="42">
        <f>E22/(1+Assumption_Hatchery!$C76)^E4</f>
        <v>-332148.42352565075</v>
      </c>
      <c r="F24" s="42">
        <f>F22/(1+Assumption_Hatchery!$C76)^F4</f>
        <v>-272666.19986852893</v>
      </c>
      <c r="G24" s="42">
        <f>G22/(1+Assumption_Hatchery!$C76)^G4</f>
        <v>-126347.41714369357</v>
      </c>
      <c r="H24" s="42">
        <f>H22/(1+Assumption_Hatchery!$C76)^H4</f>
        <v>17741.751510826012</v>
      </c>
      <c r="I24" s="42">
        <f>I22/(1+Assumption_Hatchery!$C76)^I4</f>
        <v>60954.418225683716</v>
      </c>
      <c r="J24" s="42">
        <f>J22/(1+Assumption_Hatchery!$C76)^J4</f>
        <v>60712.392810444944</v>
      </c>
      <c r="K24" s="42">
        <f>K22/(1+Assumption_Hatchery!$C76)^K4</f>
        <v>52242.287022736477</v>
      </c>
      <c r="L24" s="42">
        <f>L22/(1+Assumption_Hatchery!$C76)^L4</f>
        <v>59411.572823156232</v>
      </c>
      <c r="M24" s="42">
        <f>M22/(1+Assumption_Hatchery!$C76)^M4</f>
        <v>58434.533657073938</v>
      </c>
      <c r="N24" s="42">
        <f>N22/(1+Assumption_Hatchery!$C76)^N4</f>
        <v>50878.137500433084</v>
      </c>
      <c r="O24" s="42">
        <f>O22/(1+Assumption_Hatchery!$C76)^O4</f>
        <v>55998.194950213583</v>
      </c>
      <c r="P24" s="42">
        <f>P22/(1+Assumption_Hatchery!$C76)^P4</f>
        <v>54595.766286717175</v>
      </c>
      <c r="Q24" s="42">
        <f>Q22/(1+Assumption_Hatchery!$C76)^Q4</f>
        <v>47927.896655959863</v>
      </c>
      <c r="R24" s="42">
        <f>R22/(1+Assumption_Hatchery!$C76)^R4</f>
        <v>51540.255159624459</v>
      </c>
      <c r="S24" s="42">
        <f>S22/(1+Assumption_Hatchery!$C76)^S4</f>
        <v>49925.953220284166</v>
      </c>
      <c r="T24" s="42">
        <f>T22/(1+Assumption_Hatchery!$C76)^T4</f>
        <v>44094.21992297173</v>
      </c>
      <c r="U24" s="42">
        <f>U22/(1+Assumption_Hatchery!$C76)^U4</f>
        <v>46603.64126567723</v>
      </c>
      <c r="V24" s="42">
        <f>V22/(1+Assumption_Hatchery!$C76)^V4</f>
        <v>44921.365672783977</v>
      </c>
      <c r="W24" s="42">
        <f>W22/(1+Assumption_Hatchery!$C76)^W4</f>
        <v>33335.367008125853</v>
      </c>
      <c r="X24" s="42">
        <f>X22/(1+Assumption_Hatchery!$C76)^X4</f>
        <v>21534.076943335924</v>
      </c>
      <c r="Y24" s="42">
        <f>Y22/(1+Assumption_Hatchery!$C76)^Y4</f>
        <v>4679.9070349119311</v>
      </c>
      <c r="Z24" s="42">
        <f>Z22/(1+Assumption_Hatchery!$C76)^Z4</f>
        <v>-2006.6784344785335</v>
      </c>
    </row>
    <row r="25" spans="1:26" x14ac:dyDescent="0.25">
      <c r="B25" s="34"/>
      <c r="C25" s="34"/>
      <c r="D25" s="34"/>
      <c r="E25" s="34"/>
      <c r="F25" s="34"/>
      <c r="G25" s="34"/>
      <c r="H25" s="34"/>
      <c r="I25" s="34"/>
      <c r="J25" s="34"/>
      <c r="K25" s="34"/>
      <c r="L25" s="34"/>
    </row>
    <row r="26" spans="1:26" s="13" customFormat="1" x14ac:dyDescent="0.25">
      <c r="A26" s="26" t="s">
        <v>62</v>
      </c>
      <c r="B26" s="37">
        <f>NPV(Assumption_Hatchery!C76,C22:Z22)+B22</f>
        <v>-262665.74066508148</v>
      </c>
      <c r="C26" s="43"/>
      <c r="D26" s="43"/>
      <c r="E26" s="43"/>
      <c r="F26" s="43"/>
      <c r="G26" s="43"/>
      <c r="H26" s="43"/>
      <c r="I26" s="43"/>
      <c r="J26" s="43"/>
      <c r="K26" s="43"/>
      <c r="L26" s="43"/>
    </row>
    <row r="28" spans="1:26" s="13" customFormat="1" x14ac:dyDescent="0.25">
      <c r="A28" s="26" t="s">
        <v>25</v>
      </c>
      <c r="B28" s="38">
        <f>IRR(B22:Z22)</f>
        <v>6.207277677291767E-2</v>
      </c>
      <c r="C28" s="4"/>
      <c r="D28" s="4"/>
      <c r="E28" s="4"/>
      <c r="F28" s="4"/>
      <c r="G28" s="4"/>
      <c r="H28" s="4"/>
      <c r="I28" s="4"/>
      <c r="J28" s="4"/>
      <c r="K28" s="4"/>
      <c r="L28" s="4"/>
    </row>
    <row r="30" spans="1:26" s="13" customFormat="1" x14ac:dyDescent="0.25">
      <c r="A30" s="27" t="s">
        <v>63</v>
      </c>
      <c r="B30" s="39">
        <f>B24</f>
        <v>0</v>
      </c>
      <c r="C30" s="39">
        <f>B30+C24</f>
        <v>-151468.44036697247</v>
      </c>
      <c r="D30" s="39">
        <f t="shared" ref="D30" si="4">C30+D24</f>
        <v>-345028.75936368987</v>
      </c>
      <c r="E30" s="39">
        <f t="shared" ref="E30" si="5">D30+E24</f>
        <v>-677177.18288934068</v>
      </c>
      <c r="F30" s="39">
        <f t="shared" ref="F30" si="6">E30+F24</f>
        <v>-949843.38275786955</v>
      </c>
      <c r="G30" s="39">
        <f t="shared" ref="G30" si="7">F30+G24</f>
        <v>-1076190.7999015632</v>
      </c>
      <c r="H30" s="39">
        <f t="shared" ref="H30" si="8">G30+H24</f>
        <v>-1058449.0483907373</v>
      </c>
      <c r="I30" s="39">
        <f t="shared" ref="I30" si="9">H30+I24</f>
        <v>-997494.63016505353</v>
      </c>
      <c r="J30" s="39">
        <f t="shared" ref="J30" si="10">I30+J24</f>
        <v>-936782.2373546086</v>
      </c>
      <c r="K30" s="39">
        <f t="shared" ref="K30" si="11">J30+K24</f>
        <v>-884539.9503318721</v>
      </c>
      <c r="L30" s="39">
        <f t="shared" ref="L30" si="12">K30+L24</f>
        <v>-825128.37750871584</v>
      </c>
      <c r="M30" s="39">
        <f t="shared" ref="M30" si="13">L30+M24</f>
        <v>-766693.84385164187</v>
      </c>
      <c r="N30" s="39">
        <f t="shared" ref="N30" si="14">M30+N24</f>
        <v>-715815.70635120873</v>
      </c>
      <c r="O30" s="39">
        <f t="shared" ref="O30" si="15">N30+O24</f>
        <v>-659817.51140099519</v>
      </c>
      <c r="P30" s="39">
        <f t="shared" ref="P30" si="16">O30+P24</f>
        <v>-605221.74511427805</v>
      </c>
      <c r="Q30" s="39">
        <f t="shared" ref="Q30" si="17">P30+Q24</f>
        <v>-557293.84845831816</v>
      </c>
      <c r="R30" s="39">
        <f t="shared" ref="R30" si="18">Q30+R24</f>
        <v>-505753.59329869371</v>
      </c>
      <c r="S30" s="39">
        <f t="shared" ref="S30" si="19">R30+S24</f>
        <v>-455827.64007840957</v>
      </c>
      <c r="T30" s="39">
        <f t="shared" ref="T30" si="20">S30+T24</f>
        <v>-411733.42015543784</v>
      </c>
      <c r="U30" s="39">
        <f t="shared" ref="U30" si="21">T30+U24</f>
        <v>-365129.77888976061</v>
      </c>
      <c r="V30" s="39">
        <f t="shared" ref="V30" si="22">U30+V24</f>
        <v>-320208.41321697662</v>
      </c>
      <c r="W30" s="39">
        <f t="shared" ref="W30" si="23">V30+W24</f>
        <v>-286873.04620885075</v>
      </c>
      <c r="X30" s="39">
        <f t="shared" ref="X30" si="24">W30+X24</f>
        <v>-265338.96926551481</v>
      </c>
      <c r="Y30" s="39">
        <f t="shared" ref="Y30" si="25">X30+Y24</f>
        <v>-260659.06223060287</v>
      </c>
      <c r="Z30" s="39">
        <f t="shared" ref="Z30" si="26">Y30+Z24</f>
        <v>-262665.74066508142</v>
      </c>
    </row>
    <row r="32" spans="1:26" s="1" customFormat="1" x14ac:dyDescent="0.25">
      <c r="A32" s="25"/>
      <c r="B32" s="45"/>
      <c r="C32" s="45"/>
      <c r="D32" s="45"/>
      <c r="E32" s="45"/>
      <c r="F32" s="45"/>
      <c r="G32" s="45"/>
      <c r="H32" s="45"/>
      <c r="I32" s="45"/>
      <c r="J32" s="45"/>
      <c r="K32" s="45"/>
      <c r="L32" s="45"/>
    </row>
    <row r="34" spans="1:26" ht="38.25" customHeight="1" x14ac:dyDescent="0.25">
      <c r="A34" s="11" t="s">
        <v>77</v>
      </c>
      <c r="B34" s="32"/>
      <c r="C34" s="76"/>
      <c r="D34" s="77"/>
      <c r="E34" s="32"/>
      <c r="F34" s="126" t="s">
        <v>105</v>
      </c>
      <c r="G34" s="32"/>
      <c r="H34" s="32"/>
      <c r="I34" s="32"/>
      <c r="J34" s="32"/>
      <c r="K34" s="32"/>
      <c r="L34" s="32"/>
      <c r="M34" s="11"/>
    </row>
    <row r="35" spans="1:26" ht="38.25" customHeight="1" x14ac:dyDescent="0.25">
      <c r="A35" s="11"/>
      <c r="B35" s="32"/>
      <c r="C35" s="76"/>
      <c r="D35" s="77"/>
      <c r="E35" s="32"/>
      <c r="F35" s="126"/>
      <c r="G35" s="32"/>
      <c r="H35" s="32"/>
      <c r="I35" s="32"/>
      <c r="J35" s="32"/>
      <c r="K35" s="32"/>
      <c r="L35" s="32"/>
      <c r="M35" s="11"/>
    </row>
    <row r="36" spans="1:26" x14ac:dyDescent="0.25">
      <c r="A36" s="10" t="s">
        <v>22</v>
      </c>
      <c r="B36" s="28">
        <v>0</v>
      </c>
      <c r="C36" s="28">
        <v>1</v>
      </c>
      <c r="D36" s="28">
        <v>2</v>
      </c>
      <c r="E36" s="28">
        <v>3</v>
      </c>
      <c r="F36" s="28">
        <v>4</v>
      </c>
      <c r="G36" s="28">
        <v>5</v>
      </c>
      <c r="H36" s="28">
        <v>6</v>
      </c>
      <c r="I36" s="28">
        <v>7</v>
      </c>
      <c r="J36" s="28">
        <v>8</v>
      </c>
      <c r="K36" s="28">
        <v>9</v>
      </c>
      <c r="L36" s="28">
        <v>10</v>
      </c>
      <c r="M36" s="28">
        <v>11</v>
      </c>
      <c r="N36" s="28">
        <v>12</v>
      </c>
      <c r="O36" s="28">
        <v>13</v>
      </c>
      <c r="P36" s="28">
        <v>14</v>
      </c>
      <c r="Q36" s="28">
        <v>15</v>
      </c>
      <c r="R36" s="28">
        <v>16</v>
      </c>
      <c r="S36" s="28">
        <v>17</v>
      </c>
      <c r="T36" s="28">
        <v>18</v>
      </c>
      <c r="U36" s="28">
        <v>19</v>
      </c>
      <c r="V36" s="28">
        <v>20</v>
      </c>
      <c r="W36" s="28">
        <v>21</v>
      </c>
      <c r="X36" s="28">
        <v>22</v>
      </c>
      <c r="Y36" s="28">
        <v>23</v>
      </c>
      <c r="Z36" s="28">
        <v>24</v>
      </c>
    </row>
    <row r="37" spans="1:26" x14ac:dyDescent="0.25">
      <c r="A37" s="24" t="s">
        <v>23</v>
      </c>
    </row>
    <row r="38" spans="1:26" x14ac:dyDescent="0.25">
      <c r="A38" s="10" t="s">
        <v>56</v>
      </c>
      <c r="B38" s="33">
        <f>B6</f>
        <v>0</v>
      </c>
      <c r="C38" s="33">
        <f t="shared" ref="C38:Z38" si="27">C6</f>
        <v>0</v>
      </c>
      <c r="D38" s="33">
        <f t="shared" si="27"/>
        <v>221085.00000000003</v>
      </c>
      <c r="E38" s="33">
        <f t="shared" si="27"/>
        <v>395764.2585</v>
      </c>
      <c r="F38" s="33">
        <f t="shared" si="27"/>
        <v>460033.66800000006</v>
      </c>
      <c r="G38" s="33">
        <f t="shared" si="27"/>
        <v>469234.34136000008</v>
      </c>
      <c r="H38" s="33">
        <f t="shared" si="27"/>
        <v>466653.55248252011</v>
      </c>
      <c r="I38" s="33">
        <f t="shared" si="27"/>
        <v>488191.40875094401</v>
      </c>
      <c r="J38" s="33">
        <f t="shared" si="27"/>
        <v>497955.2369259629</v>
      </c>
      <c r="K38" s="33">
        <f t="shared" si="27"/>
        <v>495216.48312287009</v>
      </c>
      <c r="L38" s="33">
        <f t="shared" si="27"/>
        <v>518072.62849777186</v>
      </c>
      <c r="M38" s="33">
        <f t="shared" si="27"/>
        <v>528434.08106772718</v>
      </c>
      <c r="N38" s="33">
        <f t="shared" si="27"/>
        <v>525527.69362185476</v>
      </c>
      <c r="O38" s="33">
        <f t="shared" si="27"/>
        <v>549782.81794286345</v>
      </c>
      <c r="P38" s="33">
        <f t="shared" si="27"/>
        <v>560778.47430172074</v>
      </c>
      <c r="Q38" s="33">
        <f t="shared" si="27"/>
        <v>557694.19269306108</v>
      </c>
      <c r="R38" s="33">
        <f t="shared" si="27"/>
        <v>583433.92466351017</v>
      </c>
      <c r="S38" s="33">
        <f t="shared" si="27"/>
        <v>595102.60315678047</v>
      </c>
      <c r="T38" s="33">
        <f t="shared" si="27"/>
        <v>591829.53883941809</v>
      </c>
      <c r="U38" s="33">
        <f t="shared" si="27"/>
        <v>619144.74832431425</v>
      </c>
      <c r="V38" s="33">
        <f t="shared" si="27"/>
        <v>631527.64329080062</v>
      </c>
      <c r="W38" s="33">
        <f t="shared" si="27"/>
        <v>502443.39300216088</v>
      </c>
      <c r="X38" s="33">
        <f t="shared" si="27"/>
        <v>328520.68003987451</v>
      </c>
      <c r="Y38" s="33">
        <f t="shared" si="27"/>
        <v>67018.218728134379</v>
      </c>
      <c r="Z38" s="33">
        <f t="shared" si="27"/>
        <v>0</v>
      </c>
    </row>
    <row r="39" spans="1:26" x14ac:dyDescent="0.25">
      <c r="A39" s="10" t="s">
        <v>57</v>
      </c>
      <c r="B39" s="33">
        <f>B7</f>
        <v>0</v>
      </c>
      <c r="C39" s="33">
        <f t="shared" ref="C39:Z39" si="28">C7</f>
        <v>0</v>
      </c>
      <c r="D39" s="33">
        <f t="shared" si="28"/>
        <v>0</v>
      </c>
      <c r="E39" s="33">
        <f t="shared" si="28"/>
        <v>0</v>
      </c>
      <c r="F39" s="33">
        <f t="shared" si="28"/>
        <v>0</v>
      </c>
      <c r="G39" s="33">
        <f t="shared" si="28"/>
        <v>0</v>
      </c>
      <c r="H39" s="33">
        <f t="shared" si="28"/>
        <v>0</v>
      </c>
      <c r="I39" s="33">
        <f t="shared" si="28"/>
        <v>0</v>
      </c>
      <c r="J39" s="33">
        <f t="shared" si="28"/>
        <v>0</v>
      </c>
      <c r="K39" s="33">
        <f t="shared" si="28"/>
        <v>0</v>
      </c>
      <c r="L39" s="33">
        <f t="shared" si="28"/>
        <v>0</v>
      </c>
      <c r="M39" s="33">
        <f t="shared" si="28"/>
        <v>0</v>
      </c>
      <c r="N39" s="33">
        <f t="shared" si="28"/>
        <v>0</v>
      </c>
      <c r="O39" s="33">
        <f t="shared" si="28"/>
        <v>0</v>
      </c>
      <c r="P39" s="33">
        <f t="shared" si="28"/>
        <v>0</v>
      </c>
      <c r="Q39" s="33">
        <f t="shared" si="28"/>
        <v>0</v>
      </c>
      <c r="R39" s="33">
        <f t="shared" si="28"/>
        <v>0</v>
      </c>
      <c r="S39" s="33">
        <f t="shared" si="28"/>
        <v>0</v>
      </c>
      <c r="T39" s="33">
        <f t="shared" si="28"/>
        <v>0</v>
      </c>
      <c r="U39" s="33">
        <f t="shared" si="28"/>
        <v>0</v>
      </c>
      <c r="V39" s="33">
        <f t="shared" si="28"/>
        <v>0</v>
      </c>
      <c r="W39" s="33">
        <f t="shared" si="28"/>
        <v>19000</v>
      </c>
      <c r="X39" s="33">
        <f t="shared" si="28"/>
        <v>30000</v>
      </c>
      <c r="Y39" s="33">
        <f t="shared" si="28"/>
        <v>40000</v>
      </c>
      <c r="Z39" s="33">
        <f t="shared" si="28"/>
        <v>9500</v>
      </c>
    </row>
    <row r="40" spans="1:26" s="13" customFormat="1" x14ac:dyDescent="0.25">
      <c r="A40" s="24" t="s">
        <v>58</v>
      </c>
      <c r="B40" s="41">
        <f t="shared" ref="B40:Z40" si="29">(B38+B39)</f>
        <v>0</v>
      </c>
      <c r="C40" s="41">
        <f t="shared" si="29"/>
        <v>0</v>
      </c>
      <c r="D40" s="41">
        <f t="shared" si="29"/>
        <v>221085.00000000003</v>
      </c>
      <c r="E40" s="41">
        <f t="shared" si="29"/>
        <v>395764.2585</v>
      </c>
      <c r="F40" s="41">
        <f t="shared" si="29"/>
        <v>460033.66800000006</v>
      </c>
      <c r="G40" s="41">
        <f t="shared" si="29"/>
        <v>469234.34136000008</v>
      </c>
      <c r="H40" s="41">
        <f t="shared" si="29"/>
        <v>466653.55248252011</v>
      </c>
      <c r="I40" s="41">
        <f t="shared" si="29"/>
        <v>488191.40875094401</v>
      </c>
      <c r="J40" s="41">
        <f t="shared" si="29"/>
        <v>497955.2369259629</v>
      </c>
      <c r="K40" s="41">
        <f t="shared" si="29"/>
        <v>495216.48312287009</v>
      </c>
      <c r="L40" s="41">
        <f t="shared" si="29"/>
        <v>518072.62849777186</v>
      </c>
      <c r="M40" s="41">
        <f t="shared" si="29"/>
        <v>528434.08106772718</v>
      </c>
      <c r="N40" s="41">
        <f t="shared" si="29"/>
        <v>525527.69362185476</v>
      </c>
      <c r="O40" s="41">
        <f t="shared" si="29"/>
        <v>549782.81794286345</v>
      </c>
      <c r="P40" s="41">
        <f t="shared" si="29"/>
        <v>560778.47430172074</v>
      </c>
      <c r="Q40" s="41">
        <f t="shared" si="29"/>
        <v>557694.19269306108</v>
      </c>
      <c r="R40" s="41">
        <f t="shared" si="29"/>
        <v>583433.92466351017</v>
      </c>
      <c r="S40" s="41">
        <f t="shared" si="29"/>
        <v>595102.60315678047</v>
      </c>
      <c r="T40" s="41">
        <f t="shared" si="29"/>
        <v>591829.53883941809</v>
      </c>
      <c r="U40" s="41">
        <f t="shared" si="29"/>
        <v>619144.74832431425</v>
      </c>
      <c r="V40" s="41">
        <f t="shared" si="29"/>
        <v>631527.64329080062</v>
      </c>
      <c r="W40" s="41">
        <f t="shared" si="29"/>
        <v>521443.39300216088</v>
      </c>
      <c r="X40" s="41">
        <f t="shared" si="29"/>
        <v>358520.68003987451</v>
      </c>
      <c r="Y40" s="41">
        <f t="shared" si="29"/>
        <v>107018.21872813438</v>
      </c>
      <c r="Z40" s="41">
        <f t="shared" si="29"/>
        <v>9500</v>
      </c>
    </row>
    <row r="41" spans="1:26" x14ac:dyDescent="0.25">
      <c r="A41" s="24"/>
      <c r="B41" s="44"/>
      <c r="C41" s="44"/>
      <c r="D41" s="44"/>
      <c r="E41" s="44"/>
      <c r="F41" s="44"/>
      <c r="G41" s="44"/>
      <c r="H41" s="44"/>
      <c r="I41" s="44"/>
      <c r="J41" s="44"/>
      <c r="K41" s="44"/>
    </row>
    <row r="42" spans="1:26" x14ac:dyDescent="0.25">
      <c r="A42" s="24" t="s">
        <v>24</v>
      </c>
    </row>
    <row r="43" spans="1:26" x14ac:dyDescent="0.25">
      <c r="A43" s="9" t="s">
        <v>49</v>
      </c>
      <c r="B43" s="35">
        <f>B11</f>
        <v>0</v>
      </c>
      <c r="C43" s="35">
        <f t="shared" ref="C43:Z50" si="30">C11</f>
        <v>100000</v>
      </c>
      <c r="D43" s="35">
        <f t="shared" si="30"/>
        <v>150000</v>
      </c>
      <c r="E43" s="35">
        <f t="shared" si="30"/>
        <v>200000</v>
      </c>
      <c r="F43" s="35">
        <f t="shared" si="30"/>
        <v>50000</v>
      </c>
      <c r="G43" s="35">
        <f t="shared" si="30"/>
        <v>0</v>
      </c>
      <c r="H43" s="35">
        <f t="shared" si="30"/>
        <v>0</v>
      </c>
      <c r="I43" s="35">
        <f t="shared" si="30"/>
        <v>0</v>
      </c>
      <c r="J43" s="35">
        <f t="shared" si="30"/>
        <v>0</v>
      </c>
      <c r="K43" s="35">
        <f t="shared" si="30"/>
        <v>0</v>
      </c>
      <c r="L43" s="35">
        <f t="shared" si="30"/>
        <v>0</v>
      </c>
      <c r="M43" s="35">
        <f t="shared" si="30"/>
        <v>0</v>
      </c>
      <c r="N43" s="35">
        <f t="shared" si="30"/>
        <v>0</v>
      </c>
      <c r="O43" s="35">
        <f t="shared" si="30"/>
        <v>0</v>
      </c>
      <c r="P43" s="35">
        <f t="shared" si="30"/>
        <v>0</v>
      </c>
      <c r="Q43" s="35">
        <f t="shared" si="30"/>
        <v>0</v>
      </c>
      <c r="R43" s="35">
        <f t="shared" si="30"/>
        <v>0</v>
      </c>
      <c r="S43" s="35">
        <f t="shared" si="30"/>
        <v>0</v>
      </c>
      <c r="T43" s="35">
        <f t="shared" si="30"/>
        <v>0</v>
      </c>
      <c r="U43" s="35">
        <f t="shared" si="30"/>
        <v>0</v>
      </c>
      <c r="V43" s="35">
        <f t="shared" si="30"/>
        <v>0</v>
      </c>
      <c r="W43" s="35">
        <f t="shared" si="30"/>
        <v>0</v>
      </c>
      <c r="X43" s="35">
        <f t="shared" si="30"/>
        <v>0</v>
      </c>
      <c r="Y43" s="35">
        <f t="shared" si="30"/>
        <v>0</v>
      </c>
      <c r="Z43" s="35">
        <f t="shared" si="30"/>
        <v>0</v>
      </c>
    </row>
    <row r="44" spans="1:26" x14ac:dyDescent="0.25">
      <c r="A44" s="9" t="s">
        <v>128</v>
      </c>
      <c r="B44" s="35">
        <f t="shared" ref="B44:Q50" si="31">B12</f>
        <v>0</v>
      </c>
      <c r="C44" s="35">
        <f t="shared" si="31"/>
        <v>0</v>
      </c>
      <c r="D44" s="35">
        <f t="shared" si="31"/>
        <v>5000</v>
      </c>
      <c r="E44" s="35">
        <f t="shared" si="31"/>
        <v>17762.499999999996</v>
      </c>
      <c r="F44" s="35">
        <f t="shared" si="31"/>
        <v>35000</v>
      </c>
      <c r="G44" s="35">
        <f t="shared" si="31"/>
        <v>47500</v>
      </c>
      <c r="H44" s="35">
        <f t="shared" si="31"/>
        <v>50749.999999999993</v>
      </c>
      <c r="I44" s="35">
        <f t="shared" si="31"/>
        <v>50000</v>
      </c>
      <c r="J44" s="35">
        <f t="shared" si="31"/>
        <v>50000</v>
      </c>
      <c r="K44" s="35">
        <f t="shared" si="31"/>
        <v>50749.999999999993</v>
      </c>
      <c r="L44" s="35">
        <f t="shared" si="31"/>
        <v>50000</v>
      </c>
      <c r="M44" s="35">
        <f t="shared" si="31"/>
        <v>50000</v>
      </c>
      <c r="N44" s="35">
        <f t="shared" si="31"/>
        <v>50749.999999999993</v>
      </c>
      <c r="O44" s="35">
        <f t="shared" si="31"/>
        <v>50000</v>
      </c>
      <c r="P44" s="35">
        <f t="shared" si="31"/>
        <v>50000</v>
      </c>
      <c r="Q44" s="35">
        <f t="shared" si="31"/>
        <v>50749.999999999993</v>
      </c>
      <c r="R44" s="35">
        <f t="shared" si="30"/>
        <v>50000</v>
      </c>
      <c r="S44" s="35">
        <f t="shared" si="30"/>
        <v>50000</v>
      </c>
      <c r="T44" s="35">
        <f t="shared" si="30"/>
        <v>50749.999999999993</v>
      </c>
      <c r="U44" s="35">
        <f t="shared" si="30"/>
        <v>50000</v>
      </c>
      <c r="V44" s="35">
        <f t="shared" si="30"/>
        <v>50000</v>
      </c>
      <c r="W44" s="35">
        <f t="shared" si="30"/>
        <v>50749.999999999993</v>
      </c>
      <c r="X44" s="35">
        <f t="shared" si="30"/>
        <v>50000</v>
      </c>
      <c r="Y44" s="35">
        <f t="shared" si="30"/>
        <v>40000</v>
      </c>
      <c r="Z44" s="35">
        <f t="shared" si="30"/>
        <v>25374.999999999996</v>
      </c>
    </row>
    <row r="45" spans="1:26" x14ac:dyDescent="0.25">
      <c r="A45" s="9" t="s">
        <v>53</v>
      </c>
      <c r="B45" s="35">
        <f t="shared" si="31"/>
        <v>0</v>
      </c>
      <c r="C45" s="35">
        <f t="shared" si="30"/>
        <v>10000</v>
      </c>
      <c r="D45" s="35">
        <f t="shared" si="30"/>
        <v>25000</v>
      </c>
      <c r="E45" s="35">
        <f t="shared" si="30"/>
        <v>45000</v>
      </c>
      <c r="F45" s="35">
        <f t="shared" si="30"/>
        <v>50000</v>
      </c>
      <c r="G45" s="35">
        <f t="shared" si="30"/>
        <v>50000</v>
      </c>
      <c r="H45" s="35">
        <f t="shared" si="30"/>
        <v>50000</v>
      </c>
      <c r="I45" s="35">
        <f t="shared" si="30"/>
        <v>50000</v>
      </c>
      <c r="J45" s="35">
        <f t="shared" si="30"/>
        <v>50000</v>
      </c>
      <c r="K45" s="35">
        <f t="shared" si="30"/>
        <v>50000</v>
      </c>
      <c r="L45" s="35">
        <f t="shared" si="30"/>
        <v>50000</v>
      </c>
      <c r="M45" s="35">
        <f t="shared" si="30"/>
        <v>50000</v>
      </c>
      <c r="N45" s="35">
        <f t="shared" si="30"/>
        <v>50000</v>
      </c>
      <c r="O45" s="35">
        <f t="shared" si="30"/>
        <v>50000</v>
      </c>
      <c r="P45" s="35">
        <f t="shared" si="30"/>
        <v>50000</v>
      </c>
      <c r="Q45" s="35">
        <f t="shared" si="30"/>
        <v>50000</v>
      </c>
      <c r="R45" s="35">
        <f t="shared" si="30"/>
        <v>50000</v>
      </c>
      <c r="S45" s="35">
        <f t="shared" si="30"/>
        <v>50000</v>
      </c>
      <c r="T45" s="35">
        <f t="shared" si="30"/>
        <v>50000</v>
      </c>
      <c r="U45" s="35">
        <f t="shared" si="30"/>
        <v>50000</v>
      </c>
      <c r="V45" s="35">
        <f t="shared" si="30"/>
        <v>50000</v>
      </c>
      <c r="W45" s="35">
        <f t="shared" si="30"/>
        <v>40000</v>
      </c>
      <c r="X45" s="35">
        <f t="shared" si="30"/>
        <v>25000</v>
      </c>
      <c r="Y45" s="35">
        <f t="shared" si="30"/>
        <v>5000</v>
      </c>
      <c r="Z45" s="35">
        <f t="shared" si="30"/>
        <v>0</v>
      </c>
    </row>
    <row r="46" spans="1:26" x14ac:dyDescent="0.25">
      <c r="A46" s="9" t="s">
        <v>55</v>
      </c>
      <c r="B46" s="35">
        <f t="shared" si="31"/>
        <v>0</v>
      </c>
      <c r="C46" s="35">
        <f t="shared" si="30"/>
        <v>10000</v>
      </c>
      <c r="D46" s="35">
        <f t="shared" si="30"/>
        <v>25000</v>
      </c>
      <c r="E46" s="35">
        <f t="shared" si="30"/>
        <v>46125</v>
      </c>
      <c r="F46" s="35">
        <f t="shared" si="30"/>
        <v>50000</v>
      </c>
      <c r="G46" s="35">
        <f t="shared" si="30"/>
        <v>50000</v>
      </c>
      <c r="H46" s="35">
        <f t="shared" si="30"/>
        <v>51250</v>
      </c>
      <c r="I46" s="35">
        <f t="shared" si="30"/>
        <v>50000</v>
      </c>
      <c r="J46" s="35">
        <f t="shared" si="30"/>
        <v>50000</v>
      </c>
      <c r="K46" s="35">
        <f t="shared" si="30"/>
        <v>51250</v>
      </c>
      <c r="L46" s="35">
        <f t="shared" si="30"/>
        <v>50000</v>
      </c>
      <c r="M46" s="35">
        <f t="shared" si="30"/>
        <v>50000</v>
      </c>
      <c r="N46" s="35">
        <f t="shared" si="30"/>
        <v>51250</v>
      </c>
      <c r="O46" s="35">
        <f t="shared" si="30"/>
        <v>50000</v>
      </c>
      <c r="P46" s="35">
        <f t="shared" si="30"/>
        <v>50000</v>
      </c>
      <c r="Q46" s="35">
        <f t="shared" si="30"/>
        <v>51250</v>
      </c>
      <c r="R46" s="35">
        <f t="shared" si="30"/>
        <v>50000</v>
      </c>
      <c r="S46" s="35">
        <f t="shared" si="30"/>
        <v>50000</v>
      </c>
      <c r="T46" s="35">
        <f t="shared" si="30"/>
        <v>51250</v>
      </c>
      <c r="U46" s="35">
        <f t="shared" si="30"/>
        <v>50000</v>
      </c>
      <c r="V46" s="35">
        <f t="shared" si="30"/>
        <v>50000</v>
      </c>
      <c r="W46" s="35">
        <f t="shared" si="30"/>
        <v>41000</v>
      </c>
      <c r="X46" s="35">
        <f t="shared" si="30"/>
        <v>25000</v>
      </c>
      <c r="Y46" s="35">
        <f t="shared" si="30"/>
        <v>5000</v>
      </c>
      <c r="Z46" s="35">
        <f t="shared" si="30"/>
        <v>0</v>
      </c>
    </row>
    <row r="47" spans="1:26" x14ac:dyDescent="0.25">
      <c r="A47" s="118" t="s">
        <v>126</v>
      </c>
      <c r="B47" s="35">
        <f t="shared" si="31"/>
        <v>0</v>
      </c>
      <c r="C47" s="35">
        <f t="shared" si="30"/>
        <v>1000</v>
      </c>
      <c r="D47" s="35">
        <f t="shared" si="30"/>
        <v>2500</v>
      </c>
      <c r="E47" s="35">
        <f t="shared" si="30"/>
        <v>4545</v>
      </c>
      <c r="F47" s="35">
        <f t="shared" si="30"/>
        <v>5000</v>
      </c>
      <c r="G47" s="35">
        <f t="shared" si="30"/>
        <v>5000</v>
      </c>
      <c r="H47" s="35">
        <f t="shared" si="30"/>
        <v>5050</v>
      </c>
      <c r="I47" s="35">
        <f t="shared" si="30"/>
        <v>5000</v>
      </c>
      <c r="J47" s="35">
        <f t="shared" si="30"/>
        <v>5000</v>
      </c>
      <c r="K47" s="35">
        <f t="shared" si="30"/>
        <v>5050</v>
      </c>
      <c r="L47" s="35">
        <f t="shared" si="30"/>
        <v>5000</v>
      </c>
      <c r="M47" s="35">
        <f t="shared" si="30"/>
        <v>5000</v>
      </c>
      <c r="N47" s="35">
        <f t="shared" si="30"/>
        <v>5050</v>
      </c>
      <c r="O47" s="35">
        <f t="shared" si="30"/>
        <v>5000</v>
      </c>
      <c r="P47" s="35">
        <f t="shared" si="30"/>
        <v>5000</v>
      </c>
      <c r="Q47" s="35">
        <f t="shared" si="30"/>
        <v>5050</v>
      </c>
      <c r="R47" s="35">
        <f t="shared" si="30"/>
        <v>5000</v>
      </c>
      <c r="S47" s="35">
        <f t="shared" si="30"/>
        <v>5000</v>
      </c>
      <c r="T47" s="35">
        <f t="shared" si="30"/>
        <v>5050</v>
      </c>
      <c r="U47" s="35">
        <f t="shared" si="30"/>
        <v>5000</v>
      </c>
      <c r="V47" s="35">
        <f t="shared" si="30"/>
        <v>5000</v>
      </c>
      <c r="W47" s="35">
        <f t="shared" si="30"/>
        <v>4040</v>
      </c>
      <c r="X47" s="35">
        <f t="shared" si="30"/>
        <v>2500</v>
      </c>
      <c r="Y47" s="35">
        <f t="shared" si="30"/>
        <v>500</v>
      </c>
      <c r="Z47" s="35">
        <f t="shared" si="30"/>
        <v>0</v>
      </c>
    </row>
    <row r="48" spans="1:26" x14ac:dyDescent="0.25">
      <c r="A48" s="118" t="s">
        <v>127</v>
      </c>
      <c r="B48" s="35">
        <f t="shared" si="31"/>
        <v>0</v>
      </c>
      <c r="C48" s="35">
        <f t="shared" si="30"/>
        <v>20000</v>
      </c>
      <c r="D48" s="35">
        <f t="shared" si="30"/>
        <v>50000</v>
      </c>
      <c r="E48" s="35">
        <f t="shared" si="30"/>
        <v>90900</v>
      </c>
      <c r="F48" s="35">
        <f t="shared" si="30"/>
        <v>100000</v>
      </c>
      <c r="G48" s="35">
        <f t="shared" si="30"/>
        <v>100000</v>
      </c>
      <c r="H48" s="35">
        <f t="shared" si="30"/>
        <v>101000</v>
      </c>
      <c r="I48" s="35">
        <f t="shared" si="30"/>
        <v>100000</v>
      </c>
      <c r="J48" s="35">
        <f t="shared" si="30"/>
        <v>100000</v>
      </c>
      <c r="K48" s="35">
        <f t="shared" si="30"/>
        <v>101000</v>
      </c>
      <c r="L48" s="35">
        <f t="shared" si="30"/>
        <v>100000</v>
      </c>
      <c r="M48" s="35">
        <f t="shared" si="30"/>
        <v>100000</v>
      </c>
      <c r="N48" s="35">
        <f t="shared" si="30"/>
        <v>101000</v>
      </c>
      <c r="O48" s="35">
        <f t="shared" si="30"/>
        <v>100000</v>
      </c>
      <c r="P48" s="35">
        <f t="shared" si="30"/>
        <v>100000</v>
      </c>
      <c r="Q48" s="35">
        <f t="shared" si="30"/>
        <v>101000</v>
      </c>
      <c r="R48" s="35">
        <f t="shared" si="30"/>
        <v>100000</v>
      </c>
      <c r="S48" s="35">
        <f t="shared" si="30"/>
        <v>100000</v>
      </c>
      <c r="T48" s="35">
        <f t="shared" si="30"/>
        <v>101000</v>
      </c>
      <c r="U48" s="35">
        <f t="shared" si="30"/>
        <v>100000</v>
      </c>
      <c r="V48" s="35">
        <f t="shared" si="30"/>
        <v>100000</v>
      </c>
      <c r="W48" s="35">
        <f t="shared" si="30"/>
        <v>80800</v>
      </c>
      <c r="X48" s="35">
        <f t="shared" si="30"/>
        <v>50000</v>
      </c>
      <c r="Y48" s="35">
        <f t="shared" si="30"/>
        <v>10000</v>
      </c>
      <c r="Z48" s="35">
        <f t="shared" si="30"/>
        <v>0</v>
      </c>
    </row>
    <row r="49" spans="1:26" x14ac:dyDescent="0.25">
      <c r="A49" s="9" t="s">
        <v>40</v>
      </c>
      <c r="B49" s="35">
        <f t="shared" si="31"/>
        <v>0</v>
      </c>
      <c r="C49" s="35">
        <f t="shared" si="30"/>
        <v>20000</v>
      </c>
      <c r="D49" s="35">
        <f t="shared" si="30"/>
        <v>50000</v>
      </c>
      <c r="E49" s="35">
        <f t="shared" si="30"/>
        <v>91349.999999999985</v>
      </c>
      <c r="F49" s="35">
        <f t="shared" si="30"/>
        <v>100000</v>
      </c>
      <c r="G49" s="35">
        <f t="shared" si="30"/>
        <v>100000</v>
      </c>
      <c r="H49" s="35">
        <f t="shared" si="30"/>
        <v>101499.99999999999</v>
      </c>
      <c r="I49" s="35">
        <f t="shared" si="30"/>
        <v>100000</v>
      </c>
      <c r="J49" s="35">
        <f t="shared" si="30"/>
        <v>100000</v>
      </c>
      <c r="K49" s="35">
        <f t="shared" si="30"/>
        <v>101499.99999999999</v>
      </c>
      <c r="L49" s="35">
        <f t="shared" si="30"/>
        <v>100000</v>
      </c>
      <c r="M49" s="35">
        <f t="shared" si="30"/>
        <v>100000</v>
      </c>
      <c r="N49" s="35">
        <f t="shared" si="30"/>
        <v>101499.99999999999</v>
      </c>
      <c r="O49" s="35">
        <f t="shared" si="30"/>
        <v>100000</v>
      </c>
      <c r="P49" s="35">
        <f t="shared" si="30"/>
        <v>100000</v>
      </c>
      <c r="Q49" s="35">
        <f t="shared" si="30"/>
        <v>101499.99999999999</v>
      </c>
      <c r="R49" s="35">
        <f t="shared" si="30"/>
        <v>100000</v>
      </c>
      <c r="S49" s="35">
        <f t="shared" si="30"/>
        <v>100000</v>
      </c>
      <c r="T49" s="35">
        <f t="shared" si="30"/>
        <v>101499.99999999999</v>
      </c>
      <c r="U49" s="35">
        <f t="shared" si="30"/>
        <v>100000</v>
      </c>
      <c r="V49" s="35">
        <f t="shared" si="30"/>
        <v>100000</v>
      </c>
      <c r="W49" s="35">
        <f t="shared" si="30"/>
        <v>81199.999999999985</v>
      </c>
      <c r="X49" s="35">
        <f t="shared" si="30"/>
        <v>50000</v>
      </c>
      <c r="Y49" s="35">
        <f t="shared" si="30"/>
        <v>10000</v>
      </c>
      <c r="Z49" s="35">
        <f t="shared" si="30"/>
        <v>0</v>
      </c>
    </row>
    <row r="50" spans="1:26" x14ac:dyDescent="0.25">
      <c r="A50" s="9" t="s">
        <v>15</v>
      </c>
      <c r="B50" s="35">
        <f t="shared" si="31"/>
        <v>0</v>
      </c>
      <c r="C50" s="35">
        <f t="shared" si="30"/>
        <v>4100.6000000000004</v>
      </c>
      <c r="D50" s="35">
        <f t="shared" si="30"/>
        <v>10354.014999999999</v>
      </c>
      <c r="E50" s="35">
        <f t="shared" si="30"/>
        <v>18823.599269999999</v>
      </c>
      <c r="F50" s="35">
        <f t="shared" si="30"/>
        <v>21124.261403</v>
      </c>
      <c r="G50" s="35">
        <f t="shared" si="30"/>
        <v>21335.504017029998</v>
      </c>
      <c r="H50" s="35">
        <f t="shared" si="30"/>
        <v>21548.859057200301</v>
      </c>
      <c r="I50" s="35">
        <f t="shared" si="30"/>
        <v>21764.347647772298</v>
      </c>
      <c r="J50" s="35">
        <f t="shared" si="30"/>
        <v>21981.991124250027</v>
      </c>
      <c r="K50" s="35">
        <f t="shared" si="30"/>
        <v>22201.81103549253</v>
      </c>
      <c r="L50" s="35">
        <f t="shared" si="30"/>
        <v>22423.829145847456</v>
      </c>
      <c r="M50" s="35">
        <f t="shared" si="30"/>
        <v>22648.067437305926</v>
      </c>
      <c r="N50" s="35">
        <f t="shared" si="30"/>
        <v>22874.548111678985</v>
      </c>
      <c r="O50" s="35">
        <f t="shared" si="30"/>
        <v>23103.293592795777</v>
      </c>
      <c r="P50" s="35">
        <f t="shared" si="30"/>
        <v>23334.326528723737</v>
      </c>
      <c r="Q50" s="35">
        <f t="shared" si="30"/>
        <v>23567.66979401097</v>
      </c>
      <c r="R50" s="35">
        <f t="shared" si="30"/>
        <v>23803.346491951084</v>
      </c>
      <c r="S50" s="35">
        <f t="shared" si="30"/>
        <v>24041.379956870598</v>
      </c>
      <c r="T50" s="35">
        <f t="shared" si="30"/>
        <v>24281.793756439303</v>
      </c>
      <c r="U50" s="35">
        <f t="shared" si="30"/>
        <v>24524.611694003692</v>
      </c>
      <c r="V50" s="35">
        <f t="shared" si="30"/>
        <v>24769.857810943729</v>
      </c>
      <c r="W50" s="35">
        <f t="shared" si="30"/>
        <v>20014.045111242533</v>
      </c>
      <c r="X50" s="35">
        <f t="shared" si="30"/>
        <v>12633.865976471852</v>
      </c>
      <c r="Y50" s="35">
        <f t="shared" si="30"/>
        <v>2552.0409272473134</v>
      </c>
      <c r="Z50" s="35">
        <f t="shared" si="30"/>
        <v>0</v>
      </c>
    </row>
    <row r="51" spans="1:26" s="54" customFormat="1" x14ac:dyDescent="0.25">
      <c r="A51" s="56" t="s">
        <v>156</v>
      </c>
      <c r="B51" s="53">
        <f>Assumption_Hatchery!D53</f>
        <v>0</v>
      </c>
      <c r="C51" s="53">
        <f>Assumption_Hatchery!E53</f>
        <v>0</v>
      </c>
      <c r="D51" s="53">
        <f>Assumption_Hatchery!F53</f>
        <v>59200</v>
      </c>
      <c r="E51" s="53">
        <f>Assumption_Hatchery!G53</f>
        <v>138400</v>
      </c>
      <c r="F51" s="53">
        <f>Assumption_Hatchery!H53</f>
        <v>192800</v>
      </c>
      <c r="G51" s="53">
        <f>Assumption_Hatchery!I53</f>
        <v>128800</v>
      </c>
      <c r="H51" s="53">
        <f>Assumption_Hatchery!J53</f>
        <v>24800</v>
      </c>
      <c r="I51" s="53">
        <f>Assumption_Hatchery!K53</f>
        <v>0</v>
      </c>
      <c r="J51" s="53">
        <f>Assumption_Hatchery!L53</f>
        <v>0</v>
      </c>
      <c r="K51" s="53">
        <f>Assumption_Hatchery!M53</f>
        <v>0</v>
      </c>
      <c r="L51" s="53">
        <f>Assumption_Hatchery!N53</f>
        <v>0</v>
      </c>
      <c r="M51" s="53">
        <f>Assumption_Hatchery!O53</f>
        <v>0</v>
      </c>
      <c r="N51" s="53">
        <f>Assumption_Hatchery!P53</f>
        <v>0</v>
      </c>
      <c r="O51" s="53">
        <f>Assumption_Hatchery!Q53</f>
        <v>0</v>
      </c>
      <c r="P51" s="53">
        <f>Assumption_Hatchery!R53</f>
        <v>0</v>
      </c>
      <c r="Q51" s="53">
        <f>Assumption_Hatchery!S53</f>
        <v>0</v>
      </c>
      <c r="R51" s="53">
        <f>Assumption_Hatchery!T53</f>
        <v>0</v>
      </c>
      <c r="S51" s="53">
        <f>Assumption_Hatchery!U53</f>
        <v>0</v>
      </c>
      <c r="T51" s="53">
        <f>Assumption_Hatchery!V53</f>
        <v>0</v>
      </c>
      <c r="U51" s="53">
        <f>Assumption_Hatchery!W53</f>
        <v>0</v>
      </c>
      <c r="V51" s="53">
        <f>Assumption_Hatchery!X53</f>
        <v>0</v>
      </c>
      <c r="W51" s="53">
        <f>Assumption_Hatchery!Y53</f>
        <v>0</v>
      </c>
      <c r="X51" s="53">
        <f>Assumption_Hatchery!Z53</f>
        <v>0</v>
      </c>
      <c r="Y51" s="53">
        <f>Assumption_Hatchery!AA53</f>
        <v>0</v>
      </c>
      <c r="Z51" s="53">
        <f>Assumption_Hatchery!AB53</f>
        <v>0</v>
      </c>
    </row>
    <row r="52" spans="1:26" x14ac:dyDescent="0.25">
      <c r="A52" s="127" t="s">
        <v>59</v>
      </c>
      <c r="B52" s="40">
        <f>SUM(B43:B51)</f>
        <v>0</v>
      </c>
      <c r="C52" s="40">
        <f t="shared" ref="C52" si="32">SUM(C43:C51)</f>
        <v>165100.6</v>
      </c>
      <c r="D52" s="40">
        <f t="shared" ref="D52" si="33">SUM(D43:D51)</f>
        <v>377054.01500000001</v>
      </c>
      <c r="E52" s="40">
        <f t="shared" ref="E52" si="34">SUM(E43:E51)</f>
        <v>652906.09927000001</v>
      </c>
      <c r="F52" s="40">
        <f t="shared" ref="F52" si="35">SUM(F43:F51)</f>
        <v>603924.26140299998</v>
      </c>
      <c r="G52" s="40">
        <f t="shared" ref="G52" si="36">SUM(G43:G51)</f>
        <v>502635.50401703001</v>
      </c>
      <c r="H52" s="40">
        <f t="shared" ref="H52" si="37">SUM(H43:H51)</f>
        <v>405898.85905720032</v>
      </c>
      <c r="I52" s="40">
        <f t="shared" ref="I52" si="38">SUM(I43:I51)</f>
        <v>376764.34764777229</v>
      </c>
      <c r="J52" s="40">
        <f t="shared" ref="J52" si="39">SUM(J43:J51)</f>
        <v>376981.99112425005</v>
      </c>
      <c r="K52" s="40">
        <f t="shared" ref="K52" si="40">SUM(K43:K51)</f>
        <v>381751.81103549252</v>
      </c>
      <c r="L52" s="40">
        <f t="shared" ref="L52" si="41">SUM(L43:L51)</f>
        <v>377423.82914584747</v>
      </c>
      <c r="M52" s="40">
        <f t="shared" ref="M52" si="42">SUM(M43:M51)</f>
        <v>377648.06743730593</v>
      </c>
      <c r="N52" s="40">
        <f t="shared" ref="N52" si="43">SUM(N43:N51)</f>
        <v>382424.54811167897</v>
      </c>
      <c r="O52" s="40">
        <f t="shared" ref="O52" si="44">SUM(O43:O51)</f>
        <v>378103.29359279579</v>
      </c>
      <c r="P52" s="40">
        <f t="shared" ref="P52" si="45">SUM(P43:P51)</f>
        <v>378334.32652872376</v>
      </c>
      <c r="Q52" s="40">
        <f t="shared" ref="Q52" si="46">SUM(Q43:Q51)</f>
        <v>383117.66979401099</v>
      </c>
      <c r="R52" s="40">
        <f t="shared" ref="R52" si="47">SUM(R43:R51)</f>
        <v>378803.34649195109</v>
      </c>
      <c r="S52" s="40">
        <f t="shared" ref="S52" si="48">SUM(S43:S51)</f>
        <v>379041.37995687057</v>
      </c>
      <c r="T52" s="40">
        <f t="shared" ref="T52" si="49">SUM(T43:T51)</f>
        <v>383831.79375643929</v>
      </c>
      <c r="U52" s="40">
        <f t="shared" ref="U52" si="50">SUM(U43:U51)</f>
        <v>379524.61169400369</v>
      </c>
      <c r="V52" s="40">
        <f t="shared" ref="V52" si="51">SUM(V43:V51)</f>
        <v>379769.85781094374</v>
      </c>
      <c r="W52" s="40">
        <f t="shared" ref="W52" si="52">SUM(W43:W51)</f>
        <v>317804.04511124251</v>
      </c>
      <c r="X52" s="40">
        <f t="shared" ref="X52" si="53">SUM(X43:X51)</f>
        <v>215133.86597647186</v>
      </c>
      <c r="Y52" s="40">
        <f t="shared" ref="Y52" si="54">SUM(Y43:Y51)</f>
        <v>73052.040927247319</v>
      </c>
      <c r="Z52" s="40">
        <f t="shared" ref="Z52" si="55">SUM(Z43:Z51)</f>
        <v>25374.999999999996</v>
      </c>
    </row>
    <row r="53" spans="1:26" x14ac:dyDescent="0.25">
      <c r="B53" s="34"/>
      <c r="C53" s="34"/>
      <c r="D53" s="34"/>
      <c r="E53" s="34"/>
      <c r="F53" s="34"/>
      <c r="G53" s="34"/>
      <c r="H53" s="34"/>
      <c r="I53" s="34"/>
      <c r="J53" s="34"/>
      <c r="K53" s="34"/>
      <c r="L53" s="34"/>
    </row>
    <row r="54" spans="1:26" x14ac:dyDescent="0.25">
      <c r="A54" s="24" t="s">
        <v>60</v>
      </c>
      <c r="B54" s="36">
        <f>B40-B52</f>
        <v>0</v>
      </c>
      <c r="C54" s="36">
        <f t="shared" ref="C54:Z54" si="56">C40-C52</f>
        <v>-165100.6</v>
      </c>
      <c r="D54" s="36">
        <f t="shared" si="56"/>
        <v>-155969.01499999998</v>
      </c>
      <c r="E54" s="36">
        <f t="shared" si="56"/>
        <v>-257141.84077000001</v>
      </c>
      <c r="F54" s="36">
        <f t="shared" si="56"/>
        <v>-143890.59340299992</v>
      </c>
      <c r="G54" s="36">
        <f t="shared" si="56"/>
        <v>-33401.162657029927</v>
      </c>
      <c r="H54" s="36">
        <f t="shared" si="56"/>
        <v>60754.693425319798</v>
      </c>
      <c r="I54" s="36">
        <f t="shared" si="56"/>
        <v>111427.06110317173</v>
      </c>
      <c r="J54" s="36">
        <f t="shared" si="56"/>
        <v>120973.24580171285</v>
      </c>
      <c r="K54" s="36">
        <f t="shared" si="56"/>
        <v>113464.67208737758</v>
      </c>
      <c r="L54" s="36">
        <f t="shared" si="56"/>
        <v>140648.79935192439</v>
      </c>
      <c r="M54" s="36">
        <f t="shared" si="56"/>
        <v>150786.01363042125</v>
      </c>
      <c r="N54" s="36">
        <f t="shared" si="56"/>
        <v>143103.14551017579</v>
      </c>
      <c r="O54" s="36">
        <f t="shared" si="56"/>
        <v>171679.52435006766</v>
      </c>
      <c r="P54" s="36">
        <f t="shared" si="56"/>
        <v>182444.14777299698</v>
      </c>
      <c r="Q54" s="36">
        <f t="shared" si="56"/>
        <v>174576.52289905009</v>
      </c>
      <c r="R54" s="36">
        <f t="shared" si="56"/>
        <v>204630.57817155909</v>
      </c>
      <c r="S54" s="36">
        <f t="shared" si="56"/>
        <v>216061.2231999099</v>
      </c>
      <c r="T54" s="36">
        <f t="shared" si="56"/>
        <v>207997.7450829788</v>
      </c>
      <c r="U54" s="36">
        <f t="shared" si="56"/>
        <v>239620.13663031056</v>
      </c>
      <c r="V54" s="36">
        <f t="shared" si="56"/>
        <v>251757.78547985689</v>
      </c>
      <c r="W54" s="36">
        <f t="shared" si="56"/>
        <v>203639.34789091838</v>
      </c>
      <c r="X54" s="36">
        <f t="shared" si="56"/>
        <v>143386.81406340265</v>
      </c>
      <c r="Y54" s="36">
        <f t="shared" si="56"/>
        <v>33966.177800887061</v>
      </c>
      <c r="Z54" s="36">
        <f t="shared" si="56"/>
        <v>-15874.999999999996</v>
      </c>
    </row>
    <row r="55" spans="1:26" x14ac:dyDescent="0.25">
      <c r="B55" s="34"/>
      <c r="C55" s="34"/>
      <c r="D55" s="34"/>
      <c r="E55" s="34"/>
      <c r="F55" s="34"/>
      <c r="G55" s="34"/>
      <c r="H55" s="34"/>
      <c r="I55" s="34"/>
      <c r="J55" s="34"/>
      <c r="K55" s="34"/>
      <c r="L55" s="34"/>
    </row>
    <row r="56" spans="1:26" s="13" customFormat="1" x14ac:dyDescent="0.25">
      <c r="A56" s="24" t="s">
        <v>61</v>
      </c>
      <c r="B56" s="42">
        <f>B54/(1+Assumption_Hatchery!$C76)^B36</f>
        <v>0</v>
      </c>
      <c r="C56" s="42">
        <f>C54/(1+Assumption_Hatchery!$C76)^C36</f>
        <v>-151468.44036697247</v>
      </c>
      <c r="D56" s="42">
        <f>D54/(1+Assumption_Hatchery!$C76)^D36</f>
        <v>-131275.99949499196</v>
      </c>
      <c r="E56" s="42">
        <f>E54/(1+Assumption_Hatchery!$C76)^E36</f>
        <v>-198560.68147508663</v>
      </c>
      <c r="F56" s="42">
        <f>F54/(1+Assumption_Hatchery!$C76)^F36</f>
        <v>-101935.72400181658</v>
      </c>
      <c r="G56" s="42">
        <f>G54/(1+Assumption_Hatchery!$C76)^G36</f>
        <v>-21708.463949659981</v>
      </c>
      <c r="H56" s="42">
        <f>H54/(1+Assumption_Hatchery!$C76)^H36</f>
        <v>36226.038644081702</v>
      </c>
      <c r="I56" s="42">
        <f>I54/(1+Assumption_Hatchery!$C76)^I36</f>
        <v>60954.418225683716</v>
      </c>
      <c r="J56" s="42">
        <f>J54/(1+Assumption_Hatchery!$C76)^J36</f>
        <v>60712.392810444944</v>
      </c>
      <c r="K56" s="42">
        <f>K54/(1+Assumption_Hatchery!$C76)^K36</f>
        <v>52242.287022736477</v>
      </c>
      <c r="L56" s="42">
        <f>L54/(1+Assumption_Hatchery!$C76)^L36</f>
        <v>59411.572823156232</v>
      </c>
      <c r="M56" s="42">
        <f>M54/(1+Assumption_Hatchery!$C76)^M36</f>
        <v>58434.533657073938</v>
      </c>
      <c r="N56" s="42">
        <f>N54/(1+Assumption_Hatchery!$C76)^N36</f>
        <v>50878.137500433084</v>
      </c>
      <c r="O56" s="42">
        <f>O54/(1+Assumption_Hatchery!$C76)^O36</f>
        <v>55998.194950213583</v>
      </c>
      <c r="P56" s="42">
        <f>P54/(1+Assumption_Hatchery!$C76)^P36</f>
        <v>54595.766286717175</v>
      </c>
      <c r="Q56" s="42">
        <f>Q54/(1+Assumption_Hatchery!$C76)^Q36</f>
        <v>47927.896655959863</v>
      </c>
      <c r="R56" s="42">
        <f>R54/(1+Assumption_Hatchery!$C76)^R36</f>
        <v>51540.255159624459</v>
      </c>
      <c r="S56" s="42">
        <f>S54/(1+Assumption_Hatchery!$C76)^S36</f>
        <v>49925.953220284166</v>
      </c>
      <c r="T56" s="42">
        <f>T54/(1+Assumption_Hatchery!$C76)^T36</f>
        <v>44094.21992297173</v>
      </c>
      <c r="U56" s="42">
        <f>U54/(1+Assumption_Hatchery!$C76)^U36</f>
        <v>46603.64126567723</v>
      </c>
      <c r="V56" s="42">
        <f>V54/(1+Assumption_Hatchery!$C76)^V36</f>
        <v>44921.365672783977</v>
      </c>
      <c r="W56" s="42">
        <f>W54/(1+Assumption_Hatchery!$C76)^W36</f>
        <v>33335.367008125853</v>
      </c>
      <c r="X56" s="42">
        <f>X54/(1+Assumption_Hatchery!$C76)^X36</f>
        <v>21534.076943335924</v>
      </c>
      <c r="Y56" s="42">
        <f>Y54/(1+Assumption_Hatchery!$C76)^Y36</f>
        <v>4679.9070349119311</v>
      </c>
      <c r="Z56" s="42">
        <f>Z54/(1+Assumption_Hatchery!$C76)^Z36</f>
        <v>-2006.6784344785335</v>
      </c>
    </row>
    <row r="57" spans="1:26" x14ac:dyDescent="0.25">
      <c r="B57" s="34"/>
      <c r="C57" s="34"/>
      <c r="D57" s="34"/>
      <c r="E57" s="34"/>
      <c r="F57" s="34"/>
      <c r="G57" s="34"/>
      <c r="H57" s="34"/>
      <c r="I57" s="34"/>
      <c r="J57" s="34"/>
      <c r="K57" s="34"/>
      <c r="L57" s="34"/>
    </row>
    <row r="58" spans="1:26" s="13" customFormat="1" x14ac:dyDescent="0.25">
      <c r="A58" s="26" t="s">
        <v>62</v>
      </c>
      <c r="B58" s="37">
        <f>NPV(Assumption_Hatchery!C76,C54:Z54)+B54</f>
        <v>227060.03708120971</v>
      </c>
      <c r="C58" s="43"/>
      <c r="D58" s="43"/>
      <c r="E58" s="43"/>
      <c r="F58" s="43"/>
      <c r="G58" s="43"/>
      <c r="H58" s="43"/>
      <c r="I58" s="43"/>
      <c r="J58" s="43"/>
      <c r="K58" s="43"/>
      <c r="L58" s="43"/>
    </row>
    <row r="60" spans="1:26" s="13" customFormat="1" x14ac:dyDescent="0.25">
      <c r="A60" s="26" t="s">
        <v>25</v>
      </c>
      <c r="B60" s="38">
        <f>IRR(B54:Z54)</f>
        <v>0.12335426227935131</v>
      </c>
      <c r="C60" s="4"/>
      <c r="D60" s="4"/>
      <c r="E60" s="4"/>
      <c r="F60" s="4"/>
      <c r="G60" s="4"/>
      <c r="H60" s="4"/>
      <c r="I60" s="4"/>
      <c r="J60" s="4"/>
      <c r="K60" s="4"/>
      <c r="L60" s="4"/>
    </row>
    <row r="62" spans="1:26" s="13" customFormat="1" x14ac:dyDescent="0.25">
      <c r="A62" s="27" t="s">
        <v>63</v>
      </c>
      <c r="B62" s="39">
        <f>B56</f>
        <v>0</v>
      </c>
      <c r="C62" s="39">
        <f>B62+C56</f>
        <v>-151468.44036697247</v>
      </c>
      <c r="D62" s="39">
        <f t="shared" ref="D62" si="57">C62+D56</f>
        <v>-282744.43986196443</v>
      </c>
      <c r="E62" s="39">
        <f t="shared" ref="E62" si="58">D62+E56</f>
        <v>-481305.12133705104</v>
      </c>
      <c r="F62" s="39">
        <f t="shared" ref="F62" si="59">E62+F56</f>
        <v>-583240.84533886763</v>
      </c>
      <c r="G62" s="39">
        <f t="shared" ref="G62" si="60">F62+G56</f>
        <v>-604949.30928852758</v>
      </c>
      <c r="H62" s="39">
        <f t="shared" ref="H62" si="61">G62+H56</f>
        <v>-568723.2706444459</v>
      </c>
      <c r="I62" s="39">
        <f t="shared" ref="I62" si="62">H62+I56</f>
        <v>-507768.85241876217</v>
      </c>
      <c r="J62" s="39">
        <f t="shared" ref="J62" si="63">I62+J56</f>
        <v>-447056.45960831724</v>
      </c>
      <c r="K62" s="39">
        <f t="shared" ref="K62" si="64">J62+K56</f>
        <v>-394814.17258558073</v>
      </c>
      <c r="L62" s="39">
        <f t="shared" ref="L62" si="65">K62+L56</f>
        <v>-335402.59976242448</v>
      </c>
      <c r="M62" s="39">
        <f t="shared" ref="M62" si="66">L62+M56</f>
        <v>-276968.06610535056</v>
      </c>
      <c r="N62" s="39">
        <f t="shared" ref="N62" si="67">M62+N56</f>
        <v>-226089.92860491748</v>
      </c>
      <c r="O62" s="39">
        <f t="shared" ref="O62" si="68">N62+O56</f>
        <v>-170091.73365470389</v>
      </c>
      <c r="P62" s="39">
        <f t="shared" ref="P62" si="69">O62+P56</f>
        <v>-115495.96736798671</v>
      </c>
      <c r="Q62" s="39">
        <f t="shared" ref="Q62" si="70">P62+Q56</f>
        <v>-67568.070712026849</v>
      </c>
      <c r="R62" s="39">
        <f t="shared" ref="R62" si="71">Q62+R56</f>
        <v>-16027.81555240239</v>
      </c>
      <c r="S62" s="39">
        <f t="shared" ref="S62" si="72">R62+S56</f>
        <v>33898.137667881776</v>
      </c>
      <c r="T62" s="39">
        <f t="shared" ref="T62" si="73">S62+T56</f>
        <v>77992.357590853499</v>
      </c>
      <c r="U62" s="39">
        <f t="shared" ref="U62" si="74">T62+U56</f>
        <v>124595.99885653073</v>
      </c>
      <c r="V62" s="39">
        <f t="shared" ref="V62" si="75">U62+V56</f>
        <v>169517.36452931471</v>
      </c>
      <c r="W62" s="39">
        <f t="shared" ref="W62" si="76">V62+W56</f>
        <v>202852.73153744056</v>
      </c>
      <c r="X62" s="39">
        <f t="shared" ref="X62" si="77">W62+X56</f>
        <v>224386.8084807765</v>
      </c>
      <c r="Y62" s="39">
        <f t="shared" ref="Y62" si="78">X62+Y56</f>
        <v>229066.71551568844</v>
      </c>
      <c r="Z62" s="39">
        <f t="shared" ref="Z62" si="79">Y62+Z56</f>
        <v>227060.03708120991</v>
      </c>
    </row>
    <row r="63" spans="1:26" ht="38.25" customHeight="1" x14ac:dyDescent="0.25">
      <c r="A63" s="11"/>
      <c r="B63" s="32"/>
      <c r="C63" s="76"/>
      <c r="D63" s="77"/>
      <c r="E63" s="32"/>
      <c r="F63" s="126"/>
      <c r="G63" s="32"/>
      <c r="H63" s="32"/>
      <c r="I63" s="32"/>
      <c r="J63" s="32"/>
      <c r="K63" s="32"/>
      <c r="L63" s="32"/>
      <c r="M63" s="11"/>
    </row>
    <row r="64" spans="1:26" s="1" customFormat="1" x14ac:dyDescent="0.25">
      <c r="A64" s="25"/>
      <c r="B64" s="45"/>
      <c r="C64" s="45"/>
      <c r="D64" s="45"/>
      <c r="E64" s="45"/>
      <c r="F64" s="45"/>
      <c r="G64" s="45"/>
      <c r="H64" s="45"/>
      <c r="I64" s="45"/>
      <c r="J64" s="45"/>
      <c r="K64" s="45"/>
      <c r="L64" s="45"/>
    </row>
    <row r="66" spans="1:26" ht="26.25" x14ac:dyDescent="0.25">
      <c r="F66" s="20" t="s">
        <v>111</v>
      </c>
    </row>
    <row r="67" spans="1:26" ht="38.25" customHeight="1" x14ac:dyDescent="0.25">
      <c r="A67" s="11" t="s">
        <v>77</v>
      </c>
      <c r="B67" s="32"/>
      <c r="C67" s="76"/>
      <c r="D67" s="77"/>
      <c r="E67" s="32"/>
      <c r="F67" s="32"/>
      <c r="G67" s="32"/>
      <c r="H67" s="32"/>
      <c r="I67" s="32"/>
      <c r="J67" s="32"/>
      <c r="K67" s="32"/>
      <c r="L67" s="32"/>
      <c r="M67" s="11"/>
    </row>
    <row r="69" spans="1:26" x14ac:dyDescent="0.25">
      <c r="A69" s="10" t="s">
        <v>22</v>
      </c>
      <c r="B69" s="28">
        <v>0</v>
      </c>
      <c r="C69" s="28">
        <v>1</v>
      </c>
      <c r="D69" s="28">
        <v>2</v>
      </c>
      <c r="E69" s="28">
        <v>3</v>
      </c>
      <c r="F69" s="28">
        <v>4</v>
      </c>
      <c r="G69" s="28">
        <v>5</v>
      </c>
      <c r="H69" s="28">
        <v>6</v>
      </c>
      <c r="I69" s="28">
        <v>7</v>
      </c>
      <c r="J69" s="28">
        <v>8</v>
      </c>
      <c r="K69" s="28">
        <v>9</v>
      </c>
      <c r="L69" s="28">
        <v>10</v>
      </c>
      <c r="M69" s="28">
        <v>11</v>
      </c>
      <c r="N69" s="28">
        <v>12</v>
      </c>
      <c r="O69" s="28">
        <v>13</v>
      </c>
      <c r="P69" s="28">
        <v>14</v>
      </c>
      <c r="Q69" s="28">
        <v>15</v>
      </c>
      <c r="R69" s="28">
        <v>16</v>
      </c>
      <c r="S69" s="28">
        <v>17</v>
      </c>
      <c r="T69" s="28">
        <v>18</v>
      </c>
      <c r="U69" s="28">
        <v>19</v>
      </c>
      <c r="V69" s="28">
        <v>20</v>
      </c>
      <c r="W69" s="28">
        <v>21</v>
      </c>
      <c r="X69" s="28">
        <v>22</v>
      </c>
      <c r="Y69" s="28">
        <v>23</v>
      </c>
      <c r="Z69" s="28">
        <v>24</v>
      </c>
    </row>
    <row r="70" spans="1:26" x14ac:dyDescent="0.25">
      <c r="A70" s="24" t="s">
        <v>23</v>
      </c>
    </row>
    <row r="71" spans="1:26" x14ac:dyDescent="0.25">
      <c r="A71" s="10" t="s">
        <v>56</v>
      </c>
      <c r="B71" s="33">
        <f>B6</f>
        <v>0</v>
      </c>
      <c r="C71" s="33">
        <f t="shared" ref="C71:Z71" si="80">C6</f>
        <v>0</v>
      </c>
      <c r="D71" s="33">
        <f t="shared" si="80"/>
        <v>221085.00000000003</v>
      </c>
      <c r="E71" s="33">
        <f t="shared" si="80"/>
        <v>395764.2585</v>
      </c>
      <c r="F71" s="33">
        <f t="shared" si="80"/>
        <v>460033.66800000006</v>
      </c>
      <c r="G71" s="33">
        <f t="shared" si="80"/>
        <v>469234.34136000008</v>
      </c>
      <c r="H71" s="33">
        <f t="shared" si="80"/>
        <v>466653.55248252011</v>
      </c>
      <c r="I71" s="33">
        <f t="shared" si="80"/>
        <v>488191.40875094401</v>
      </c>
      <c r="J71" s="33">
        <f t="shared" si="80"/>
        <v>497955.2369259629</v>
      </c>
      <c r="K71" s="33">
        <f t="shared" si="80"/>
        <v>495216.48312287009</v>
      </c>
      <c r="L71" s="33">
        <f t="shared" si="80"/>
        <v>518072.62849777186</v>
      </c>
      <c r="M71" s="33">
        <f t="shared" si="80"/>
        <v>528434.08106772718</v>
      </c>
      <c r="N71" s="33">
        <f t="shared" si="80"/>
        <v>525527.69362185476</v>
      </c>
      <c r="O71" s="33">
        <f t="shared" si="80"/>
        <v>549782.81794286345</v>
      </c>
      <c r="P71" s="33">
        <f t="shared" si="80"/>
        <v>560778.47430172074</v>
      </c>
      <c r="Q71" s="33">
        <f t="shared" si="80"/>
        <v>557694.19269306108</v>
      </c>
      <c r="R71" s="33">
        <f t="shared" si="80"/>
        <v>583433.92466351017</v>
      </c>
      <c r="S71" s="33">
        <f t="shared" si="80"/>
        <v>595102.60315678047</v>
      </c>
      <c r="T71" s="33">
        <f t="shared" si="80"/>
        <v>591829.53883941809</v>
      </c>
      <c r="U71" s="33">
        <f t="shared" si="80"/>
        <v>619144.74832431425</v>
      </c>
      <c r="V71" s="33">
        <f t="shared" si="80"/>
        <v>631527.64329080062</v>
      </c>
      <c r="W71" s="33">
        <f t="shared" si="80"/>
        <v>502443.39300216088</v>
      </c>
      <c r="X71" s="33">
        <f t="shared" si="80"/>
        <v>328520.68003987451</v>
      </c>
      <c r="Y71" s="33">
        <f t="shared" si="80"/>
        <v>67018.218728134379</v>
      </c>
      <c r="Z71" s="33">
        <f t="shared" si="80"/>
        <v>0</v>
      </c>
    </row>
    <row r="72" spans="1:26" x14ac:dyDescent="0.25">
      <c r="A72" s="10" t="s">
        <v>57</v>
      </c>
      <c r="B72" s="33">
        <f>B7</f>
        <v>0</v>
      </c>
      <c r="C72" s="33">
        <f t="shared" ref="C72:Z72" si="81">C7</f>
        <v>0</v>
      </c>
      <c r="D72" s="33">
        <f t="shared" si="81"/>
        <v>0</v>
      </c>
      <c r="E72" s="33">
        <f t="shared" si="81"/>
        <v>0</v>
      </c>
      <c r="F72" s="33">
        <f t="shared" si="81"/>
        <v>0</v>
      </c>
      <c r="G72" s="33">
        <f t="shared" si="81"/>
        <v>0</v>
      </c>
      <c r="H72" s="33">
        <f t="shared" si="81"/>
        <v>0</v>
      </c>
      <c r="I72" s="33">
        <f t="shared" si="81"/>
        <v>0</v>
      </c>
      <c r="J72" s="33">
        <f t="shared" si="81"/>
        <v>0</v>
      </c>
      <c r="K72" s="33">
        <f t="shared" si="81"/>
        <v>0</v>
      </c>
      <c r="L72" s="33">
        <f t="shared" si="81"/>
        <v>0</v>
      </c>
      <c r="M72" s="33">
        <f t="shared" si="81"/>
        <v>0</v>
      </c>
      <c r="N72" s="33">
        <f t="shared" si="81"/>
        <v>0</v>
      </c>
      <c r="O72" s="33">
        <f t="shared" si="81"/>
        <v>0</v>
      </c>
      <c r="P72" s="33">
        <f t="shared" si="81"/>
        <v>0</v>
      </c>
      <c r="Q72" s="33">
        <f t="shared" si="81"/>
        <v>0</v>
      </c>
      <c r="R72" s="33">
        <f t="shared" si="81"/>
        <v>0</v>
      </c>
      <c r="S72" s="33">
        <f t="shared" si="81"/>
        <v>0</v>
      </c>
      <c r="T72" s="33">
        <f t="shared" si="81"/>
        <v>0</v>
      </c>
      <c r="U72" s="33">
        <f t="shared" si="81"/>
        <v>0</v>
      </c>
      <c r="V72" s="33">
        <f t="shared" si="81"/>
        <v>0</v>
      </c>
      <c r="W72" s="33">
        <f t="shared" si="81"/>
        <v>19000</v>
      </c>
      <c r="X72" s="33">
        <f t="shared" si="81"/>
        <v>30000</v>
      </c>
      <c r="Y72" s="33">
        <f t="shared" si="81"/>
        <v>40000</v>
      </c>
      <c r="Z72" s="33">
        <f t="shared" si="81"/>
        <v>9500</v>
      </c>
    </row>
    <row r="73" spans="1:26" s="13" customFormat="1" x14ac:dyDescent="0.25">
      <c r="A73" s="24" t="s">
        <v>58</v>
      </c>
      <c r="B73" s="41">
        <f t="shared" ref="B73:Z73" si="82">(B71+B72)</f>
        <v>0</v>
      </c>
      <c r="C73" s="41">
        <f t="shared" si="82"/>
        <v>0</v>
      </c>
      <c r="D73" s="41">
        <f t="shared" si="82"/>
        <v>221085.00000000003</v>
      </c>
      <c r="E73" s="41">
        <f t="shared" si="82"/>
        <v>395764.2585</v>
      </c>
      <c r="F73" s="41">
        <f t="shared" si="82"/>
        <v>460033.66800000006</v>
      </c>
      <c r="G73" s="41">
        <f t="shared" si="82"/>
        <v>469234.34136000008</v>
      </c>
      <c r="H73" s="41">
        <f t="shared" si="82"/>
        <v>466653.55248252011</v>
      </c>
      <c r="I73" s="41">
        <f t="shared" si="82"/>
        <v>488191.40875094401</v>
      </c>
      <c r="J73" s="41">
        <f t="shared" si="82"/>
        <v>497955.2369259629</v>
      </c>
      <c r="K73" s="41">
        <f t="shared" si="82"/>
        <v>495216.48312287009</v>
      </c>
      <c r="L73" s="41">
        <f t="shared" si="82"/>
        <v>518072.62849777186</v>
      </c>
      <c r="M73" s="41">
        <f t="shared" si="82"/>
        <v>528434.08106772718</v>
      </c>
      <c r="N73" s="41">
        <f t="shared" si="82"/>
        <v>525527.69362185476</v>
      </c>
      <c r="O73" s="41">
        <f t="shared" si="82"/>
        <v>549782.81794286345</v>
      </c>
      <c r="P73" s="41">
        <f t="shared" si="82"/>
        <v>560778.47430172074</v>
      </c>
      <c r="Q73" s="41">
        <f t="shared" si="82"/>
        <v>557694.19269306108</v>
      </c>
      <c r="R73" s="41">
        <f t="shared" si="82"/>
        <v>583433.92466351017</v>
      </c>
      <c r="S73" s="41">
        <f t="shared" si="82"/>
        <v>595102.60315678047</v>
      </c>
      <c r="T73" s="41">
        <f t="shared" si="82"/>
        <v>591829.53883941809</v>
      </c>
      <c r="U73" s="41">
        <f t="shared" si="82"/>
        <v>619144.74832431425</v>
      </c>
      <c r="V73" s="41">
        <f t="shared" si="82"/>
        <v>631527.64329080062</v>
      </c>
      <c r="W73" s="41">
        <f t="shared" si="82"/>
        <v>521443.39300216088</v>
      </c>
      <c r="X73" s="41">
        <f t="shared" si="82"/>
        <v>358520.68003987451</v>
      </c>
      <c r="Y73" s="41">
        <f t="shared" si="82"/>
        <v>107018.21872813438</v>
      </c>
      <c r="Z73" s="41">
        <f t="shared" si="82"/>
        <v>9500</v>
      </c>
    </row>
    <row r="74" spans="1:26" x14ac:dyDescent="0.25">
      <c r="A74" s="24"/>
      <c r="B74" s="44"/>
      <c r="C74" s="44"/>
      <c r="D74" s="44"/>
      <c r="E74" s="44"/>
      <c r="F74" s="44"/>
      <c r="G74" s="44"/>
      <c r="H74" s="44"/>
      <c r="I74" s="44"/>
      <c r="J74" s="44"/>
      <c r="K74" s="44"/>
    </row>
    <row r="75" spans="1:26" x14ac:dyDescent="0.25">
      <c r="A75" s="24" t="s">
        <v>24</v>
      </c>
    </row>
    <row r="76" spans="1:26" x14ac:dyDescent="0.25">
      <c r="A76" s="9" t="s">
        <v>49</v>
      </c>
      <c r="B76" s="35">
        <f>B11</f>
        <v>0</v>
      </c>
      <c r="C76" s="35">
        <f t="shared" ref="C76:Z83" si="83">C11</f>
        <v>100000</v>
      </c>
      <c r="D76" s="35">
        <f t="shared" si="83"/>
        <v>150000</v>
      </c>
      <c r="E76" s="35">
        <f t="shared" si="83"/>
        <v>200000</v>
      </c>
      <c r="F76" s="35">
        <f t="shared" si="83"/>
        <v>50000</v>
      </c>
      <c r="G76" s="35">
        <f t="shared" si="83"/>
        <v>0</v>
      </c>
      <c r="H76" s="35">
        <f t="shared" si="83"/>
        <v>0</v>
      </c>
      <c r="I76" s="35">
        <f t="shared" si="83"/>
        <v>0</v>
      </c>
      <c r="J76" s="35">
        <f t="shared" si="83"/>
        <v>0</v>
      </c>
      <c r="K76" s="35">
        <f t="shared" si="83"/>
        <v>0</v>
      </c>
      <c r="L76" s="35">
        <f t="shared" si="83"/>
        <v>0</v>
      </c>
      <c r="M76" s="35">
        <f t="shared" si="83"/>
        <v>0</v>
      </c>
      <c r="N76" s="35">
        <f t="shared" si="83"/>
        <v>0</v>
      </c>
      <c r="O76" s="35">
        <f t="shared" si="83"/>
        <v>0</v>
      </c>
      <c r="P76" s="35">
        <f t="shared" si="83"/>
        <v>0</v>
      </c>
      <c r="Q76" s="35">
        <f t="shared" si="83"/>
        <v>0</v>
      </c>
      <c r="R76" s="35">
        <f t="shared" si="83"/>
        <v>0</v>
      </c>
      <c r="S76" s="35">
        <f t="shared" si="83"/>
        <v>0</v>
      </c>
      <c r="T76" s="35">
        <f t="shared" si="83"/>
        <v>0</v>
      </c>
      <c r="U76" s="35">
        <f t="shared" si="83"/>
        <v>0</v>
      </c>
      <c r="V76" s="35">
        <f t="shared" si="83"/>
        <v>0</v>
      </c>
      <c r="W76" s="35">
        <f t="shared" si="83"/>
        <v>0</v>
      </c>
      <c r="X76" s="35">
        <f t="shared" si="83"/>
        <v>0</v>
      </c>
      <c r="Y76" s="35">
        <f t="shared" si="83"/>
        <v>0</v>
      </c>
      <c r="Z76" s="35">
        <f t="shared" si="83"/>
        <v>0</v>
      </c>
    </row>
    <row r="77" spans="1:26" x14ac:dyDescent="0.25">
      <c r="A77" s="9" t="s">
        <v>128</v>
      </c>
      <c r="B77" s="35">
        <f t="shared" ref="B77:Q83" si="84">B12</f>
        <v>0</v>
      </c>
      <c r="C77" s="35">
        <f t="shared" si="84"/>
        <v>0</v>
      </c>
      <c r="D77" s="35">
        <f t="shared" si="84"/>
        <v>5000</v>
      </c>
      <c r="E77" s="35">
        <f t="shared" si="84"/>
        <v>17762.499999999996</v>
      </c>
      <c r="F77" s="35">
        <f t="shared" si="84"/>
        <v>35000</v>
      </c>
      <c r="G77" s="35">
        <f t="shared" si="84"/>
        <v>47500</v>
      </c>
      <c r="H77" s="35">
        <f t="shared" si="84"/>
        <v>50749.999999999993</v>
      </c>
      <c r="I77" s="35">
        <f t="shared" si="84"/>
        <v>50000</v>
      </c>
      <c r="J77" s="35">
        <f t="shared" si="84"/>
        <v>50000</v>
      </c>
      <c r="K77" s="35">
        <f t="shared" si="84"/>
        <v>50749.999999999993</v>
      </c>
      <c r="L77" s="35">
        <f t="shared" si="84"/>
        <v>50000</v>
      </c>
      <c r="M77" s="35">
        <f t="shared" si="84"/>
        <v>50000</v>
      </c>
      <c r="N77" s="35">
        <f t="shared" si="84"/>
        <v>50749.999999999993</v>
      </c>
      <c r="O77" s="35">
        <f t="shared" si="84"/>
        <v>50000</v>
      </c>
      <c r="P77" s="35">
        <f t="shared" si="84"/>
        <v>50000</v>
      </c>
      <c r="Q77" s="35">
        <f t="shared" si="84"/>
        <v>50749.999999999993</v>
      </c>
      <c r="R77" s="35">
        <f t="shared" si="83"/>
        <v>50000</v>
      </c>
      <c r="S77" s="35">
        <f t="shared" si="83"/>
        <v>50000</v>
      </c>
      <c r="T77" s="35">
        <f t="shared" si="83"/>
        <v>50749.999999999993</v>
      </c>
      <c r="U77" s="35">
        <f t="shared" si="83"/>
        <v>50000</v>
      </c>
      <c r="V77" s="35">
        <f t="shared" si="83"/>
        <v>50000</v>
      </c>
      <c r="W77" s="35">
        <f t="shared" si="83"/>
        <v>50749.999999999993</v>
      </c>
      <c r="X77" s="35">
        <f t="shared" si="83"/>
        <v>50000</v>
      </c>
      <c r="Y77" s="35">
        <f t="shared" si="83"/>
        <v>40000</v>
      </c>
      <c r="Z77" s="35">
        <f t="shared" si="83"/>
        <v>25374.999999999996</v>
      </c>
    </row>
    <row r="78" spans="1:26" x14ac:dyDescent="0.25">
      <c r="A78" s="9" t="s">
        <v>53</v>
      </c>
      <c r="B78" s="35">
        <f t="shared" si="84"/>
        <v>0</v>
      </c>
      <c r="C78" s="35">
        <f t="shared" si="83"/>
        <v>10000</v>
      </c>
      <c r="D78" s="35">
        <f t="shared" si="83"/>
        <v>25000</v>
      </c>
      <c r="E78" s="35">
        <f t="shared" si="83"/>
        <v>45000</v>
      </c>
      <c r="F78" s="35">
        <f t="shared" si="83"/>
        <v>50000</v>
      </c>
      <c r="G78" s="35">
        <f t="shared" si="83"/>
        <v>50000</v>
      </c>
      <c r="H78" s="35">
        <f t="shared" si="83"/>
        <v>50000</v>
      </c>
      <c r="I78" s="35">
        <f t="shared" si="83"/>
        <v>50000</v>
      </c>
      <c r="J78" s="35">
        <f t="shared" si="83"/>
        <v>50000</v>
      </c>
      <c r="K78" s="35">
        <f t="shared" si="83"/>
        <v>50000</v>
      </c>
      <c r="L78" s="35">
        <f t="shared" si="83"/>
        <v>50000</v>
      </c>
      <c r="M78" s="35">
        <f t="shared" si="83"/>
        <v>50000</v>
      </c>
      <c r="N78" s="35">
        <f t="shared" si="83"/>
        <v>50000</v>
      </c>
      <c r="O78" s="35">
        <f t="shared" si="83"/>
        <v>50000</v>
      </c>
      <c r="P78" s="35">
        <f t="shared" si="83"/>
        <v>50000</v>
      </c>
      <c r="Q78" s="35">
        <f t="shared" si="83"/>
        <v>50000</v>
      </c>
      <c r="R78" s="35">
        <f t="shared" si="83"/>
        <v>50000</v>
      </c>
      <c r="S78" s="35">
        <f t="shared" si="83"/>
        <v>50000</v>
      </c>
      <c r="T78" s="35">
        <f t="shared" si="83"/>
        <v>50000</v>
      </c>
      <c r="U78" s="35">
        <f t="shared" si="83"/>
        <v>50000</v>
      </c>
      <c r="V78" s="35">
        <f t="shared" si="83"/>
        <v>50000</v>
      </c>
      <c r="W78" s="35">
        <f t="shared" si="83"/>
        <v>40000</v>
      </c>
      <c r="X78" s="35">
        <f t="shared" si="83"/>
        <v>25000</v>
      </c>
      <c r="Y78" s="35">
        <f t="shared" si="83"/>
        <v>5000</v>
      </c>
      <c r="Z78" s="35">
        <f t="shared" si="83"/>
        <v>0</v>
      </c>
    </row>
    <row r="79" spans="1:26" x14ac:dyDescent="0.25">
      <c r="A79" s="9" t="s">
        <v>55</v>
      </c>
      <c r="B79" s="35">
        <f t="shared" si="84"/>
        <v>0</v>
      </c>
      <c r="C79" s="35">
        <f t="shared" si="83"/>
        <v>10000</v>
      </c>
      <c r="D79" s="35">
        <f t="shared" si="83"/>
        <v>25000</v>
      </c>
      <c r="E79" s="35">
        <f t="shared" si="83"/>
        <v>46125</v>
      </c>
      <c r="F79" s="35">
        <f t="shared" si="83"/>
        <v>50000</v>
      </c>
      <c r="G79" s="35">
        <f t="shared" si="83"/>
        <v>50000</v>
      </c>
      <c r="H79" s="35">
        <f t="shared" si="83"/>
        <v>51250</v>
      </c>
      <c r="I79" s="35">
        <f t="shared" si="83"/>
        <v>50000</v>
      </c>
      <c r="J79" s="35">
        <f t="shared" si="83"/>
        <v>50000</v>
      </c>
      <c r="K79" s="35">
        <f t="shared" si="83"/>
        <v>51250</v>
      </c>
      <c r="L79" s="35">
        <f t="shared" si="83"/>
        <v>50000</v>
      </c>
      <c r="M79" s="35">
        <f t="shared" si="83"/>
        <v>50000</v>
      </c>
      <c r="N79" s="35">
        <f t="shared" si="83"/>
        <v>51250</v>
      </c>
      <c r="O79" s="35">
        <f t="shared" si="83"/>
        <v>50000</v>
      </c>
      <c r="P79" s="35">
        <f t="shared" si="83"/>
        <v>50000</v>
      </c>
      <c r="Q79" s="35">
        <f t="shared" si="83"/>
        <v>51250</v>
      </c>
      <c r="R79" s="35">
        <f t="shared" si="83"/>
        <v>50000</v>
      </c>
      <c r="S79" s="35">
        <f t="shared" si="83"/>
        <v>50000</v>
      </c>
      <c r="T79" s="35">
        <f t="shared" si="83"/>
        <v>51250</v>
      </c>
      <c r="U79" s="35">
        <f t="shared" si="83"/>
        <v>50000</v>
      </c>
      <c r="V79" s="35">
        <f t="shared" si="83"/>
        <v>50000</v>
      </c>
      <c r="W79" s="35">
        <f t="shared" si="83"/>
        <v>41000</v>
      </c>
      <c r="X79" s="35">
        <f t="shared" si="83"/>
        <v>25000</v>
      </c>
      <c r="Y79" s="35">
        <f t="shared" si="83"/>
        <v>5000</v>
      </c>
      <c r="Z79" s="35">
        <f t="shared" si="83"/>
        <v>0</v>
      </c>
    </row>
    <row r="80" spans="1:26" x14ac:dyDescent="0.25">
      <c r="A80" s="118" t="s">
        <v>126</v>
      </c>
      <c r="B80" s="35">
        <f t="shared" si="84"/>
        <v>0</v>
      </c>
      <c r="C80" s="35">
        <f t="shared" si="83"/>
        <v>1000</v>
      </c>
      <c r="D80" s="35">
        <f t="shared" si="83"/>
        <v>2500</v>
      </c>
      <c r="E80" s="35">
        <f t="shared" si="83"/>
        <v>4545</v>
      </c>
      <c r="F80" s="35">
        <f t="shared" si="83"/>
        <v>5000</v>
      </c>
      <c r="G80" s="35">
        <f t="shared" si="83"/>
        <v>5000</v>
      </c>
      <c r="H80" s="35">
        <f t="shared" si="83"/>
        <v>5050</v>
      </c>
      <c r="I80" s="35">
        <f t="shared" si="83"/>
        <v>5000</v>
      </c>
      <c r="J80" s="35">
        <f t="shared" si="83"/>
        <v>5000</v>
      </c>
      <c r="K80" s="35">
        <f t="shared" si="83"/>
        <v>5050</v>
      </c>
      <c r="L80" s="35">
        <f t="shared" si="83"/>
        <v>5000</v>
      </c>
      <c r="M80" s="35">
        <f t="shared" si="83"/>
        <v>5000</v>
      </c>
      <c r="N80" s="35">
        <f t="shared" si="83"/>
        <v>5050</v>
      </c>
      <c r="O80" s="35">
        <f t="shared" si="83"/>
        <v>5000</v>
      </c>
      <c r="P80" s="35">
        <f t="shared" si="83"/>
        <v>5000</v>
      </c>
      <c r="Q80" s="35">
        <f t="shared" si="83"/>
        <v>5050</v>
      </c>
      <c r="R80" s="35">
        <f t="shared" si="83"/>
        <v>5000</v>
      </c>
      <c r="S80" s="35">
        <f t="shared" si="83"/>
        <v>5000</v>
      </c>
      <c r="T80" s="35">
        <f t="shared" si="83"/>
        <v>5050</v>
      </c>
      <c r="U80" s="35">
        <f t="shared" si="83"/>
        <v>5000</v>
      </c>
      <c r="V80" s="35">
        <f t="shared" si="83"/>
        <v>5000</v>
      </c>
      <c r="W80" s="35">
        <f t="shared" si="83"/>
        <v>4040</v>
      </c>
      <c r="X80" s="35">
        <f t="shared" si="83"/>
        <v>2500</v>
      </c>
      <c r="Y80" s="35">
        <f t="shared" si="83"/>
        <v>500</v>
      </c>
      <c r="Z80" s="35">
        <f t="shared" si="83"/>
        <v>0</v>
      </c>
    </row>
    <row r="81" spans="1:26" x14ac:dyDescent="0.25">
      <c r="A81" s="118" t="s">
        <v>127</v>
      </c>
      <c r="B81" s="35">
        <f t="shared" si="84"/>
        <v>0</v>
      </c>
      <c r="C81" s="35">
        <f t="shared" si="83"/>
        <v>20000</v>
      </c>
      <c r="D81" s="35">
        <f t="shared" si="83"/>
        <v>50000</v>
      </c>
      <c r="E81" s="35">
        <f t="shared" si="83"/>
        <v>90900</v>
      </c>
      <c r="F81" s="35">
        <f t="shared" si="83"/>
        <v>100000</v>
      </c>
      <c r="G81" s="35">
        <f t="shared" si="83"/>
        <v>100000</v>
      </c>
      <c r="H81" s="35">
        <f t="shared" si="83"/>
        <v>101000</v>
      </c>
      <c r="I81" s="35">
        <f t="shared" si="83"/>
        <v>100000</v>
      </c>
      <c r="J81" s="35">
        <f t="shared" si="83"/>
        <v>100000</v>
      </c>
      <c r="K81" s="35">
        <f t="shared" si="83"/>
        <v>101000</v>
      </c>
      <c r="L81" s="35">
        <f t="shared" si="83"/>
        <v>100000</v>
      </c>
      <c r="M81" s="35">
        <f t="shared" si="83"/>
        <v>100000</v>
      </c>
      <c r="N81" s="35">
        <f t="shared" si="83"/>
        <v>101000</v>
      </c>
      <c r="O81" s="35">
        <f t="shared" si="83"/>
        <v>100000</v>
      </c>
      <c r="P81" s="35">
        <f t="shared" si="83"/>
        <v>100000</v>
      </c>
      <c r="Q81" s="35">
        <f t="shared" si="83"/>
        <v>101000</v>
      </c>
      <c r="R81" s="35">
        <f t="shared" si="83"/>
        <v>100000</v>
      </c>
      <c r="S81" s="35">
        <f t="shared" si="83"/>
        <v>100000</v>
      </c>
      <c r="T81" s="35">
        <f t="shared" si="83"/>
        <v>101000</v>
      </c>
      <c r="U81" s="35">
        <f t="shared" si="83"/>
        <v>100000</v>
      </c>
      <c r="V81" s="35">
        <f t="shared" si="83"/>
        <v>100000</v>
      </c>
      <c r="W81" s="35">
        <f t="shared" si="83"/>
        <v>80800</v>
      </c>
      <c r="X81" s="35">
        <f t="shared" si="83"/>
        <v>50000</v>
      </c>
      <c r="Y81" s="35">
        <f t="shared" si="83"/>
        <v>10000</v>
      </c>
      <c r="Z81" s="35">
        <f t="shared" si="83"/>
        <v>0</v>
      </c>
    </row>
    <row r="82" spans="1:26" x14ac:dyDescent="0.25">
      <c r="A82" s="9" t="s">
        <v>40</v>
      </c>
      <c r="B82" s="35">
        <f t="shared" si="84"/>
        <v>0</v>
      </c>
      <c r="C82" s="35">
        <f t="shared" si="83"/>
        <v>20000</v>
      </c>
      <c r="D82" s="35">
        <f t="shared" si="83"/>
        <v>50000</v>
      </c>
      <c r="E82" s="35">
        <f t="shared" si="83"/>
        <v>91349.999999999985</v>
      </c>
      <c r="F82" s="35">
        <f t="shared" si="83"/>
        <v>100000</v>
      </c>
      <c r="G82" s="35">
        <f t="shared" si="83"/>
        <v>100000</v>
      </c>
      <c r="H82" s="35">
        <f t="shared" si="83"/>
        <v>101499.99999999999</v>
      </c>
      <c r="I82" s="35">
        <f t="shared" si="83"/>
        <v>100000</v>
      </c>
      <c r="J82" s="35">
        <f t="shared" si="83"/>
        <v>100000</v>
      </c>
      <c r="K82" s="35">
        <f t="shared" si="83"/>
        <v>101499.99999999999</v>
      </c>
      <c r="L82" s="35">
        <f t="shared" si="83"/>
        <v>100000</v>
      </c>
      <c r="M82" s="35">
        <f t="shared" si="83"/>
        <v>100000</v>
      </c>
      <c r="N82" s="35">
        <f t="shared" si="83"/>
        <v>101499.99999999999</v>
      </c>
      <c r="O82" s="35">
        <f t="shared" si="83"/>
        <v>100000</v>
      </c>
      <c r="P82" s="35">
        <f t="shared" si="83"/>
        <v>100000</v>
      </c>
      <c r="Q82" s="35">
        <f t="shared" si="83"/>
        <v>101499.99999999999</v>
      </c>
      <c r="R82" s="35">
        <f t="shared" si="83"/>
        <v>100000</v>
      </c>
      <c r="S82" s="35">
        <f t="shared" si="83"/>
        <v>100000</v>
      </c>
      <c r="T82" s="35">
        <f t="shared" si="83"/>
        <v>101499.99999999999</v>
      </c>
      <c r="U82" s="35">
        <f t="shared" si="83"/>
        <v>100000</v>
      </c>
      <c r="V82" s="35">
        <f t="shared" si="83"/>
        <v>100000</v>
      </c>
      <c r="W82" s="35">
        <f t="shared" si="83"/>
        <v>81199.999999999985</v>
      </c>
      <c r="X82" s="35">
        <f t="shared" si="83"/>
        <v>50000</v>
      </c>
      <c r="Y82" s="35">
        <f t="shared" si="83"/>
        <v>10000</v>
      </c>
      <c r="Z82" s="35">
        <f t="shared" si="83"/>
        <v>0</v>
      </c>
    </row>
    <row r="83" spans="1:26" x14ac:dyDescent="0.25">
      <c r="A83" s="9" t="s">
        <v>15</v>
      </c>
      <c r="B83" s="35">
        <f t="shared" si="84"/>
        <v>0</v>
      </c>
      <c r="C83" s="35">
        <f t="shared" si="83"/>
        <v>4100.6000000000004</v>
      </c>
      <c r="D83" s="35">
        <f t="shared" si="83"/>
        <v>10354.014999999999</v>
      </c>
      <c r="E83" s="35">
        <f t="shared" si="83"/>
        <v>18823.599269999999</v>
      </c>
      <c r="F83" s="35">
        <f t="shared" si="83"/>
        <v>21124.261403</v>
      </c>
      <c r="G83" s="35">
        <f t="shared" si="83"/>
        <v>21335.504017029998</v>
      </c>
      <c r="H83" s="35">
        <f t="shared" si="83"/>
        <v>21548.859057200301</v>
      </c>
      <c r="I83" s="35">
        <f t="shared" si="83"/>
        <v>21764.347647772298</v>
      </c>
      <c r="J83" s="35">
        <f t="shared" si="83"/>
        <v>21981.991124250027</v>
      </c>
      <c r="K83" s="35">
        <f t="shared" si="83"/>
        <v>22201.81103549253</v>
      </c>
      <c r="L83" s="35">
        <f t="shared" si="83"/>
        <v>22423.829145847456</v>
      </c>
      <c r="M83" s="35">
        <f t="shared" si="83"/>
        <v>22648.067437305926</v>
      </c>
      <c r="N83" s="35">
        <f t="shared" si="83"/>
        <v>22874.548111678985</v>
      </c>
      <c r="O83" s="35">
        <f t="shared" si="83"/>
        <v>23103.293592795777</v>
      </c>
      <c r="P83" s="35">
        <f t="shared" si="83"/>
        <v>23334.326528723737</v>
      </c>
      <c r="Q83" s="35">
        <f t="shared" si="83"/>
        <v>23567.66979401097</v>
      </c>
      <c r="R83" s="35">
        <f t="shared" si="83"/>
        <v>23803.346491951084</v>
      </c>
      <c r="S83" s="35">
        <f t="shared" si="83"/>
        <v>24041.379956870598</v>
      </c>
      <c r="T83" s="35">
        <f t="shared" si="83"/>
        <v>24281.793756439303</v>
      </c>
      <c r="U83" s="35">
        <f t="shared" si="83"/>
        <v>24524.611694003692</v>
      </c>
      <c r="V83" s="35">
        <f t="shared" si="83"/>
        <v>24769.857810943729</v>
      </c>
      <c r="W83" s="35">
        <f t="shared" si="83"/>
        <v>20014.045111242533</v>
      </c>
      <c r="X83" s="35">
        <f t="shared" si="83"/>
        <v>12633.865976471852</v>
      </c>
      <c r="Y83" s="35">
        <f t="shared" si="83"/>
        <v>2552.0409272473134</v>
      </c>
      <c r="Z83" s="35">
        <f t="shared" si="83"/>
        <v>0</v>
      </c>
    </row>
    <row r="84" spans="1:26" s="54" customFormat="1" x14ac:dyDescent="0.25">
      <c r="A84" s="56" t="s">
        <v>156</v>
      </c>
      <c r="B84" s="53">
        <f>B51*Assumption_Hatchery!$C33</f>
        <v>0</v>
      </c>
      <c r="C84" s="53">
        <f>C51*Assumption_Hatchery!$C33</f>
        <v>0</v>
      </c>
      <c r="D84" s="53">
        <f>D51*Assumption_Hatchery!$C33</f>
        <v>0</v>
      </c>
      <c r="E84" s="53">
        <f>E51*Assumption_Hatchery!$C33</f>
        <v>0</v>
      </c>
      <c r="F84" s="53">
        <f>F51*Assumption_Hatchery!$C33</f>
        <v>0</v>
      </c>
      <c r="G84" s="53">
        <f>G51*Assumption_Hatchery!$C33</f>
        <v>0</v>
      </c>
      <c r="H84" s="53">
        <f>H51*Assumption_Hatchery!$C33</f>
        <v>0</v>
      </c>
      <c r="I84" s="53">
        <f>I51*Assumption_Hatchery!$C33</f>
        <v>0</v>
      </c>
      <c r="J84" s="53">
        <f>J51*Assumption_Hatchery!$C33</f>
        <v>0</v>
      </c>
      <c r="K84" s="53">
        <f>K51*Assumption_Hatchery!$C33</f>
        <v>0</v>
      </c>
      <c r="L84" s="53">
        <f>L51*Assumption_Hatchery!$C33</f>
        <v>0</v>
      </c>
      <c r="M84" s="53">
        <f>M51*Assumption_Hatchery!$C33</f>
        <v>0</v>
      </c>
      <c r="N84" s="53">
        <f>N51*Assumption_Hatchery!$C33</f>
        <v>0</v>
      </c>
      <c r="O84" s="53">
        <f>O51*Assumption_Hatchery!$C33</f>
        <v>0</v>
      </c>
      <c r="P84" s="53">
        <f>P51*Assumption_Hatchery!$C33</f>
        <v>0</v>
      </c>
      <c r="Q84" s="53">
        <f>Q51*Assumption_Hatchery!$C33</f>
        <v>0</v>
      </c>
      <c r="R84" s="53">
        <f>R51*Assumption_Hatchery!$C33</f>
        <v>0</v>
      </c>
      <c r="S84" s="53">
        <f>S51*Assumption_Hatchery!$C33</f>
        <v>0</v>
      </c>
      <c r="T84" s="53">
        <f>T51*Assumption_Hatchery!$C33</f>
        <v>0</v>
      </c>
      <c r="U84" s="53">
        <f>U51*Assumption_Hatchery!$C33</f>
        <v>0</v>
      </c>
      <c r="V84" s="53">
        <f>V51*Assumption_Hatchery!$C33</f>
        <v>0</v>
      </c>
      <c r="W84" s="53">
        <f>W51*Assumption_Hatchery!$C33</f>
        <v>0</v>
      </c>
      <c r="X84" s="53">
        <f>X51*Assumption_Hatchery!$C33</f>
        <v>0</v>
      </c>
      <c r="Y84" s="53">
        <f>Y51*Assumption_Hatchery!$C33</f>
        <v>0</v>
      </c>
      <c r="Z84" s="53">
        <f>Z51*Assumption_Hatchery!$C33</f>
        <v>0</v>
      </c>
    </row>
    <row r="85" spans="1:26" x14ac:dyDescent="0.25">
      <c r="A85" s="127" t="s">
        <v>59</v>
      </c>
      <c r="B85" s="40">
        <f>SUM(B76:B84)</f>
        <v>0</v>
      </c>
      <c r="C85" s="40">
        <f t="shared" ref="C85" si="85">SUM(C76:C84)</f>
        <v>165100.6</v>
      </c>
      <c r="D85" s="40">
        <f t="shared" ref="D85" si="86">SUM(D76:D84)</f>
        <v>317854.01500000001</v>
      </c>
      <c r="E85" s="40">
        <f t="shared" ref="E85" si="87">SUM(E76:E84)</f>
        <v>514506.09927000001</v>
      </c>
      <c r="F85" s="40">
        <f t="shared" ref="F85" si="88">SUM(F76:F84)</f>
        <v>411124.26140299998</v>
      </c>
      <c r="G85" s="40">
        <f t="shared" ref="G85" si="89">SUM(G76:G84)</f>
        <v>373835.50401703001</v>
      </c>
      <c r="H85" s="40">
        <f t="shared" ref="H85" si="90">SUM(H76:H84)</f>
        <v>381098.85905720032</v>
      </c>
      <c r="I85" s="40">
        <f t="shared" ref="I85" si="91">SUM(I76:I84)</f>
        <v>376764.34764777229</v>
      </c>
      <c r="J85" s="40">
        <f t="shared" ref="J85" si="92">SUM(J76:J84)</f>
        <v>376981.99112425005</v>
      </c>
      <c r="K85" s="40">
        <f t="shared" ref="K85" si="93">SUM(K76:K84)</f>
        <v>381751.81103549252</v>
      </c>
      <c r="L85" s="40">
        <f t="shared" ref="L85" si="94">SUM(L76:L84)</f>
        <v>377423.82914584747</v>
      </c>
      <c r="M85" s="40">
        <f t="shared" ref="M85" si="95">SUM(M76:M84)</f>
        <v>377648.06743730593</v>
      </c>
      <c r="N85" s="40">
        <f t="shared" ref="N85" si="96">SUM(N76:N84)</f>
        <v>382424.54811167897</v>
      </c>
      <c r="O85" s="40">
        <f t="shared" ref="O85" si="97">SUM(O76:O84)</f>
        <v>378103.29359279579</v>
      </c>
      <c r="P85" s="40">
        <f t="shared" ref="P85" si="98">SUM(P76:P84)</f>
        <v>378334.32652872376</v>
      </c>
      <c r="Q85" s="40">
        <f t="shared" ref="Q85" si="99">SUM(Q76:Q84)</f>
        <v>383117.66979401099</v>
      </c>
      <c r="R85" s="40">
        <f t="shared" ref="R85" si="100">SUM(R76:R84)</f>
        <v>378803.34649195109</v>
      </c>
      <c r="S85" s="40">
        <f t="shared" ref="S85" si="101">SUM(S76:S84)</f>
        <v>379041.37995687057</v>
      </c>
      <c r="T85" s="40">
        <f t="shared" ref="T85" si="102">SUM(T76:T84)</f>
        <v>383831.79375643929</v>
      </c>
      <c r="U85" s="40">
        <f t="shared" ref="U85" si="103">SUM(U76:U84)</f>
        <v>379524.61169400369</v>
      </c>
      <c r="V85" s="40">
        <f t="shared" ref="V85" si="104">SUM(V76:V84)</f>
        <v>379769.85781094374</v>
      </c>
      <c r="W85" s="40">
        <f t="shared" ref="W85" si="105">SUM(W76:W84)</f>
        <v>317804.04511124251</v>
      </c>
      <c r="X85" s="40">
        <f t="shared" ref="X85" si="106">SUM(X76:X84)</f>
        <v>215133.86597647186</v>
      </c>
      <c r="Y85" s="40">
        <f t="shared" ref="Y85" si="107">SUM(Y76:Y84)</f>
        <v>73052.040927247319</v>
      </c>
      <c r="Z85" s="40">
        <f t="shared" ref="Z85" si="108">SUM(Z76:Z84)</f>
        <v>25374.999999999996</v>
      </c>
    </row>
    <row r="86" spans="1:26" x14ac:dyDescent="0.25">
      <c r="B86" s="34"/>
      <c r="C86" s="34"/>
      <c r="D86" s="34"/>
      <c r="E86" s="34"/>
      <c r="F86" s="34"/>
      <c r="G86" s="34"/>
      <c r="H86" s="34"/>
      <c r="I86" s="34"/>
      <c r="J86" s="34"/>
      <c r="K86" s="34"/>
      <c r="L86" s="34"/>
    </row>
    <row r="87" spans="1:26" x14ac:dyDescent="0.25">
      <c r="A87" s="24" t="s">
        <v>60</v>
      </c>
      <c r="B87" s="36">
        <f>B73-B85</f>
        <v>0</v>
      </c>
      <c r="C87" s="36">
        <f t="shared" ref="C87:Z87" si="109">C73-C85</f>
        <v>-165100.6</v>
      </c>
      <c r="D87" s="36">
        <f t="shared" si="109"/>
        <v>-96769.014999999985</v>
      </c>
      <c r="E87" s="36">
        <f t="shared" si="109"/>
        <v>-118741.84077000001</v>
      </c>
      <c r="F87" s="36">
        <f t="shared" si="109"/>
        <v>48909.406597000081</v>
      </c>
      <c r="G87" s="36">
        <f t="shared" si="109"/>
        <v>95398.837342970073</v>
      </c>
      <c r="H87" s="36">
        <f t="shared" si="109"/>
        <v>85554.693425319798</v>
      </c>
      <c r="I87" s="36">
        <f t="shared" si="109"/>
        <v>111427.06110317173</v>
      </c>
      <c r="J87" s="36">
        <f t="shared" si="109"/>
        <v>120973.24580171285</v>
      </c>
      <c r="K87" s="36">
        <f t="shared" si="109"/>
        <v>113464.67208737758</v>
      </c>
      <c r="L87" s="36">
        <f t="shared" si="109"/>
        <v>140648.79935192439</v>
      </c>
      <c r="M87" s="36">
        <f t="shared" si="109"/>
        <v>150786.01363042125</v>
      </c>
      <c r="N87" s="36">
        <f t="shared" si="109"/>
        <v>143103.14551017579</v>
      </c>
      <c r="O87" s="36">
        <f t="shared" si="109"/>
        <v>171679.52435006766</v>
      </c>
      <c r="P87" s="36">
        <f t="shared" si="109"/>
        <v>182444.14777299698</v>
      </c>
      <c r="Q87" s="36">
        <f t="shared" si="109"/>
        <v>174576.52289905009</v>
      </c>
      <c r="R87" s="36">
        <f t="shared" si="109"/>
        <v>204630.57817155909</v>
      </c>
      <c r="S87" s="36">
        <f t="shared" si="109"/>
        <v>216061.2231999099</v>
      </c>
      <c r="T87" s="36">
        <f t="shared" si="109"/>
        <v>207997.7450829788</v>
      </c>
      <c r="U87" s="36">
        <f t="shared" si="109"/>
        <v>239620.13663031056</v>
      </c>
      <c r="V87" s="36">
        <f t="shared" si="109"/>
        <v>251757.78547985689</v>
      </c>
      <c r="W87" s="36">
        <f t="shared" si="109"/>
        <v>203639.34789091838</v>
      </c>
      <c r="X87" s="36">
        <f t="shared" si="109"/>
        <v>143386.81406340265</v>
      </c>
      <c r="Y87" s="36">
        <f t="shared" si="109"/>
        <v>33966.177800887061</v>
      </c>
      <c r="Z87" s="36">
        <f t="shared" si="109"/>
        <v>-15874.999999999996</v>
      </c>
    </row>
    <row r="88" spans="1:26" x14ac:dyDescent="0.25">
      <c r="B88" s="34"/>
      <c r="C88" s="34"/>
      <c r="D88" s="34"/>
      <c r="E88" s="34"/>
      <c r="F88" s="34"/>
      <c r="G88" s="34"/>
      <c r="H88" s="34"/>
      <c r="I88" s="34"/>
      <c r="J88" s="34"/>
      <c r="K88" s="34"/>
      <c r="L88" s="34"/>
    </row>
    <row r="89" spans="1:26" s="13" customFormat="1" x14ac:dyDescent="0.25">
      <c r="A89" s="24" t="s">
        <v>61</v>
      </c>
      <c r="B89" s="42">
        <f>B87/(1+Assumption_Hatchery!$C76)^B69</f>
        <v>0</v>
      </c>
      <c r="C89" s="42">
        <f>C87/(1+Assumption_Hatchery!$C76)^C69</f>
        <v>-151468.44036697247</v>
      </c>
      <c r="D89" s="42">
        <f>D87/(1+Assumption_Hatchery!$C76)^D69</f>
        <v>-81448.543893611626</v>
      </c>
      <c r="E89" s="42">
        <f>E87/(1+Assumption_Hatchery!$C76)^E69</f>
        <v>-91690.487834635351</v>
      </c>
      <c r="F89" s="42">
        <f>F87/(1+Assumption_Hatchery!$C76)^F69</f>
        <v>34648.656691553297</v>
      </c>
      <c r="G89" s="42">
        <f>G87/(1+Assumption_Hatchery!$C76)^G69</f>
        <v>62002.698605566889</v>
      </c>
      <c r="H89" s="42">
        <f>H87/(1+Assumption_Hatchery!$C76)^H69</f>
        <v>51013.468350686257</v>
      </c>
      <c r="I89" s="42">
        <f>I87/(1+Assumption_Hatchery!$C76)^I69</f>
        <v>60954.418225683716</v>
      </c>
      <c r="J89" s="42">
        <f>J87/(1+Assumption_Hatchery!$C76)^J69</f>
        <v>60712.392810444944</v>
      </c>
      <c r="K89" s="42">
        <f>K87/(1+Assumption_Hatchery!$C76)^K69</f>
        <v>52242.287022736477</v>
      </c>
      <c r="L89" s="42">
        <f>L87/(1+Assumption_Hatchery!$C76)^L69</f>
        <v>59411.572823156232</v>
      </c>
      <c r="M89" s="42">
        <f>M87/(1+Assumption_Hatchery!$C76)^M69</f>
        <v>58434.533657073938</v>
      </c>
      <c r="N89" s="42">
        <f>N87/(1+Assumption_Hatchery!$C76)^N69</f>
        <v>50878.137500433084</v>
      </c>
      <c r="O89" s="42">
        <f>O87/(1+Assumption_Hatchery!$C76)^O69</f>
        <v>55998.194950213583</v>
      </c>
      <c r="P89" s="42">
        <f>P87/(1+Assumption_Hatchery!$C76)^P69</f>
        <v>54595.766286717175</v>
      </c>
      <c r="Q89" s="42">
        <f>Q87/(1+Assumption_Hatchery!$C76)^Q69</f>
        <v>47927.896655959863</v>
      </c>
      <c r="R89" s="42">
        <f>R87/(1+Assumption_Hatchery!$C76)^R69</f>
        <v>51540.255159624459</v>
      </c>
      <c r="S89" s="42">
        <f>S87/(1+Assumption_Hatchery!$C76)^S69</f>
        <v>49925.953220284166</v>
      </c>
      <c r="T89" s="42">
        <f>T87/(1+Assumption_Hatchery!$C76)^T69</f>
        <v>44094.21992297173</v>
      </c>
      <c r="U89" s="42">
        <f>U87/(1+Assumption_Hatchery!$C76)^U69</f>
        <v>46603.64126567723</v>
      </c>
      <c r="V89" s="42">
        <f>V87/(1+Assumption_Hatchery!$C76)^V69</f>
        <v>44921.365672783977</v>
      </c>
      <c r="W89" s="42">
        <f>W87/(1+Assumption_Hatchery!$C76)^W69</f>
        <v>33335.367008125853</v>
      </c>
      <c r="X89" s="42">
        <f>X87/(1+Assumption_Hatchery!$C76)^X69</f>
        <v>21534.076943335924</v>
      </c>
      <c r="Y89" s="42">
        <f>Y87/(1+Assumption_Hatchery!$C76)^Y69</f>
        <v>4679.9070349119311</v>
      </c>
      <c r="Z89" s="42">
        <f>Z87/(1+Assumption_Hatchery!$C76)^Z69</f>
        <v>-2006.6784344785335</v>
      </c>
    </row>
    <row r="90" spans="1:26" x14ac:dyDescent="0.25">
      <c r="B90" s="34"/>
      <c r="C90" s="34"/>
      <c r="D90" s="34"/>
      <c r="E90" s="34"/>
      <c r="F90" s="34"/>
      <c r="G90" s="34"/>
      <c r="H90" s="34"/>
      <c r="I90" s="34"/>
      <c r="J90" s="34"/>
      <c r="K90" s="34"/>
      <c r="L90" s="34"/>
    </row>
    <row r="91" spans="1:26" s="13" customFormat="1" x14ac:dyDescent="0.25">
      <c r="A91" s="26" t="s">
        <v>62</v>
      </c>
      <c r="B91" s="37">
        <f>NPV(Assumption_Hatchery!C76,C87:Z87)+B87</f>
        <v>618840.6592782425</v>
      </c>
      <c r="C91" s="43"/>
      <c r="D91" s="43"/>
      <c r="E91" s="43"/>
      <c r="F91" s="43"/>
      <c r="G91" s="43"/>
      <c r="H91" s="43"/>
      <c r="I91" s="43"/>
      <c r="J91" s="43"/>
      <c r="K91" s="43"/>
      <c r="L91" s="43"/>
    </row>
    <row r="93" spans="1:26" s="13" customFormat="1" x14ac:dyDescent="0.25">
      <c r="A93" s="26" t="s">
        <v>25</v>
      </c>
      <c r="B93" s="38">
        <f>IRR(B87:Z87)</f>
        <v>0.22474763809099829</v>
      </c>
      <c r="C93" s="4"/>
      <c r="D93" s="4"/>
      <c r="E93" s="4"/>
      <c r="F93" s="4"/>
      <c r="G93" s="4"/>
      <c r="H93" s="4"/>
      <c r="I93" s="4"/>
      <c r="J93" s="4"/>
      <c r="K93" s="4"/>
      <c r="L93" s="4"/>
    </row>
    <row r="95" spans="1:26" s="13" customFormat="1" x14ac:dyDescent="0.25">
      <c r="A95" s="27" t="s">
        <v>63</v>
      </c>
      <c r="B95" s="39">
        <f>B89</f>
        <v>0</v>
      </c>
      <c r="C95" s="39">
        <f>B95+C89</f>
        <v>-151468.44036697247</v>
      </c>
      <c r="D95" s="39">
        <f t="shared" ref="D95" si="110">C95+D89</f>
        <v>-232916.98426058411</v>
      </c>
      <c r="E95" s="39">
        <f t="shared" ref="E95" si="111">D95+E89</f>
        <v>-324607.47209521948</v>
      </c>
      <c r="F95" s="39">
        <f t="shared" ref="F95" si="112">E95+F89</f>
        <v>-289958.81540366617</v>
      </c>
      <c r="G95" s="39">
        <f t="shared" ref="G95" si="113">F95+G89</f>
        <v>-227956.11679809928</v>
      </c>
      <c r="H95" s="39">
        <f t="shared" ref="H95" si="114">G95+H89</f>
        <v>-176942.64844741303</v>
      </c>
      <c r="I95" s="39">
        <f t="shared" ref="I95" si="115">H95+I89</f>
        <v>-115988.23022172932</v>
      </c>
      <c r="J95" s="39">
        <f t="shared" ref="J95" si="116">I95+J89</f>
        <v>-55275.837411284374</v>
      </c>
      <c r="K95" s="39">
        <f t="shared" ref="K95" si="117">J95+K89</f>
        <v>-3033.5503885478975</v>
      </c>
      <c r="L95" s="39">
        <f t="shared" ref="L95" si="118">K95+L89</f>
        <v>56378.022434608334</v>
      </c>
      <c r="M95" s="39">
        <f t="shared" ref="M95" si="119">L95+M89</f>
        <v>114812.55609168227</v>
      </c>
      <c r="N95" s="39">
        <f t="shared" ref="N95" si="120">M95+N89</f>
        <v>165690.69359211536</v>
      </c>
      <c r="O95" s="39">
        <f t="shared" ref="O95" si="121">N95+O89</f>
        <v>221688.88854232896</v>
      </c>
      <c r="P95" s="39">
        <f t="shared" ref="P95" si="122">O95+P89</f>
        <v>276284.65482904611</v>
      </c>
      <c r="Q95" s="39">
        <f t="shared" ref="Q95" si="123">P95+Q89</f>
        <v>324212.551485006</v>
      </c>
      <c r="R95" s="39">
        <f t="shared" ref="R95" si="124">Q95+R89</f>
        <v>375752.80664463044</v>
      </c>
      <c r="S95" s="39">
        <f t="shared" ref="S95" si="125">R95+S89</f>
        <v>425678.75986491458</v>
      </c>
      <c r="T95" s="39">
        <f t="shared" ref="T95" si="126">S95+T89</f>
        <v>469772.97978788632</v>
      </c>
      <c r="U95" s="39">
        <f t="shared" ref="U95" si="127">T95+U89</f>
        <v>516376.62105356355</v>
      </c>
      <c r="V95" s="39">
        <f t="shared" ref="V95" si="128">U95+V89</f>
        <v>561297.98672634747</v>
      </c>
      <c r="W95" s="39">
        <f t="shared" ref="W95" si="129">V95+W89</f>
        <v>594633.35373447335</v>
      </c>
      <c r="X95" s="39">
        <f t="shared" ref="X95" si="130">W95+X89</f>
        <v>616167.43067780929</v>
      </c>
      <c r="Y95" s="39">
        <f t="shared" ref="Y95" si="131">X95+Y89</f>
        <v>620847.3377127212</v>
      </c>
      <c r="Z95" s="39">
        <f t="shared" ref="Z95" si="132">Y95+Z89</f>
        <v>618840.65927824262</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Z95"/>
  <sheetViews>
    <sheetView showGridLines="0" zoomScale="70" zoomScaleNormal="70" workbookViewId="0">
      <selection activeCell="A35" sqref="A35"/>
    </sheetView>
  </sheetViews>
  <sheetFormatPr defaultColWidth="9" defaultRowHeight="15" x14ac:dyDescent="0.25"/>
  <cols>
    <col min="1" max="1" width="40.7109375" style="10" customWidth="1"/>
    <col min="2" max="2" width="12.7109375" style="28" customWidth="1"/>
    <col min="3" max="3" width="13" style="28" customWidth="1"/>
    <col min="4" max="4" width="17" style="28" customWidth="1"/>
    <col min="5" max="6" width="12.5703125" style="28" customWidth="1"/>
    <col min="7" max="7" width="11.85546875" style="28" customWidth="1"/>
    <col min="8" max="8" width="12.28515625" style="28" customWidth="1"/>
    <col min="9" max="9" width="11.7109375" style="28" customWidth="1"/>
    <col min="10" max="10" width="13" style="28" customWidth="1"/>
    <col min="11" max="11" width="12.7109375" style="28" customWidth="1"/>
    <col min="12" max="12" width="12.28515625" style="28" customWidth="1"/>
    <col min="13" max="23" width="13.7109375" style="3" customWidth="1"/>
    <col min="24" max="24" width="15.7109375" style="3" customWidth="1"/>
    <col min="25" max="25" width="11" style="3" customWidth="1"/>
    <col min="26" max="26" width="11.140625" style="3" customWidth="1"/>
    <col min="27" max="16384" width="9" style="3"/>
  </cols>
  <sheetData>
    <row r="2" spans="1:26" ht="38.25" customHeight="1" x14ac:dyDescent="0.25">
      <c r="A2" s="11" t="s">
        <v>77</v>
      </c>
      <c r="B2" s="32"/>
      <c r="C2" s="76"/>
      <c r="D2" s="77"/>
      <c r="E2" s="32"/>
      <c r="F2" s="126" t="s">
        <v>106</v>
      </c>
      <c r="G2" s="32"/>
      <c r="H2" s="32"/>
      <c r="I2" s="32"/>
      <c r="J2" s="32"/>
      <c r="K2" s="32"/>
      <c r="L2" s="32"/>
      <c r="M2" s="11"/>
    </row>
    <row r="3" spans="1:26" ht="15" customHeight="1" x14ac:dyDescent="0.25">
      <c r="A3" s="23"/>
      <c r="B3" s="32"/>
      <c r="C3" s="32"/>
      <c r="D3" s="32"/>
      <c r="E3" s="32"/>
      <c r="F3" s="32"/>
      <c r="G3" s="32"/>
      <c r="H3" s="32"/>
      <c r="I3" s="32"/>
      <c r="J3" s="32"/>
      <c r="K3" s="32"/>
      <c r="L3" s="32"/>
      <c r="M3" s="11"/>
    </row>
    <row r="4" spans="1:26" x14ac:dyDescent="0.25">
      <c r="A4" s="10" t="s">
        <v>22</v>
      </c>
      <c r="B4" s="28">
        <v>0</v>
      </c>
      <c r="C4" s="28">
        <v>1</v>
      </c>
      <c r="D4" s="28">
        <v>2</v>
      </c>
      <c r="E4" s="28">
        <v>3</v>
      </c>
      <c r="F4" s="28">
        <v>4</v>
      </c>
      <c r="G4" s="28">
        <v>5</v>
      </c>
      <c r="H4" s="28">
        <v>6</v>
      </c>
      <c r="I4" s="28">
        <v>7</v>
      </c>
      <c r="J4" s="28">
        <v>8</v>
      </c>
      <c r="K4" s="28">
        <v>9</v>
      </c>
      <c r="L4" s="28">
        <v>10</v>
      </c>
      <c r="M4" s="28">
        <v>11</v>
      </c>
      <c r="N4" s="28">
        <v>12</v>
      </c>
      <c r="O4" s="28">
        <v>13</v>
      </c>
      <c r="P4" s="28">
        <v>14</v>
      </c>
      <c r="Q4" s="28">
        <v>15</v>
      </c>
      <c r="R4" s="28">
        <v>16</v>
      </c>
      <c r="S4" s="28">
        <v>17</v>
      </c>
      <c r="T4" s="28">
        <v>18</v>
      </c>
      <c r="U4" s="28">
        <v>19</v>
      </c>
      <c r="V4" s="28">
        <v>20</v>
      </c>
      <c r="W4" s="28">
        <v>21</v>
      </c>
      <c r="X4" s="28">
        <v>22</v>
      </c>
      <c r="Y4" s="28">
        <v>23</v>
      </c>
      <c r="Z4" s="28">
        <v>24</v>
      </c>
    </row>
    <row r="5" spans="1:26" x14ac:dyDescent="0.25">
      <c r="A5" s="24" t="s">
        <v>23</v>
      </c>
    </row>
    <row r="6" spans="1:26" x14ac:dyDescent="0.25">
      <c r="A6" s="10" t="s">
        <v>56</v>
      </c>
      <c r="B6" s="33">
        <v>0</v>
      </c>
      <c r="C6" s="33">
        <v>0</v>
      </c>
      <c r="D6" s="33">
        <f>Assumption_Hatchery!F18*Assumption_Hatchery!F144*Assumption_Hatchery!F145*(1+Assumption_Hatchery!F146)^Assumption_Hatchery!F143</f>
        <v>221085.00000000003</v>
      </c>
      <c r="E6" s="146">
        <f>Assumption_Hatchery!G18*Assumption_Hatchery!G144*Assumption_Hatchery!G145*(1+Assumption_Hatchery!G146)^Assumption_Hatchery!G143*(1+Assumption_Hatchery!$S121)</f>
        <v>375976.045575</v>
      </c>
      <c r="F6" s="33">
        <f>Assumption_Hatchery!H18*Assumption_Hatchery!H144*Assumption_Hatchery!H145*(1+Assumption_Hatchery!H146)^Assumption_Hatchery!H143</f>
        <v>460033.66800000006</v>
      </c>
      <c r="G6" s="33">
        <f>Assumption_Hatchery!I18*Assumption_Hatchery!I144*Assumption_Hatchery!I145*(1+Assumption_Hatchery!I146)^Assumption_Hatchery!I143</f>
        <v>469234.34136000008</v>
      </c>
      <c r="H6" s="146">
        <f>Assumption_Hatchery!J18*Assumption_Hatchery!J144*Assumption_Hatchery!J145*(1+Assumption_Hatchery!J146)^Assumption_Hatchery!J143*(1+Assumption_Hatchery!$S121)</f>
        <v>443320.87485839409</v>
      </c>
      <c r="I6" s="33">
        <f>Assumption_Hatchery!K18*Assumption_Hatchery!K144*Assumption_Hatchery!K145*(1+Assumption_Hatchery!K146)^Assumption_Hatchery!K143</f>
        <v>488191.40875094401</v>
      </c>
      <c r="J6" s="33">
        <f>Assumption_Hatchery!L18*Assumption_Hatchery!L144*Assumption_Hatchery!L145*(1+Assumption_Hatchery!L146)^Assumption_Hatchery!L143</f>
        <v>497955.2369259629</v>
      </c>
      <c r="K6" s="146">
        <f>Assumption_Hatchery!M18*Assumption_Hatchery!M144*Assumption_Hatchery!M145*(1+Assumption_Hatchery!M146)^Assumption_Hatchery!M143*(1+Assumption_Hatchery!$S121)</f>
        <v>470455.65896672657</v>
      </c>
      <c r="L6" s="33">
        <f>Assumption_Hatchery!N18*Assumption_Hatchery!N144*Assumption_Hatchery!N145*(1+Assumption_Hatchery!N146)^Assumption_Hatchery!N143</f>
        <v>518072.62849777186</v>
      </c>
      <c r="M6" s="33">
        <f>Assumption_Hatchery!O18*Assumption_Hatchery!O144*Assumption_Hatchery!O145*(1+Assumption_Hatchery!O146)^Assumption_Hatchery!O143</f>
        <v>528434.08106772718</v>
      </c>
      <c r="N6" s="146">
        <f>Assumption_Hatchery!P18*Assumption_Hatchery!P144*Assumption_Hatchery!P145*(1+Assumption_Hatchery!P146)^Assumption_Hatchery!P143*(1+Assumption_Hatchery!$S121)</f>
        <v>499251.30894076201</v>
      </c>
      <c r="O6" s="33">
        <f>Assumption_Hatchery!Q18*Assumption_Hatchery!Q144*Assumption_Hatchery!Q145*(1+Assumption_Hatchery!Q146)^Assumption_Hatchery!Q143</f>
        <v>549782.81794286345</v>
      </c>
      <c r="P6" s="33">
        <f>Assumption_Hatchery!R18*Assumption_Hatchery!R144*Assumption_Hatchery!R145*(1+Assumption_Hatchery!R146)^Assumption_Hatchery!R143</f>
        <v>560778.47430172074</v>
      </c>
      <c r="Q6" s="146">
        <f>Assumption_Hatchery!S18*Assumption_Hatchery!S144*Assumption_Hatchery!S145*(1+Assumption_Hatchery!S146)^Assumption_Hatchery!S143*(1+Assumption_Hatchery!$S121)</f>
        <v>529809.48305840802</v>
      </c>
      <c r="R6" s="33">
        <f>Assumption_Hatchery!T18*Assumption_Hatchery!T144*Assumption_Hatchery!T145*(1+Assumption_Hatchery!T146)^Assumption_Hatchery!T143</f>
        <v>583433.92466351017</v>
      </c>
      <c r="S6" s="33">
        <f>Assumption_Hatchery!U18*Assumption_Hatchery!U144*Assumption_Hatchery!U145*(1+Assumption_Hatchery!U146)^Assumption_Hatchery!U143</f>
        <v>595102.60315678047</v>
      </c>
      <c r="T6" s="146">
        <f>Assumption_Hatchery!V18*Assumption_Hatchery!V144*Assumption_Hatchery!V145*(1+Assumption_Hatchery!V146)^Assumption_Hatchery!V143*(1+Assumption_Hatchery!$S121)</f>
        <v>562238.06189744722</v>
      </c>
      <c r="U6" s="33">
        <f>Assumption_Hatchery!W18*Assumption_Hatchery!W144*Assumption_Hatchery!W145*(1+Assumption_Hatchery!W146)^Assumption_Hatchery!W143</f>
        <v>619144.74832431425</v>
      </c>
      <c r="V6" s="33">
        <f>Assumption_Hatchery!X18*Assumption_Hatchery!X144*Assumption_Hatchery!X145*(1+Assumption_Hatchery!X146)^Assumption_Hatchery!X143</f>
        <v>631527.64329080062</v>
      </c>
      <c r="W6" s="146">
        <f>Assumption_Hatchery!Y18*Assumption_Hatchery!Y144*Assumption_Hatchery!Y145*(1+Assumption_Hatchery!Y146)^Assumption_Hatchery!Y143*(1+Assumption_Hatchery!$S121)</f>
        <v>477321.2233520528</v>
      </c>
      <c r="X6" s="33">
        <f>Assumption_Hatchery!Z18*Assumption_Hatchery!Z144*Assumption_Hatchery!Z145*(1+Assumption_Hatchery!Z146)^Assumption_Hatchery!Z143</f>
        <v>328520.68003987451</v>
      </c>
      <c r="Y6" s="33">
        <f>Assumption_Hatchery!AA18*Assumption_Hatchery!AA144*Assumption_Hatchery!AA145*(1+Assumption_Hatchery!AA146)^Assumption_Hatchery!AA143</f>
        <v>67018.218728134379</v>
      </c>
      <c r="Z6" s="146">
        <f>Assumption_Hatchery!AB18*Assumption_Hatchery!AB144*Assumption_Hatchery!AB145*(1+Assumption_Hatchery!AB146)^Assumption_Hatchery!AB143*(1+Assumption_Hatchery!$S121)</f>
        <v>0</v>
      </c>
    </row>
    <row r="7" spans="1:26" x14ac:dyDescent="0.25">
      <c r="A7" s="10" t="s">
        <v>57</v>
      </c>
      <c r="B7" s="33">
        <f>Assumption_Hatchery!D17*Assumption_Hatchery!D147</f>
        <v>0</v>
      </c>
      <c r="C7" s="33">
        <f>Assumption_Hatchery!E17*Assumption_Hatchery!E147</f>
        <v>0</v>
      </c>
      <c r="D7" s="33">
        <f>Assumption_Hatchery!F17*Assumption_Hatchery!F147</f>
        <v>0</v>
      </c>
      <c r="E7" s="33">
        <f>Assumption_Hatchery!G17*Assumption_Hatchery!G147</f>
        <v>0</v>
      </c>
      <c r="F7" s="33">
        <f>Assumption_Hatchery!H17*Assumption_Hatchery!H147</f>
        <v>0</v>
      </c>
      <c r="G7" s="33">
        <f>Assumption_Hatchery!I17*Assumption_Hatchery!I147</f>
        <v>0</v>
      </c>
      <c r="H7" s="33">
        <f>Assumption_Hatchery!J17*Assumption_Hatchery!J147</f>
        <v>0</v>
      </c>
      <c r="I7" s="33">
        <f>Assumption_Hatchery!K17*Assumption_Hatchery!K147</f>
        <v>0</v>
      </c>
      <c r="J7" s="33">
        <f>Assumption_Hatchery!L17*Assumption_Hatchery!L147</f>
        <v>0</v>
      </c>
      <c r="K7" s="33">
        <f>Assumption_Hatchery!M17*Assumption_Hatchery!M147</f>
        <v>0</v>
      </c>
      <c r="L7" s="33">
        <f>Assumption_Hatchery!N17*Assumption_Hatchery!N147</f>
        <v>0</v>
      </c>
      <c r="M7" s="33">
        <f>Assumption_Hatchery!O17*Assumption_Hatchery!O147</f>
        <v>0</v>
      </c>
      <c r="N7" s="33">
        <f>Assumption_Hatchery!P17*Assumption_Hatchery!P147</f>
        <v>0</v>
      </c>
      <c r="O7" s="33">
        <f>Assumption_Hatchery!Q17*Assumption_Hatchery!Q147</f>
        <v>0</v>
      </c>
      <c r="P7" s="33">
        <f>Assumption_Hatchery!R17*Assumption_Hatchery!R147</f>
        <v>0</v>
      </c>
      <c r="Q7" s="33">
        <f>Assumption_Hatchery!S17*Assumption_Hatchery!S147</f>
        <v>0</v>
      </c>
      <c r="R7" s="33">
        <f>Assumption_Hatchery!T17*Assumption_Hatchery!T147</f>
        <v>0</v>
      </c>
      <c r="S7" s="33">
        <f>Assumption_Hatchery!U17*Assumption_Hatchery!U147</f>
        <v>0</v>
      </c>
      <c r="T7" s="33">
        <f>Assumption_Hatchery!V17*Assumption_Hatchery!V147</f>
        <v>0</v>
      </c>
      <c r="U7" s="33">
        <f>Assumption_Hatchery!W17*Assumption_Hatchery!W147</f>
        <v>0</v>
      </c>
      <c r="V7" s="33">
        <f>Assumption_Hatchery!X17*Assumption_Hatchery!X147</f>
        <v>0</v>
      </c>
      <c r="W7" s="146">
        <f>Assumption_Hatchery!Y17*Assumption_Hatchery!Y147*(1+Assumption_Hatchery!$S124)</f>
        <v>16625</v>
      </c>
      <c r="X7" s="33">
        <f>Assumption_Hatchery!Z17*Assumption_Hatchery!Z147</f>
        <v>30000</v>
      </c>
      <c r="Y7" s="33">
        <f>Assumption_Hatchery!AA17*Assumption_Hatchery!AA147</f>
        <v>40000</v>
      </c>
      <c r="Z7" s="146">
        <f>Assumption_Hatchery!AB17*Assumption_Hatchery!AB147*(1+Assumption_Hatchery!$S124)</f>
        <v>8312.5</v>
      </c>
    </row>
    <row r="8" spans="1:26" s="13" customFormat="1" x14ac:dyDescent="0.25">
      <c r="A8" s="24" t="s">
        <v>58</v>
      </c>
      <c r="B8" s="41">
        <f t="shared" ref="B8:Z8" si="0">(B6+B7)</f>
        <v>0</v>
      </c>
      <c r="C8" s="41">
        <f t="shared" si="0"/>
        <v>0</v>
      </c>
      <c r="D8" s="41">
        <f t="shared" si="0"/>
        <v>221085.00000000003</v>
      </c>
      <c r="E8" s="41">
        <f t="shared" si="0"/>
        <v>375976.045575</v>
      </c>
      <c r="F8" s="41">
        <f t="shared" si="0"/>
        <v>460033.66800000006</v>
      </c>
      <c r="G8" s="41">
        <f t="shared" si="0"/>
        <v>469234.34136000008</v>
      </c>
      <c r="H8" s="41">
        <f t="shared" si="0"/>
        <v>443320.87485839409</v>
      </c>
      <c r="I8" s="41">
        <f t="shared" si="0"/>
        <v>488191.40875094401</v>
      </c>
      <c r="J8" s="41">
        <f t="shared" si="0"/>
        <v>497955.2369259629</v>
      </c>
      <c r="K8" s="41">
        <f t="shared" si="0"/>
        <v>470455.65896672657</v>
      </c>
      <c r="L8" s="41">
        <f t="shared" si="0"/>
        <v>518072.62849777186</v>
      </c>
      <c r="M8" s="41">
        <f t="shared" si="0"/>
        <v>528434.08106772718</v>
      </c>
      <c r="N8" s="41">
        <f t="shared" si="0"/>
        <v>499251.30894076201</v>
      </c>
      <c r="O8" s="41">
        <f t="shared" si="0"/>
        <v>549782.81794286345</v>
      </c>
      <c r="P8" s="41">
        <f t="shared" si="0"/>
        <v>560778.47430172074</v>
      </c>
      <c r="Q8" s="41">
        <f t="shared" si="0"/>
        <v>529809.48305840802</v>
      </c>
      <c r="R8" s="41">
        <f t="shared" si="0"/>
        <v>583433.92466351017</v>
      </c>
      <c r="S8" s="41">
        <f t="shared" si="0"/>
        <v>595102.60315678047</v>
      </c>
      <c r="T8" s="41">
        <f t="shared" si="0"/>
        <v>562238.06189744722</v>
      </c>
      <c r="U8" s="41">
        <f t="shared" si="0"/>
        <v>619144.74832431425</v>
      </c>
      <c r="V8" s="41">
        <f t="shared" si="0"/>
        <v>631527.64329080062</v>
      </c>
      <c r="W8" s="41">
        <f t="shared" si="0"/>
        <v>493946.2233520528</v>
      </c>
      <c r="X8" s="41">
        <f t="shared" si="0"/>
        <v>358520.68003987451</v>
      </c>
      <c r="Y8" s="41">
        <f t="shared" si="0"/>
        <v>107018.21872813438</v>
      </c>
      <c r="Z8" s="41">
        <f t="shared" si="0"/>
        <v>8312.5</v>
      </c>
    </row>
    <row r="9" spans="1:26" x14ac:dyDescent="0.25">
      <c r="A9" s="24"/>
      <c r="B9" s="44"/>
      <c r="C9" s="44"/>
      <c r="D9" s="44"/>
      <c r="E9" s="44"/>
      <c r="F9" s="44"/>
      <c r="G9" s="44"/>
      <c r="H9" s="44"/>
      <c r="I9" s="44"/>
      <c r="J9" s="44"/>
      <c r="K9" s="44"/>
    </row>
    <row r="10" spans="1:26" x14ac:dyDescent="0.25">
      <c r="A10" s="24" t="s">
        <v>24</v>
      </c>
    </row>
    <row r="11" spans="1:26" x14ac:dyDescent="0.25">
      <c r="A11" s="9" t="s">
        <v>49</v>
      </c>
      <c r="B11" s="35">
        <f>Assumption_Hatchery!D151*Assumption_Hatchery!D6</f>
        <v>0</v>
      </c>
      <c r="C11" s="35">
        <f>Assumption_Hatchery!E151*Assumption_Hatchery!E6</f>
        <v>100000</v>
      </c>
      <c r="D11" s="35">
        <f>Assumption_Hatchery!F151*Assumption_Hatchery!F6</f>
        <v>150000</v>
      </c>
      <c r="E11" s="35">
        <f>Assumption_Hatchery!G151*Assumption_Hatchery!G6</f>
        <v>200000</v>
      </c>
      <c r="F11" s="35">
        <f>Assumption_Hatchery!H151*Assumption_Hatchery!H6</f>
        <v>50000</v>
      </c>
      <c r="G11" s="35">
        <f>Assumption_Hatchery!I151*Assumption_Hatchery!I6</f>
        <v>0</v>
      </c>
      <c r="H11" s="35">
        <f>Assumption_Hatchery!J151*Assumption_Hatchery!J6</f>
        <v>0</v>
      </c>
      <c r="I11" s="35">
        <f>Assumption_Hatchery!K151*Assumption_Hatchery!K6</f>
        <v>0</v>
      </c>
      <c r="J11" s="35">
        <f>Assumption_Hatchery!L151*Assumption_Hatchery!L6</f>
        <v>0</v>
      </c>
      <c r="K11" s="35">
        <f>Assumption_Hatchery!M151*Assumption_Hatchery!M6</f>
        <v>0</v>
      </c>
      <c r="L11" s="35">
        <f>Assumption_Hatchery!N151*Assumption_Hatchery!N6</f>
        <v>0</v>
      </c>
      <c r="M11" s="35">
        <f>Assumption_Hatchery!O151*Assumption_Hatchery!O6</f>
        <v>0</v>
      </c>
      <c r="N11" s="35">
        <f>Assumption_Hatchery!P151*Assumption_Hatchery!P6</f>
        <v>0</v>
      </c>
      <c r="O11" s="35">
        <f>Assumption_Hatchery!Q151*Assumption_Hatchery!Q6</f>
        <v>0</v>
      </c>
      <c r="P11" s="35">
        <f>Assumption_Hatchery!R151*Assumption_Hatchery!R6</f>
        <v>0</v>
      </c>
      <c r="Q11" s="35">
        <f>Assumption_Hatchery!S151*Assumption_Hatchery!S6</f>
        <v>0</v>
      </c>
      <c r="R11" s="35">
        <f>Assumption_Hatchery!T151*Assumption_Hatchery!T6</f>
        <v>0</v>
      </c>
      <c r="S11" s="35">
        <f>Assumption_Hatchery!U151*Assumption_Hatchery!U6</f>
        <v>0</v>
      </c>
      <c r="T11" s="35">
        <f>Assumption_Hatchery!V151*Assumption_Hatchery!V6</f>
        <v>0</v>
      </c>
      <c r="U11" s="35">
        <f>Assumption_Hatchery!W151*Assumption_Hatchery!W6</f>
        <v>0</v>
      </c>
      <c r="V11" s="35">
        <f>Assumption_Hatchery!X151*Assumption_Hatchery!X6</f>
        <v>0</v>
      </c>
      <c r="W11" s="35">
        <f>Assumption_Hatchery!Y151*Assumption_Hatchery!Y6</f>
        <v>0</v>
      </c>
      <c r="X11" s="35">
        <f>Assumption_Hatchery!Z151*Assumption_Hatchery!Z6</f>
        <v>0</v>
      </c>
      <c r="Y11" s="35">
        <f>Assumption_Hatchery!AA151*Assumption_Hatchery!AA6</f>
        <v>0</v>
      </c>
      <c r="Z11" s="35">
        <f>Assumption_Hatchery!AB151*Assumption_Hatchery!AB6</f>
        <v>0</v>
      </c>
    </row>
    <row r="12" spans="1:26" x14ac:dyDescent="0.25">
      <c r="A12" s="131" t="s">
        <v>128</v>
      </c>
      <c r="B12" s="35">
        <v>0</v>
      </c>
      <c r="C12" s="35">
        <v>0</v>
      </c>
      <c r="D12" s="35">
        <f>Assumption_Hatchery!E6*Assumption_Hatchery!F152</f>
        <v>5000</v>
      </c>
      <c r="E12" s="147">
        <f>(Assumption_Hatchery!F16*Assumption_Hatchery!G152)+(Assumption_Hatchery!E18*Assumption_Hatchery!G153)*(1+Assumption_Hatchery!$S129)</f>
        <v>18016.249999999996</v>
      </c>
      <c r="F12" s="35">
        <f>(Assumption_Hatchery!G16*Assumption_Hatchery!H152)+(Assumption_Hatchery!F18*Assumption_Hatchery!H153)</f>
        <v>35000</v>
      </c>
      <c r="G12" s="35">
        <f>(Assumption_Hatchery!H16*Assumption_Hatchery!I152)+(Assumption_Hatchery!G18*Assumption_Hatchery!I153)</f>
        <v>47500</v>
      </c>
      <c r="H12" s="147">
        <f>(Assumption_Hatchery!I16*Assumption_Hatchery!J152)+(Assumption_Hatchery!H18*Assumption_Hatchery!J153)*(1+Assumption_Hatchery!$S129)</f>
        <v>52018.749999999985</v>
      </c>
      <c r="I12" s="35">
        <f>(Assumption_Hatchery!J16*Assumption_Hatchery!K152)+(Assumption_Hatchery!I18*Assumption_Hatchery!K153)</f>
        <v>50000</v>
      </c>
      <c r="J12" s="35">
        <f>(Assumption_Hatchery!K16*Assumption_Hatchery!L152)+(Assumption_Hatchery!J18*Assumption_Hatchery!L153)</f>
        <v>50000</v>
      </c>
      <c r="K12" s="147">
        <f>(Assumption_Hatchery!L16*Assumption_Hatchery!M152)+(Assumption_Hatchery!K18*Assumption_Hatchery!M153)*(1+Assumption_Hatchery!$S129)</f>
        <v>52018.749999999985</v>
      </c>
      <c r="L12" s="35">
        <f>(Assumption_Hatchery!M16*Assumption_Hatchery!N152)+(Assumption_Hatchery!L18*Assumption_Hatchery!N153)</f>
        <v>50000</v>
      </c>
      <c r="M12" s="35">
        <f>(Assumption_Hatchery!N16*Assumption_Hatchery!O152)+(Assumption_Hatchery!M18*Assumption_Hatchery!O153)</f>
        <v>50000</v>
      </c>
      <c r="N12" s="147">
        <f>(Assumption_Hatchery!O16*Assumption_Hatchery!P152)+(Assumption_Hatchery!N18*Assumption_Hatchery!P153)*(1+Assumption_Hatchery!$S129)</f>
        <v>52018.749999999985</v>
      </c>
      <c r="O12" s="35">
        <f>(Assumption_Hatchery!P16*Assumption_Hatchery!Q152)+(Assumption_Hatchery!O18*Assumption_Hatchery!Q153)</f>
        <v>50000</v>
      </c>
      <c r="P12" s="35">
        <f>(Assumption_Hatchery!Q16*Assumption_Hatchery!R152)+(Assumption_Hatchery!P18*Assumption_Hatchery!R153)</f>
        <v>50000</v>
      </c>
      <c r="Q12" s="147">
        <f>(Assumption_Hatchery!R16*Assumption_Hatchery!S152)+(Assumption_Hatchery!Q18*Assumption_Hatchery!S153)*(1+Assumption_Hatchery!$S129)</f>
        <v>52018.749999999985</v>
      </c>
      <c r="R12" s="35">
        <f>(Assumption_Hatchery!S16*Assumption_Hatchery!T152)+(Assumption_Hatchery!R18*Assumption_Hatchery!T153)</f>
        <v>50000</v>
      </c>
      <c r="S12" s="35">
        <f>(Assumption_Hatchery!T16*Assumption_Hatchery!U152)+(Assumption_Hatchery!S18*Assumption_Hatchery!U153)</f>
        <v>50000</v>
      </c>
      <c r="T12" s="147">
        <f>(Assumption_Hatchery!U16*Assumption_Hatchery!V152)+(Assumption_Hatchery!T18*Assumption_Hatchery!V153)*(1+Assumption_Hatchery!$S129)</f>
        <v>52018.749999999985</v>
      </c>
      <c r="U12" s="35">
        <f>(Assumption_Hatchery!V16*Assumption_Hatchery!W152)+(Assumption_Hatchery!U18*Assumption_Hatchery!W153)</f>
        <v>50000</v>
      </c>
      <c r="V12" s="35">
        <f>(Assumption_Hatchery!W16*Assumption_Hatchery!X152)+(Assumption_Hatchery!V18*Assumption_Hatchery!X153)</f>
        <v>50000</v>
      </c>
      <c r="W12" s="147">
        <f>(Assumption_Hatchery!X16*Assumption_Hatchery!Y152)+(Assumption_Hatchery!W18*Assumption_Hatchery!Y153)*(1+Assumption_Hatchery!$S129)</f>
        <v>52018.749999999985</v>
      </c>
      <c r="X12" s="35">
        <f>(Assumption_Hatchery!Y16*Assumption_Hatchery!Z152)+(Assumption_Hatchery!X18*Assumption_Hatchery!Z153)</f>
        <v>50000</v>
      </c>
      <c r="Y12" s="35">
        <f>(Assumption_Hatchery!Z16*Assumption_Hatchery!AA152)+(Assumption_Hatchery!Y18*Assumption_Hatchery!AA153)</f>
        <v>40000</v>
      </c>
      <c r="Z12" s="147">
        <f>(Assumption_Hatchery!AA16*Assumption_Hatchery!AB152)+(Assumption_Hatchery!Z18*Assumption_Hatchery!AB153)*(1+Assumption_Hatchery!$S129)</f>
        <v>26009.374999999993</v>
      </c>
    </row>
    <row r="13" spans="1:26" x14ac:dyDescent="0.25">
      <c r="A13" s="9" t="s">
        <v>53</v>
      </c>
      <c r="B13" s="35">
        <f>Assumption_Hatchery!D18*Assumption_Hatchery!D155</f>
        <v>0</v>
      </c>
      <c r="C13" s="35">
        <f>Assumption_Hatchery!E18*Assumption_Hatchery!E154</f>
        <v>10000</v>
      </c>
      <c r="D13" s="35">
        <f>Assumption_Hatchery!F18*Assumption_Hatchery!F154</f>
        <v>25000</v>
      </c>
      <c r="E13" s="35">
        <f>Assumption_Hatchery!G18*Assumption_Hatchery!G154</f>
        <v>45000</v>
      </c>
      <c r="F13" s="35">
        <f>Assumption_Hatchery!H18*Assumption_Hatchery!H154</f>
        <v>50000</v>
      </c>
      <c r="G13" s="35">
        <f>Assumption_Hatchery!I18*Assumption_Hatchery!I154</f>
        <v>50000</v>
      </c>
      <c r="H13" s="35">
        <f>Assumption_Hatchery!J18*Assumption_Hatchery!J154</f>
        <v>50000</v>
      </c>
      <c r="I13" s="35">
        <f>Assumption_Hatchery!K18*Assumption_Hatchery!K154</f>
        <v>50000</v>
      </c>
      <c r="J13" s="35">
        <f>Assumption_Hatchery!L18*Assumption_Hatchery!L154</f>
        <v>50000</v>
      </c>
      <c r="K13" s="35">
        <f>Assumption_Hatchery!M18*Assumption_Hatchery!M154</f>
        <v>50000</v>
      </c>
      <c r="L13" s="35">
        <f>Assumption_Hatchery!N18*Assumption_Hatchery!N154</f>
        <v>50000</v>
      </c>
      <c r="M13" s="35">
        <f>Assumption_Hatchery!O18*Assumption_Hatchery!O154</f>
        <v>50000</v>
      </c>
      <c r="N13" s="35">
        <f>Assumption_Hatchery!P18*Assumption_Hatchery!P154</f>
        <v>50000</v>
      </c>
      <c r="O13" s="35">
        <f>Assumption_Hatchery!Q18*Assumption_Hatchery!Q154</f>
        <v>50000</v>
      </c>
      <c r="P13" s="35">
        <f>Assumption_Hatchery!R18*Assumption_Hatchery!R154</f>
        <v>50000</v>
      </c>
      <c r="Q13" s="35">
        <f>Assumption_Hatchery!S18*Assumption_Hatchery!S154</f>
        <v>50000</v>
      </c>
      <c r="R13" s="35">
        <f>Assumption_Hatchery!T18*Assumption_Hatchery!T154</f>
        <v>50000</v>
      </c>
      <c r="S13" s="35">
        <f>Assumption_Hatchery!U18*Assumption_Hatchery!U154</f>
        <v>50000</v>
      </c>
      <c r="T13" s="35">
        <f>Assumption_Hatchery!V18*Assumption_Hatchery!V154</f>
        <v>50000</v>
      </c>
      <c r="U13" s="35">
        <f>Assumption_Hatchery!W18*Assumption_Hatchery!W154</f>
        <v>50000</v>
      </c>
      <c r="V13" s="35">
        <f>Assumption_Hatchery!X18*Assumption_Hatchery!X154</f>
        <v>50000</v>
      </c>
      <c r="W13" s="35">
        <f>Assumption_Hatchery!Y18*Assumption_Hatchery!Y154</f>
        <v>40000</v>
      </c>
      <c r="X13" s="35">
        <f>Assumption_Hatchery!Z18*Assumption_Hatchery!Z154</f>
        <v>25000</v>
      </c>
      <c r="Y13" s="35">
        <f>Assumption_Hatchery!AA18*Assumption_Hatchery!AA154</f>
        <v>5000</v>
      </c>
      <c r="Z13" s="35">
        <f>Assumption_Hatchery!AB18*Assumption_Hatchery!AB154</f>
        <v>0</v>
      </c>
    </row>
    <row r="14" spans="1:26" x14ac:dyDescent="0.25">
      <c r="A14" s="131" t="s">
        <v>55</v>
      </c>
      <c r="B14" s="35">
        <f>Assumption_Hatchery!D18*Assumption_Hatchery!D155</f>
        <v>0</v>
      </c>
      <c r="C14" s="35">
        <f>Assumption_Hatchery!E18*Assumption_Hatchery!E155</f>
        <v>10000</v>
      </c>
      <c r="D14" s="35">
        <f>Assumption_Hatchery!F18*Assumption_Hatchery!F155</f>
        <v>25000</v>
      </c>
      <c r="E14" s="147">
        <f>Assumption_Hatchery!G18*Assumption_Hatchery!G155*(1+Assumption_Hatchery!$S132)</f>
        <v>49584.375</v>
      </c>
      <c r="F14" s="35">
        <f>Assumption_Hatchery!H18*Assumption_Hatchery!H155</f>
        <v>50000</v>
      </c>
      <c r="G14" s="35">
        <f>Assumption_Hatchery!I18*Assumption_Hatchery!I155</f>
        <v>50000</v>
      </c>
      <c r="H14" s="147">
        <f>Assumption_Hatchery!J18*Assumption_Hatchery!J155*(1+Assumption_Hatchery!$S132)</f>
        <v>55093.75</v>
      </c>
      <c r="I14" s="35">
        <f>Assumption_Hatchery!K18*Assumption_Hatchery!K155</f>
        <v>50000</v>
      </c>
      <c r="J14" s="35">
        <f>Assumption_Hatchery!L18*Assumption_Hatchery!L155</f>
        <v>50000</v>
      </c>
      <c r="K14" s="147">
        <f>Assumption_Hatchery!M18*Assumption_Hatchery!M155*(1+Assumption_Hatchery!$S132)</f>
        <v>55093.75</v>
      </c>
      <c r="L14" s="35">
        <f>Assumption_Hatchery!N18*Assumption_Hatchery!N155</f>
        <v>50000</v>
      </c>
      <c r="M14" s="35">
        <f>Assumption_Hatchery!O18*Assumption_Hatchery!O155</f>
        <v>50000</v>
      </c>
      <c r="N14" s="147">
        <f>Assumption_Hatchery!P18*Assumption_Hatchery!P155*(1+Assumption_Hatchery!$S132)</f>
        <v>55093.75</v>
      </c>
      <c r="O14" s="35">
        <f>Assumption_Hatchery!Q18*Assumption_Hatchery!Q155</f>
        <v>50000</v>
      </c>
      <c r="P14" s="35">
        <f>Assumption_Hatchery!R18*Assumption_Hatchery!R155</f>
        <v>50000</v>
      </c>
      <c r="Q14" s="147">
        <f>Assumption_Hatchery!S18*Assumption_Hatchery!S155*(1+Assumption_Hatchery!$S132)</f>
        <v>55093.75</v>
      </c>
      <c r="R14" s="35">
        <f>Assumption_Hatchery!T18*Assumption_Hatchery!T155</f>
        <v>50000</v>
      </c>
      <c r="S14" s="35">
        <f>Assumption_Hatchery!U18*Assumption_Hatchery!U155</f>
        <v>50000</v>
      </c>
      <c r="T14" s="147">
        <f>Assumption_Hatchery!V18*Assumption_Hatchery!V155*(1+Assumption_Hatchery!$S132)</f>
        <v>55093.75</v>
      </c>
      <c r="U14" s="35">
        <f>Assumption_Hatchery!W18*Assumption_Hatchery!W155</f>
        <v>50000</v>
      </c>
      <c r="V14" s="35">
        <f>Assumption_Hatchery!X18*Assumption_Hatchery!X155</f>
        <v>50000</v>
      </c>
      <c r="W14" s="147">
        <f>Assumption_Hatchery!Y18*Assumption_Hatchery!Y155*(1+Assumption_Hatchery!$S132)</f>
        <v>44075</v>
      </c>
      <c r="X14" s="35">
        <f>Assumption_Hatchery!Z18*Assumption_Hatchery!Z155</f>
        <v>25000</v>
      </c>
      <c r="Y14" s="35">
        <f>Assumption_Hatchery!AA18*Assumption_Hatchery!AA155</f>
        <v>5000</v>
      </c>
      <c r="Z14" s="147">
        <f>Assumption_Hatchery!AB18*Assumption_Hatchery!AB155*(1+Assumption_Hatchery!$S132)</f>
        <v>0</v>
      </c>
    </row>
    <row r="15" spans="1:26" x14ac:dyDescent="0.25">
      <c r="A15" s="131" t="s">
        <v>126</v>
      </c>
      <c r="B15" s="35">
        <f>Assumption_Hatchery!D18*Assumption_Hatchery!D156</f>
        <v>0</v>
      </c>
      <c r="C15" s="35">
        <f>Assumption_Hatchery!E18*Assumption_Hatchery!E156</f>
        <v>1000</v>
      </c>
      <c r="D15" s="35">
        <f>Assumption_Hatchery!F18*Assumption_Hatchery!F156</f>
        <v>2500</v>
      </c>
      <c r="E15" s="147">
        <f>Assumption_Hatchery!G18*Assumption_Hatchery!G156*(1+Assumption_Hatchery!$S133)</f>
        <v>4658.625</v>
      </c>
      <c r="F15" s="35">
        <f>Assumption_Hatchery!H18*Assumption_Hatchery!H156</f>
        <v>5000</v>
      </c>
      <c r="G15" s="35">
        <f>Assumption_Hatchery!I18*Assumption_Hatchery!I156</f>
        <v>5000</v>
      </c>
      <c r="H15" s="147">
        <f>Assumption_Hatchery!J18*Assumption_Hatchery!J156*(1+Assumption_Hatchery!$S133)</f>
        <v>5176.25</v>
      </c>
      <c r="I15" s="35">
        <f>Assumption_Hatchery!K18*Assumption_Hatchery!K156</f>
        <v>5000</v>
      </c>
      <c r="J15" s="35">
        <f>Assumption_Hatchery!L18*Assumption_Hatchery!L156</f>
        <v>5000</v>
      </c>
      <c r="K15" s="147">
        <f>Assumption_Hatchery!M18*Assumption_Hatchery!M156*(1+Assumption_Hatchery!$S133)</f>
        <v>5176.25</v>
      </c>
      <c r="L15" s="35">
        <f>Assumption_Hatchery!N18*Assumption_Hatchery!N156</f>
        <v>5000</v>
      </c>
      <c r="M15" s="35">
        <f>Assumption_Hatchery!O18*Assumption_Hatchery!O156</f>
        <v>5000</v>
      </c>
      <c r="N15" s="147">
        <f>Assumption_Hatchery!P18*Assumption_Hatchery!P156*(1+Assumption_Hatchery!$S133)</f>
        <v>5176.25</v>
      </c>
      <c r="O15" s="35">
        <f>Assumption_Hatchery!Q18*Assumption_Hatchery!Q156</f>
        <v>5000</v>
      </c>
      <c r="P15" s="35">
        <f>Assumption_Hatchery!R18*Assumption_Hatchery!R156</f>
        <v>5000</v>
      </c>
      <c r="Q15" s="147">
        <f>Assumption_Hatchery!S18*Assumption_Hatchery!S156*(1+Assumption_Hatchery!$S133)</f>
        <v>5176.25</v>
      </c>
      <c r="R15" s="35">
        <f>Assumption_Hatchery!T18*Assumption_Hatchery!T156</f>
        <v>5000</v>
      </c>
      <c r="S15" s="35">
        <f>Assumption_Hatchery!U18*Assumption_Hatchery!U156</f>
        <v>5000</v>
      </c>
      <c r="T15" s="147">
        <f>Assumption_Hatchery!V18*Assumption_Hatchery!V156*(1+Assumption_Hatchery!$S133)</f>
        <v>5176.25</v>
      </c>
      <c r="U15" s="35">
        <f>Assumption_Hatchery!W18*Assumption_Hatchery!W156</f>
        <v>5000</v>
      </c>
      <c r="V15" s="35">
        <f>Assumption_Hatchery!X18*Assumption_Hatchery!X156</f>
        <v>5000</v>
      </c>
      <c r="W15" s="147">
        <f>Assumption_Hatchery!Y18*Assumption_Hatchery!Y156*(1+Assumption_Hatchery!$S133)</f>
        <v>4141</v>
      </c>
      <c r="X15" s="35">
        <f>Assumption_Hatchery!Z18*Assumption_Hatchery!Z156</f>
        <v>2500</v>
      </c>
      <c r="Y15" s="35">
        <f>Assumption_Hatchery!AA18*Assumption_Hatchery!AA156</f>
        <v>500</v>
      </c>
      <c r="Z15" s="147">
        <f>Assumption_Hatchery!AB18*Assumption_Hatchery!AB156*(1+Assumption_Hatchery!$S133)</f>
        <v>0</v>
      </c>
    </row>
    <row r="16" spans="1:26" x14ac:dyDescent="0.25">
      <c r="A16" s="131" t="s">
        <v>127</v>
      </c>
      <c r="B16" s="35">
        <f>Assumption_Hatchery!D18*Assumption_Hatchery!D157</f>
        <v>0</v>
      </c>
      <c r="C16" s="35">
        <f>Assumption_Hatchery!E18*Assumption_Hatchery!E157</f>
        <v>20000</v>
      </c>
      <c r="D16" s="35">
        <f>Assumption_Hatchery!F18*Assumption_Hatchery!F157</f>
        <v>50000</v>
      </c>
      <c r="E16" s="147">
        <f>Assumption_Hatchery!G18*Assumption_Hatchery!G157*(1+Assumption_Hatchery!$S134)</f>
        <v>93172.499999999985</v>
      </c>
      <c r="F16" s="35">
        <f>Assumption_Hatchery!H18*Assumption_Hatchery!H157</f>
        <v>100000</v>
      </c>
      <c r="G16" s="35">
        <f>Assumption_Hatchery!I18*Assumption_Hatchery!I157</f>
        <v>100000</v>
      </c>
      <c r="H16" s="147">
        <f>Assumption_Hatchery!J18*Assumption_Hatchery!J157*(1+Assumption_Hatchery!$S134)</f>
        <v>103524.99999999999</v>
      </c>
      <c r="I16" s="35">
        <f>Assumption_Hatchery!K18*Assumption_Hatchery!K157</f>
        <v>100000</v>
      </c>
      <c r="J16" s="35">
        <f>Assumption_Hatchery!L18*Assumption_Hatchery!L157</f>
        <v>100000</v>
      </c>
      <c r="K16" s="147">
        <f>Assumption_Hatchery!M18*Assumption_Hatchery!M157*(1+Assumption_Hatchery!$S134)</f>
        <v>103524.99999999999</v>
      </c>
      <c r="L16" s="35">
        <f>Assumption_Hatchery!N18*Assumption_Hatchery!N157</f>
        <v>100000</v>
      </c>
      <c r="M16" s="35">
        <f>Assumption_Hatchery!O18*Assumption_Hatchery!O157</f>
        <v>100000</v>
      </c>
      <c r="N16" s="147">
        <f>Assumption_Hatchery!P18*Assumption_Hatchery!P157*(1+Assumption_Hatchery!$S134)</f>
        <v>103524.99999999999</v>
      </c>
      <c r="O16" s="35">
        <f>Assumption_Hatchery!Q18*Assumption_Hatchery!Q157</f>
        <v>100000</v>
      </c>
      <c r="P16" s="35">
        <f>Assumption_Hatchery!R18*Assumption_Hatchery!R157</f>
        <v>100000</v>
      </c>
      <c r="Q16" s="147">
        <f>Assumption_Hatchery!S18*Assumption_Hatchery!S157*(1+Assumption_Hatchery!$S134)</f>
        <v>103524.99999999999</v>
      </c>
      <c r="R16" s="35">
        <f>Assumption_Hatchery!T18*Assumption_Hatchery!T157</f>
        <v>100000</v>
      </c>
      <c r="S16" s="35">
        <f>Assumption_Hatchery!U18*Assumption_Hatchery!U157</f>
        <v>100000</v>
      </c>
      <c r="T16" s="147">
        <f>Assumption_Hatchery!V18*Assumption_Hatchery!V157*(1+Assumption_Hatchery!$S134)</f>
        <v>103524.99999999999</v>
      </c>
      <c r="U16" s="35">
        <f>Assumption_Hatchery!W18*Assumption_Hatchery!W157</f>
        <v>100000</v>
      </c>
      <c r="V16" s="35">
        <f>Assumption_Hatchery!X18*Assumption_Hatchery!X157</f>
        <v>100000</v>
      </c>
      <c r="W16" s="147">
        <f>Assumption_Hatchery!Y18*Assumption_Hatchery!Y157*(1+Assumption_Hatchery!$S134)</f>
        <v>82820</v>
      </c>
      <c r="X16" s="35">
        <f>Assumption_Hatchery!Z18*Assumption_Hatchery!Z157</f>
        <v>50000</v>
      </c>
      <c r="Y16" s="35">
        <f>Assumption_Hatchery!AA18*Assumption_Hatchery!AA157</f>
        <v>10000</v>
      </c>
      <c r="Z16" s="147">
        <f>Assumption_Hatchery!AB18*Assumption_Hatchery!AB157*(1+Assumption_Hatchery!$S134)</f>
        <v>0</v>
      </c>
    </row>
    <row r="17" spans="1:26" x14ac:dyDescent="0.25">
      <c r="A17" s="131" t="s">
        <v>40</v>
      </c>
      <c r="B17" s="35">
        <f>Assumption_Hatchery!D18*Assumption_Hatchery!D158</f>
        <v>0</v>
      </c>
      <c r="C17" s="35">
        <f>Assumption_Hatchery!E18*Assumption_Hatchery!E158</f>
        <v>20000</v>
      </c>
      <c r="D17" s="35">
        <f>Assumption_Hatchery!F18*Assumption_Hatchery!F158</f>
        <v>50000</v>
      </c>
      <c r="E17" s="147">
        <f>Assumption_Hatchery!G18*Assumption_Hatchery!G158*(1+Assumption_Hatchery!$S135)</f>
        <v>94547.249999999971</v>
      </c>
      <c r="F17" s="35">
        <f>Assumption_Hatchery!H18*Assumption_Hatchery!H158</f>
        <v>100000</v>
      </c>
      <c r="G17" s="35">
        <f>Assumption_Hatchery!I18*Assumption_Hatchery!I158</f>
        <v>100000</v>
      </c>
      <c r="H17" s="147">
        <f>Assumption_Hatchery!J18*Assumption_Hatchery!J158*(1+Assumption_Hatchery!$S135)</f>
        <v>105052.49999999997</v>
      </c>
      <c r="I17" s="35">
        <f>Assumption_Hatchery!K18*Assumption_Hatchery!K158</f>
        <v>100000</v>
      </c>
      <c r="J17" s="35">
        <f>Assumption_Hatchery!L18*Assumption_Hatchery!L158</f>
        <v>100000</v>
      </c>
      <c r="K17" s="147">
        <f>Assumption_Hatchery!M18*Assumption_Hatchery!M158*(1+Assumption_Hatchery!$S135)</f>
        <v>105052.49999999997</v>
      </c>
      <c r="L17" s="35">
        <f>Assumption_Hatchery!N18*Assumption_Hatchery!N158</f>
        <v>100000</v>
      </c>
      <c r="M17" s="35">
        <f>Assumption_Hatchery!O18*Assumption_Hatchery!O158</f>
        <v>100000</v>
      </c>
      <c r="N17" s="147">
        <f>Assumption_Hatchery!P18*Assumption_Hatchery!P158*(1+Assumption_Hatchery!$S135)</f>
        <v>105052.49999999997</v>
      </c>
      <c r="O17" s="35">
        <f>Assumption_Hatchery!Q18*Assumption_Hatchery!Q158</f>
        <v>100000</v>
      </c>
      <c r="P17" s="35">
        <f>Assumption_Hatchery!R18*Assumption_Hatchery!R158</f>
        <v>100000</v>
      </c>
      <c r="Q17" s="147">
        <f>Assumption_Hatchery!S18*Assumption_Hatchery!S158*(1+Assumption_Hatchery!$S135)</f>
        <v>105052.49999999997</v>
      </c>
      <c r="R17" s="35">
        <f>Assumption_Hatchery!T18*Assumption_Hatchery!T158</f>
        <v>100000</v>
      </c>
      <c r="S17" s="35">
        <f>Assumption_Hatchery!U18*Assumption_Hatchery!U158</f>
        <v>100000</v>
      </c>
      <c r="T17" s="147">
        <f>Assumption_Hatchery!V18*Assumption_Hatchery!V158*(1+Assumption_Hatchery!$S135)</f>
        <v>105052.49999999997</v>
      </c>
      <c r="U17" s="35">
        <f>Assumption_Hatchery!W18*Assumption_Hatchery!W158</f>
        <v>100000</v>
      </c>
      <c r="V17" s="35">
        <f>Assumption_Hatchery!X18*Assumption_Hatchery!X158</f>
        <v>100000</v>
      </c>
      <c r="W17" s="147">
        <f>Assumption_Hatchery!Y18*Assumption_Hatchery!Y158*(1+Assumption_Hatchery!$S135)</f>
        <v>84041.999999999985</v>
      </c>
      <c r="X17" s="35">
        <f>Assumption_Hatchery!Z18*Assumption_Hatchery!Z158</f>
        <v>50000</v>
      </c>
      <c r="Y17" s="35">
        <f>Assumption_Hatchery!AA18*Assumption_Hatchery!AA158</f>
        <v>10000</v>
      </c>
      <c r="Z17" s="147">
        <f>Assumption_Hatchery!AB18*Assumption_Hatchery!AB158*(1+Assumption_Hatchery!$S135)</f>
        <v>0</v>
      </c>
    </row>
    <row r="18" spans="1:26" x14ac:dyDescent="0.25">
      <c r="A18" s="9" t="s">
        <v>15</v>
      </c>
      <c r="B18" s="35">
        <f>Assumption_Hatchery!D18*Assumption_Hatchery!D159*Assumption_Hatchery!D160*(1+Assumption_Hatchery!D161)^Assumption_Hatchery!D150</f>
        <v>0</v>
      </c>
      <c r="C18" s="35">
        <f>Assumption_Hatchery!E18*Assumption_Hatchery!E159*Assumption_Hatchery!E160*(1+Assumption_Hatchery!E161)^Assumption_Hatchery!E150</f>
        <v>4100.6000000000004</v>
      </c>
      <c r="D18" s="35">
        <f>Assumption_Hatchery!F18*Assumption_Hatchery!F159*Assumption_Hatchery!F160*(1+Assumption_Hatchery!F161)^Assumption_Hatchery!F150</f>
        <v>10354.014999999999</v>
      </c>
      <c r="E18" s="35">
        <f>Assumption_Hatchery!G18*Assumption_Hatchery!G159*Assumption_Hatchery!G160*(1+Assumption_Hatchery!G161)^Assumption_Hatchery!G150</f>
        <v>18823.599269999999</v>
      </c>
      <c r="F18" s="35">
        <f>Assumption_Hatchery!H18*Assumption_Hatchery!H159*Assumption_Hatchery!H160*(1+Assumption_Hatchery!H161)^Assumption_Hatchery!H150</f>
        <v>21124.261403</v>
      </c>
      <c r="G18" s="35">
        <f>Assumption_Hatchery!I18*Assumption_Hatchery!I159*Assumption_Hatchery!I160*(1+Assumption_Hatchery!I161)^Assumption_Hatchery!I150</f>
        <v>21335.504017029998</v>
      </c>
      <c r="H18" s="35">
        <f>Assumption_Hatchery!J18*Assumption_Hatchery!J159*Assumption_Hatchery!J160*(1+Assumption_Hatchery!J161)^Assumption_Hatchery!J150</f>
        <v>21548.859057200301</v>
      </c>
      <c r="I18" s="35">
        <f>Assumption_Hatchery!K18*Assumption_Hatchery!K159*Assumption_Hatchery!K160*(1+Assumption_Hatchery!K161)^Assumption_Hatchery!K150</f>
        <v>21764.347647772298</v>
      </c>
      <c r="J18" s="35">
        <f>Assumption_Hatchery!L18*Assumption_Hatchery!L159*Assumption_Hatchery!L160*(1+Assumption_Hatchery!L161)^Assumption_Hatchery!L150</f>
        <v>21981.991124250027</v>
      </c>
      <c r="K18" s="35">
        <f>Assumption_Hatchery!M18*Assumption_Hatchery!M159*Assumption_Hatchery!M160*(1+Assumption_Hatchery!M161)^Assumption_Hatchery!M150</f>
        <v>22201.81103549253</v>
      </c>
      <c r="L18" s="35">
        <f>Assumption_Hatchery!N18*Assumption_Hatchery!N159*Assumption_Hatchery!N160*(1+Assumption_Hatchery!N161)^Assumption_Hatchery!N150</f>
        <v>22423.829145847456</v>
      </c>
      <c r="M18" s="35">
        <f>Assumption_Hatchery!O18*Assumption_Hatchery!O159*Assumption_Hatchery!O160*(1+Assumption_Hatchery!O161)^Assumption_Hatchery!O150</f>
        <v>22648.067437305926</v>
      </c>
      <c r="N18" s="35">
        <f>Assumption_Hatchery!P18*Assumption_Hatchery!P159*Assumption_Hatchery!P160*(1+Assumption_Hatchery!P161)^Assumption_Hatchery!P150</f>
        <v>22874.548111678985</v>
      </c>
      <c r="O18" s="35">
        <f>Assumption_Hatchery!Q18*Assumption_Hatchery!Q159*Assumption_Hatchery!Q160*(1+Assumption_Hatchery!Q161)^Assumption_Hatchery!Q150</f>
        <v>23103.293592795777</v>
      </c>
      <c r="P18" s="35">
        <f>Assumption_Hatchery!R18*Assumption_Hatchery!R159*Assumption_Hatchery!R160*(1+Assumption_Hatchery!R161)^Assumption_Hatchery!R150</f>
        <v>23334.326528723737</v>
      </c>
      <c r="Q18" s="35">
        <f>Assumption_Hatchery!S18*Assumption_Hatchery!S159*Assumption_Hatchery!S160*(1+Assumption_Hatchery!S161)^Assumption_Hatchery!S150</f>
        <v>23567.66979401097</v>
      </c>
      <c r="R18" s="35">
        <f>Assumption_Hatchery!T18*Assumption_Hatchery!T159*Assumption_Hatchery!T160*(1+Assumption_Hatchery!T161)^Assumption_Hatchery!T150</f>
        <v>23803.346491951084</v>
      </c>
      <c r="S18" s="35">
        <f>Assumption_Hatchery!U18*Assumption_Hatchery!U159*Assumption_Hatchery!U160*(1+Assumption_Hatchery!U161)^Assumption_Hatchery!U150</f>
        <v>24041.379956870598</v>
      </c>
      <c r="T18" s="35">
        <f>Assumption_Hatchery!V18*Assumption_Hatchery!V159*Assumption_Hatchery!V160*(1+Assumption_Hatchery!V161)^Assumption_Hatchery!V150</f>
        <v>24281.793756439303</v>
      </c>
      <c r="U18" s="35">
        <f>Assumption_Hatchery!W18*Assumption_Hatchery!W159*Assumption_Hatchery!W160*(1+Assumption_Hatchery!W161)^Assumption_Hatchery!W150</f>
        <v>24524.611694003692</v>
      </c>
      <c r="V18" s="35">
        <f>Assumption_Hatchery!X18*Assumption_Hatchery!X159*Assumption_Hatchery!X160*(1+Assumption_Hatchery!X161)^Assumption_Hatchery!X150</f>
        <v>24769.857810943729</v>
      </c>
      <c r="W18" s="35">
        <f>Assumption_Hatchery!Y18*Assumption_Hatchery!Y159*Assumption_Hatchery!Y160*(1+Assumption_Hatchery!Y161)^Assumption_Hatchery!Y150</f>
        <v>20014.045111242533</v>
      </c>
      <c r="X18" s="35">
        <f>Assumption_Hatchery!Z18*Assumption_Hatchery!Z159*Assumption_Hatchery!Z160*(1+Assumption_Hatchery!Z161)^Assumption_Hatchery!Z150</f>
        <v>12633.865976471852</v>
      </c>
      <c r="Y18" s="35">
        <f>Assumption_Hatchery!AA18*Assumption_Hatchery!AA159*Assumption_Hatchery!AA160*(1+Assumption_Hatchery!AA161)^Assumption_Hatchery!AA150</f>
        <v>2552.0409272473134</v>
      </c>
      <c r="Z18" s="35">
        <f>Assumption_Hatchery!AB18*Assumption_Hatchery!AB159*Assumption_Hatchery!AB160*(1+Assumption_Hatchery!AB161)^Assumption_Hatchery!AB150</f>
        <v>0</v>
      </c>
    </row>
    <row r="19" spans="1:26" s="54" customFormat="1" x14ac:dyDescent="0.25">
      <c r="A19" s="56" t="s">
        <v>156</v>
      </c>
      <c r="B19" s="53">
        <f>Assumption_Hatchery!D43</f>
        <v>0</v>
      </c>
      <c r="C19" s="53">
        <f>Assumption_Hatchery!E43</f>
        <v>0</v>
      </c>
      <c r="D19" s="53">
        <f>Assumption_Hatchery!F43</f>
        <v>133200</v>
      </c>
      <c r="E19" s="53">
        <f>Assumption_Hatchery!G43</f>
        <v>311400</v>
      </c>
      <c r="F19" s="53">
        <f>Assumption_Hatchery!H43</f>
        <v>433800</v>
      </c>
      <c r="G19" s="53">
        <f>Assumption_Hatchery!I43</f>
        <v>289800</v>
      </c>
      <c r="H19" s="53">
        <f>Assumption_Hatchery!J43</f>
        <v>55800</v>
      </c>
      <c r="I19" s="53">
        <f>Assumption_Hatchery!K43</f>
        <v>0</v>
      </c>
      <c r="J19" s="53">
        <f>Assumption_Hatchery!L43</f>
        <v>0</v>
      </c>
      <c r="K19" s="53">
        <f>Assumption_Hatchery!M43</f>
        <v>0</v>
      </c>
      <c r="L19" s="53">
        <f>Assumption_Hatchery!N43</f>
        <v>0</v>
      </c>
      <c r="M19" s="53">
        <f>Assumption_Hatchery!O43</f>
        <v>0</v>
      </c>
      <c r="N19" s="53">
        <f>Assumption_Hatchery!P43</f>
        <v>0</v>
      </c>
      <c r="O19" s="53">
        <f>Assumption_Hatchery!Q43</f>
        <v>0</v>
      </c>
      <c r="P19" s="53">
        <f>Assumption_Hatchery!R43</f>
        <v>0</v>
      </c>
      <c r="Q19" s="53">
        <f>Assumption_Hatchery!S43</f>
        <v>0</v>
      </c>
      <c r="R19" s="53">
        <f>Assumption_Hatchery!T43</f>
        <v>0</v>
      </c>
      <c r="S19" s="53">
        <f>Assumption_Hatchery!U43</f>
        <v>0</v>
      </c>
      <c r="T19" s="53">
        <f>Assumption_Hatchery!V43</f>
        <v>0</v>
      </c>
      <c r="U19" s="53">
        <f>Assumption_Hatchery!W43</f>
        <v>0</v>
      </c>
      <c r="V19" s="53">
        <f>Assumption_Hatchery!X43</f>
        <v>0</v>
      </c>
      <c r="W19" s="53">
        <f>Assumption_Hatchery!Y43</f>
        <v>0</v>
      </c>
      <c r="X19" s="53">
        <f>Assumption_Hatchery!Z43</f>
        <v>0</v>
      </c>
      <c r="Y19" s="53">
        <f>Assumption_Hatchery!AA43</f>
        <v>0</v>
      </c>
      <c r="Z19" s="53">
        <f>Assumption_Hatchery!AB43</f>
        <v>0</v>
      </c>
    </row>
    <row r="20" spans="1:26" x14ac:dyDescent="0.25">
      <c r="A20" s="127" t="s">
        <v>59</v>
      </c>
      <c r="B20" s="40">
        <f>SUM(B11:B19)</f>
        <v>0</v>
      </c>
      <c r="C20" s="40">
        <f t="shared" ref="C20:Z20" si="1">SUM(C11:C19)</f>
        <v>165100.6</v>
      </c>
      <c r="D20" s="40">
        <f t="shared" si="1"/>
        <v>451054.01500000001</v>
      </c>
      <c r="E20" s="40">
        <f t="shared" si="1"/>
        <v>835202.59927000001</v>
      </c>
      <c r="F20" s="40">
        <f t="shared" si="1"/>
        <v>844924.26140299998</v>
      </c>
      <c r="G20" s="40">
        <f t="shared" si="1"/>
        <v>663635.50401703001</v>
      </c>
      <c r="H20" s="40">
        <f t="shared" si="1"/>
        <v>448215.10905720032</v>
      </c>
      <c r="I20" s="40">
        <f t="shared" si="1"/>
        <v>376764.34764777229</v>
      </c>
      <c r="J20" s="40">
        <f t="shared" si="1"/>
        <v>376981.99112425005</v>
      </c>
      <c r="K20" s="40">
        <f t="shared" si="1"/>
        <v>393068.06103549252</v>
      </c>
      <c r="L20" s="40">
        <f t="shared" si="1"/>
        <v>377423.82914584747</v>
      </c>
      <c r="M20" s="40">
        <f t="shared" si="1"/>
        <v>377648.06743730593</v>
      </c>
      <c r="N20" s="40">
        <f t="shared" si="1"/>
        <v>393740.79811167897</v>
      </c>
      <c r="O20" s="40">
        <f t="shared" si="1"/>
        <v>378103.29359279579</v>
      </c>
      <c r="P20" s="40">
        <f t="shared" si="1"/>
        <v>378334.32652872376</v>
      </c>
      <c r="Q20" s="40">
        <f t="shared" si="1"/>
        <v>394433.91979401099</v>
      </c>
      <c r="R20" s="40">
        <f t="shared" si="1"/>
        <v>378803.34649195109</v>
      </c>
      <c r="S20" s="40">
        <f t="shared" si="1"/>
        <v>379041.37995687057</v>
      </c>
      <c r="T20" s="40">
        <f t="shared" si="1"/>
        <v>395148.04375643929</v>
      </c>
      <c r="U20" s="40">
        <f t="shared" si="1"/>
        <v>379524.61169400369</v>
      </c>
      <c r="V20" s="40">
        <f t="shared" si="1"/>
        <v>379769.85781094374</v>
      </c>
      <c r="W20" s="40">
        <f t="shared" si="1"/>
        <v>327110.79511124251</v>
      </c>
      <c r="X20" s="40">
        <f t="shared" si="1"/>
        <v>215133.86597647186</v>
      </c>
      <c r="Y20" s="40">
        <f t="shared" si="1"/>
        <v>73052.040927247319</v>
      </c>
      <c r="Z20" s="40">
        <f t="shared" si="1"/>
        <v>26009.374999999993</v>
      </c>
    </row>
    <row r="21" spans="1:26" x14ac:dyDescent="0.25">
      <c r="B21" s="34"/>
      <c r="C21" s="34"/>
      <c r="D21" s="34"/>
      <c r="E21" s="34"/>
      <c r="F21" s="34"/>
      <c r="G21" s="34"/>
      <c r="H21" s="34"/>
      <c r="I21" s="34"/>
      <c r="J21" s="34"/>
      <c r="K21" s="34"/>
      <c r="L21" s="34"/>
    </row>
    <row r="22" spans="1:26" x14ac:dyDescent="0.25">
      <c r="A22" s="24" t="s">
        <v>60</v>
      </c>
      <c r="B22" s="36">
        <f>B8-B20</f>
        <v>0</v>
      </c>
      <c r="C22" s="36">
        <f t="shared" ref="C22:Z22" si="2">C8-C20</f>
        <v>-165100.6</v>
      </c>
      <c r="D22" s="36">
        <f t="shared" si="2"/>
        <v>-229969.01499999998</v>
      </c>
      <c r="E22" s="36">
        <f t="shared" si="2"/>
        <v>-459226.55369500001</v>
      </c>
      <c r="F22" s="36">
        <f t="shared" si="2"/>
        <v>-384890.59340299992</v>
      </c>
      <c r="G22" s="36">
        <f t="shared" si="2"/>
        <v>-194401.16265702993</v>
      </c>
      <c r="H22" s="36">
        <f t="shared" si="2"/>
        <v>-4894.2341988062253</v>
      </c>
      <c r="I22" s="36">
        <f t="shared" si="2"/>
        <v>111427.06110317173</v>
      </c>
      <c r="J22" s="36">
        <f t="shared" si="2"/>
        <v>120973.24580171285</v>
      </c>
      <c r="K22" s="36">
        <f t="shared" si="2"/>
        <v>77387.59793123405</v>
      </c>
      <c r="L22" s="36">
        <f t="shared" si="2"/>
        <v>140648.79935192439</v>
      </c>
      <c r="M22" s="36">
        <f t="shared" si="2"/>
        <v>150786.01363042125</v>
      </c>
      <c r="N22" s="36">
        <f t="shared" si="2"/>
        <v>105510.51082908304</v>
      </c>
      <c r="O22" s="36">
        <f t="shared" si="2"/>
        <v>171679.52435006766</v>
      </c>
      <c r="P22" s="36">
        <f t="shared" si="2"/>
        <v>182444.14777299698</v>
      </c>
      <c r="Q22" s="36">
        <f t="shared" si="2"/>
        <v>135375.56326439703</v>
      </c>
      <c r="R22" s="36">
        <f t="shared" si="2"/>
        <v>204630.57817155909</v>
      </c>
      <c r="S22" s="36">
        <f t="shared" si="2"/>
        <v>216061.2231999099</v>
      </c>
      <c r="T22" s="36">
        <f t="shared" si="2"/>
        <v>167090.01814100792</v>
      </c>
      <c r="U22" s="36">
        <f t="shared" si="2"/>
        <v>239620.13663031056</v>
      </c>
      <c r="V22" s="36">
        <f t="shared" si="2"/>
        <v>251757.78547985689</v>
      </c>
      <c r="W22" s="36">
        <f t="shared" si="2"/>
        <v>166835.42824081029</v>
      </c>
      <c r="X22" s="36">
        <f t="shared" si="2"/>
        <v>143386.81406340265</v>
      </c>
      <c r="Y22" s="36">
        <f t="shared" si="2"/>
        <v>33966.177800887061</v>
      </c>
      <c r="Z22" s="36">
        <f t="shared" si="2"/>
        <v>-17696.874999999993</v>
      </c>
    </row>
    <row r="23" spans="1:26" x14ac:dyDescent="0.25">
      <c r="B23" s="148"/>
      <c r="C23" s="148"/>
      <c r="D23" s="148"/>
      <c r="E23" s="148"/>
      <c r="F23" s="148"/>
      <c r="G23" s="148"/>
      <c r="H23" s="148"/>
      <c r="I23" s="148"/>
      <c r="J23" s="148"/>
      <c r="K23" s="148"/>
      <c r="L23" s="148"/>
      <c r="M23" s="149"/>
      <c r="N23" s="149"/>
      <c r="O23" s="149"/>
      <c r="P23" s="149"/>
      <c r="Q23" s="149"/>
      <c r="R23" s="149"/>
      <c r="S23" s="149"/>
      <c r="T23" s="149"/>
      <c r="U23" s="149"/>
      <c r="V23" s="149"/>
      <c r="W23" s="149"/>
      <c r="X23" s="149"/>
      <c r="Y23" s="149"/>
      <c r="Z23" s="149"/>
    </row>
    <row r="24" spans="1:26" s="13" customFormat="1" x14ac:dyDescent="0.25">
      <c r="A24" s="24" t="s">
        <v>61</v>
      </c>
      <c r="B24" s="42">
        <f>B22/(1+Assumption_Hatchery!$C76)^B4</f>
        <v>0</v>
      </c>
      <c r="C24" s="42">
        <f>C22/(1+Assumption_Hatchery!$C76)^C4</f>
        <v>-151468.44036697247</v>
      </c>
      <c r="D24" s="42">
        <f>D22/(1+Assumption_Hatchery!$C76)^D4</f>
        <v>-193560.3189967174</v>
      </c>
      <c r="E24" s="42">
        <f>E22/(1+Assumption_Hatchery!$C76)^E4</f>
        <v>-354607.15836865426</v>
      </c>
      <c r="F24" s="42">
        <f>F22/(1+Assumption_Hatchery!$C76)^F4</f>
        <v>-272666.19986852893</v>
      </c>
      <c r="G24" s="42">
        <f>G22/(1+Assumption_Hatchery!$C76)^G4</f>
        <v>-126347.41714369357</v>
      </c>
      <c r="H24" s="42">
        <f>H22/(1+Assumption_Hatchery!$C76)^H4</f>
        <v>-2918.2719428430287</v>
      </c>
      <c r="I24" s="42">
        <f>I22/(1+Assumption_Hatchery!$C76)^I4</f>
        <v>60954.418225683716</v>
      </c>
      <c r="J24" s="42">
        <f>J22/(1+Assumption_Hatchery!$C76)^J4</f>
        <v>60712.392810444944</v>
      </c>
      <c r="K24" s="42">
        <f>K22/(1+Assumption_Hatchery!$C76)^K4</f>
        <v>35631.399877578384</v>
      </c>
      <c r="L24" s="42">
        <f>L22/(1+Assumption_Hatchery!$C76)^L4</f>
        <v>59411.572823156232</v>
      </c>
      <c r="M24" s="42">
        <f>M22/(1+Assumption_Hatchery!$C76)^M4</f>
        <v>58434.533657073938</v>
      </c>
      <c r="N24" s="42">
        <f>N22/(1+Assumption_Hatchery!$C76)^N4</f>
        <v>37512.650463167491</v>
      </c>
      <c r="O24" s="42">
        <f>O22/(1+Assumption_Hatchery!$C76)^O4</f>
        <v>55998.194950213583</v>
      </c>
      <c r="P24" s="42">
        <f>P22/(1+Assumption_Hatchery!$C76)^P4</f>
        <v>54595.766286717175</v>
      </c>
      <c r="Q24" s="42">
        <f>Q22/(1+Assumption_Hatchery!$C76)^Q4</f>
        <v>37165.741980267623</v>
      </c>
      <c r="R24" s="42">
        <f>R22/(1+Assumption_Hatchery!$C76)^R4</f>
        <v>51540.255159624459</v>
      </c>
      <c r="S24" s="42">
        <f>S22/(1+Assumption_Hatchery!$C76)^S4</f>
        <v>49925.953220284166</v>
      </c>
      <c r="T24" s="42">
        <f>T22/(1+Assumption_Hatchery!$C76)^T4</f>
        <v>35422.037887495666</v>
      </c>
      <c r="U24" s="42">
        <f>U22/(1+Assumption_Hatchery!$C76)^U4</f>
        <v>46603.64126567723</v>
      </c>
      <c r="V24" s="42">
        <f>V22/(1+Assumption_Hatchery!$C76)^V4</f>
        <v>44921.365672783977</v>
      </c>
      <c r="W24" s="42">
        <f>W22/(1+Assumption_Hatchery!$C76)^W4</f>
        <v>27310.636613039758</v>
      </c>
      <c r="X24" s="42">
        <f>X22/(1+Assumption_Hatchery!$C76)^X4</f>
        <v>21534.076943335924</v>
      </c>
      <c r="Y24" s="42">
        <f>Y22/(1+Assumption_Hatchery!$C76)^Y4</f>
        <v>4679.9070349119311</v>
      </c>
      <c r="Z24" s="42">
        <f>Z22/(1+Assumption_Hatchery!$C76)^Z4</f>
        <v>-2236.9724359157349</v>
      </c>
    </row>
    <row r="25" spans="1:26" x14ac:dyDescent="0.25">
      <c r="B25" s="34"/>
      <c r="C25" s="34"/>
      <c r="D25" s="34"/>
      <c r="E25" s="34"/>
      <c r="F25" s="34"/>
      <c r="G25" s="34"/>
      <c r="H25" s="34"/>
      <c r="I25" s="34"/>
      <c r="J25" s="34"/>
      <c r="K25" s="34"/>
      <c r="L25" s="34"/>
    </row>
    <row r="26" spans="1:26" s="13" customFormat="1" x14ac:dyDescent="0.25">
      <c r="A26" s="26" t="s">
        <v>62</v>
      </c>
      <c r="B26" s="37">
        <f>NPV(Assumption_Hatchery!C76,C22:Z22)+B22</f>
        <v>-361450.23425186909</v>
      </c>
      <c r="C26" s="43"/>
      <c r="D26" s="43"/>
      <c r="E26" s="43"/>
      <c r="F26" s="43"/>
      <c r="G26" s="43"/>
      <c r="H26" s="43"/>
      <c r="I26" s="43"/>
      <c r="J26" s="43"/>
      <c r="K26" s="43"/>
      <c r="L26" s="43"/>
    </row>
    <row r="28" spans="1:26" s="13" customFormat="1" x14ac:dyDescent="0.25">
      <c r="A28" s="26" t="s">
        <v>25</v>
      </c>
      <c r="B28" s="38">
        <f>IRR(B22:Z22)</f>
        <v>5.1409868089747013E-2</v>
      </c>
      <c r="C28" s="4"/>
      <c r="D28" s="4"/>
      <c r="E28" s="4"/>
      <c r="F28" s="4"/>
      <c r="G28" s="4"/>
      <c r="H28" s="4"/>
      <c r="I28" s="4"/>
      <c r="J28" s="4"/>
      <c r="K28" s="4"/>
      <c r="L28" s="4"/>
    </row>
    <row r="30" spans="1:26" s="13" customFormat="1" x14ac:dyDescent="0.25">
      <c r="A30" s="27" t="s">
        <v>63</v>
      </c>
      <c r="B30" s="39">
        <f>B24</f>
        <v>0</v>
      </c>
      <c r="C30" s="39">
        <f>B30+C24</f>
        <v>-151468.44036697247</v>
      </c>
      <c r="D30" s="39">
        <f t="shared" ref="D30:Z30" si="3">C30+D24</f>
        <v>-345028.75936368987</v>
      </c>
      <c r="E30" s="39">
        <f t="shared" si="3"/>
        <v>-699635.91773234413</v>
      </c>
      <c r="F30" s="39">
        <f t="shared" si="3"/>
        <v>-972302.11760087311</v>
      </c>
      <c r="G30" s="39">
        <f t="shared" si="3"/>
        <v>-1098649.5347445668</v>
      </c>
      <c r="H30" s="39">
        <f t="shared" si="3"/>
        <v>-1101567.8066874098</v>
      </c>
      <c r="I30" s="39">
        <f t="shared" si="3"/>
        <v>-1040613.388461726</v>
      </c>
      <c r="J30" s="39">
        <f t="shared" si="3"/>
        <v>-979900.99565128109</v>
      </c>
      <c r="K30" s="39">
        <f t="shared" si="3"/>
        <v>-944269.59577370272</v>
      </c>
      <c r="L30" s="39">
        <f t="shared" si="3"/>
        <v>-884858.02295054647</v>
      </c>
      <c r="M30" s="39">
        <f t="shared" si="3"/>
        <v>-826423.48929347249</v>
      </c>
      <c r="N30" s="39">
        <f t="shared" si="3"/>
        <v>-788910.83883030503</v>
      </c>
      <c r="O30" s="39">
        <f t="shared" si="3"/>
        <v>-732912.64388009149</v>
      </c>
      <c r="P30" s="39">
        <f t="shared" si="3"/>
        <v>-678316.87759337435</v>
      </c>
      <c r="Q30" s="39">
        <f t="shared" si="3"/>
        <v>-641151.13561310677</v>
      </c>
      <c r="R30" s="39">
        <f t="shared" si="3"/>
        <v>-589610.88045348227</v>
      </c>
      <c r="S30" s="39">
        <f t="shared" si="3"/>
        <v>-539684.92723319808</v>
      </c>
      <c r="T30" s="39">
        <f t="shared" si="3"/>
        <v>-504262.88934570242</v>
      </c>
      <c r="U30" s="39">
        <f t="shared" si="3"/>
        <v>-457659.24808002519</v>
      </c>
      <c r="V30" s="39">
        <f t="shared" si="3"/>
        <v>-412737.88240724121</v>
      </c>
      <c r="W30" s="39">
        <f t="shared" si="3"/>
        <v>-385427.24579420144</v>
      </c>
      <c r="X30" s="39">
        <f t="shared" si="3"/>
        <v>-363893.16885086551</v>
      </c>
      <c r="Y30" s="39">
        <f t="shared" si="3"/>
        <v>-359213.26181595359</v>
      </c>
      <c r="Z30" s="39">
        <f t="shared" si="3"/>
        <v>-361450.23425186932</v>
      </c>
    </row>
    <row r="32" spans="1:26" s="1" customFormat="1" x14ac:dyDescent="0.25">
      <c r="A32" s="25"/>
      <c r="B32" s="45"/>
      <c r="C32" s="45"/>
      <c r="D32" s="45"/>
      <c r="E32" s="45"/>
      <c r="F32" s="45"/>
      <c r="G32" s="45"/>
      <c r="H32" s="45"/>
      <c r="I32" s="45"/>
      <c r="J32" s="45"/>
      <c r="K32" s="45"/>
      <c r="L32" s="45"/>
    </row>
    <row r="34" spans="1:26" ht="38.25" customHeight="1" x14ac:dyDescent="0.25">
      <c r="A34" s="11" t="s">
        <v>77</v>
      </c>
      <c r="B34" s="32"/>
      <c r="C34" s="76"/>
      <c r="D34" s="77"/>
      <c r="E34" s="32"/>
      <c r="F34" s="126" t="s">
        <v>105</v>
      </c>
      <c r="G34" s="32"/>
      <c r="H34" s="32"/>
      <c r="I34" s="32"/>
      <c r="J34" s="32"/>
      <c r="K34" s="32"/>
      <c r="L34" s="32"/>
      <c r="M34" s="11"/>
    </row>
    <row r="35" spans="1:26" ht="38.25" customHeight="1" x14ac:dyDescent="0.25">
      <c r="A35" s="11"/>
      <c r="B35" s="32"/>
      <c r="C35" s="76"/>
      <c r="D35" s="77"/>
      <c r="E35" s="32"/>
      <c r="F35" s="126"/>
      <c r="G35" s="32"/>
      <c r="H35" s="32"/>
      <c r="I35" s="32"/>
      <c r="J35" s="32"/>
      <c r="K35" s="32"/>
      <c r="L35" s="32"/>
      <c r="M35" s="11"/>
    </row>
    <row r="36" spans="1:26" x14ac:dyDescent="0.25">
      <c r="A36" s="10" t="s">
        <v>22</v>
      </c>
      <c r="B36" s="28">
        <v>0</v>
      </c>
      <c r="C36" s="28">
        <v>1</v>
      </c>
      <c r="D36" s="28">
        <v>2</v>
      </c>
      <c r="E36" s="28">
        <v>3</v>
      </c>
      <c r="F36" s="28">
        <v>4</v>
      </c>
      <c r="G36" s="28">
        <v>5</v>
      </c>
      <c r="H36" s="28">
        <v>6</v>
      </c>
      <c r="I36" s="28">
        <v>7</v>
      </c>
      <c r="J36" s="28">
        <v>8</v>
      </c>
      <c r="K36" s="28">
        <v>9</v>
      </c>
      <c r="L36" s="28">
        <v>10</v>
      </c>
      <c r="M36" s="28">
        <v>11</v>
      </c>
      <c r="N36" s="28">
        <v>12</v>
      </c>
      <c r="O36" s="28">
        <v>13</v>
      </c>
      <c r="P36" s="28">
        <v>14</v>
      </c>
      <c r="Q36" s="28">
        <v>15</v>
      </c>
      <c r="R36" s="28">
        <v>16</v>
      </c>
      <c r="S36" s="28">
        <v>17</v>
      </c>
      <c r="T36" s="28">
        <v>18</v>
      </c>
      <c r="U36" s="28">
        <v>19</v>
      </c>
      <c r="V36" s="28">
        <v>20</v>
      </c>
      <c r="W36" s="28">
        <v>21</v>
      </c>
      <c r="X36" s="28">
        <v>22</v>
      </c>
      <c r="Y36" s="28">
        <v>23</v>
      </c>
      <c r="Z36" s="28">
        <v>24</v>
      </c>
    </row>
    <row r="37" spans="1:26" x14ac:dyDescent="0.25">
      <c r="A37" s="24" t="s">
        <v>23</v>
      </c>
    </row>
    <row r="38" spans="1:26" x14ac:dyDescent="0.25">
      <c r="A38" s="10" t="s">
        <v>56</v>
      </c>
      <c r="B38" s="33">
        <f>B6</f>
        <v>0</v>
      </c>
      <c r="C38" s="33">
        <f t="shared" ref="C38:Z39" si="4">C6</f>
        <v>0</v>
      </c>
      <c r="D38" s="33">
        <f t="shared" si="4"/>
        <v>221085.00000000003</v>
      </c>
      <c r="E38" s="33">
        <f t="shared" si="4"/>
        <v>375976.045575</v>
      </c>
      <c r="F38" s="33">
        <f t="shared" si="4"/>
        <v>460033.66800000006</v>
      </c>
      <c r="G38" s="33">
        <f t="shared" si="4"/>
        <v>469234.34136000008</v>
      </c>
      <c r="H38" s="33">
        <f t="shared" si="4"/>
        <v>443320.87485839409</v>
      </c>
      <c r="I38" s="33">
        <f t="shared" si="4"/>
        <v>488191.40875094401</v>
      </c>
      <c r="J38" s="33">
        <f t="shared" si="4"/>
        <v>497955.2369259629</v>
      </c>
      <c r="K38" s="33">
        <f t="shared" si="4"/>
        <v>470455.65896672657</v>
      </c>
      <c r="L38" s="33">
        <f t="shared" si="4"/>
        <v>518072.62849777186</v>
      </c>
      <c r="M38" s="33">
        <f t="shared" si="4"/>
        <v>528434.08106772718</v>
      </c>
      <c r="N38" s="33">
        <f t="shared" si="4"/>
        <v>499251.30894076201</v>
      </c>
      <c r="O38" s="33">
        <f t="shared" si="4"/>
        <v>549782.81794286345</v>
      </c>
      <c r="P38" s="33">
        <f t="shared" si="4"/>
        <v>560778.47430172074</v>
      </c>
      <c r="Q38" s="33">
        <f t="shared" si="4"/>
        <v>529809.48305840802</v>
      </c>
      <c r="R38" s="33">
        <f t="shared" si="4"/>
        <v>583433.92466351017</v>
      </c>
      <c r="S38" s="33">
        <f t="shared" si="4"/>
        <v>595102.60315678047</v>
      </c>
      <c r="T38" s="33">
        <f t="shared" si="4"/>
        <v>562238.06189744722</v>
      </c>
      <c r="U38" s="33">
        <f t="shared" si="4"/>
        <v>619144.74832431425</v>
      </c>
      <c r="V38" s="33">
        <f t="shared" si="4"/>
        <v>631527.64329080062</v>
      </c>
      <c r="W38" s="33">
        <f t="shared" si="4"/>
        <v>477321.2233520528</v>
      </c>
      <c r="X38" s="33">
        <f t="shared" si="4"/>
        <v>328520.68003987451</v>
      </c>
      <c r="Y38" s="33">
        <f t="shared" si="4"/>
        <v>67018.218728134379</v>
      </c>
      <c r="Z38" s="33">
        <f t="shared" si="4"/>
        <v>0</v>
      </c>
    </row>
    <row r="39" spans="1:26" x14ac:dyDescent="0.25">
      <c r="A39" s="10" t="s">
        <v>57</v>
      </c>
      <c r="B39" s="33">
        <f>B7</f>
        <v>0</v>
      </c>
      <c r="C39" s="33">
        <f t="shared" si="4"/>
        <v>0</v>
      </c>
      <c r="D39" s="33">
        <f t="shared" si="4"/>
        <v>0</v>
      </c>
      <c r="E39" s="33">
        <f t="shared" si="4"/>
        <v>0</v>
      </c>
      <c r="F39" s="33">
        <f t="shared" si="4"/>
        <v>0</v>
      </c>
      <c r="G39" s="33">
        <f t="shared" si="4"/>
        <v>0</v>
      </c>
      <c r="H39" s="33">
        <f t="shared" si="4"/>
        <v>0</v>
      </c>
      <c r="I39" s="33">
        <f t="shared" si="4"/>
        <v>0</v>
      </c>
      <c r="J39" s="33">
        <f t="shared" si="4"/>
        <v>0</v>
      </c>
      <c r="K39" s="33">
        <f t="shared" si="4"/>
        <v>0</v>
      </c>
      <c r="L39" s="33">
        <f t="shared" si="4"/>
        <v>0</v>
      </c>
      <c r="M39" s="33">
        <f t="shared" si="4"/>
        <v>0</v>
      </c>
      <c r="N39" s="33">
        <f t="shared" si="4"/>
        <v>0</v>
      </c>
      <c r="O39" s="33">
        <f t="shared" si="4"/>
        <v>0</v>
      </c>
      <c r="P39" s="33">
        <f t="shared" si="4"/>
        <v>0</v>
      </c>
      <c r="Q39" s="33">
        <f t="shared" si="4"/>
        <v>0</v>
      </c>
      <c r="R39" s="33">
        <f t="shared" si="4"/>
        <v>0</v>
      </c>
      <c r="S39" s="33">
        <f t="shared" si="4"/>
        <v>0</v>
      </c>
      <c r="T39" s="33">
        <f t="shared" si="4"/>
        <v>0</v>
      </c>
      <c r="U39" s="33">
        <f t="shared" si="4"/>
        <v>0</v>
      </c>
      <c r="V39" s="33">
        <f t="shared" si="4"/>
        <v>0</v>
      </c>
      <c r="W39" s="33">
        <f t="shared" si="4"/>
        <v>16625</v>
      </c>
      <c r="X39" s="33">
        <f t="shared" si="4"/>
        <v>30000</v>
      </c>
      <c r="Y39" s="33">
        <f t="shared" si="4"/>
        <v>40000</v>
      </c>
      <c r="Z39" s="33">
        <f t="shared" si="4"/>
        <v>8312.5</v>
      </c>
    </row>
    <row r="40" spans="1:26" s="13" customFormat="1" x14ac:dyDescent="0.25">
      <c r="A40" s="24" t="s">
        <v>58</v>
      </c>
      <c r="B40" s="41">
        <f t="shared" ref="B40:Z40" si="5">(B38+B39)</f>
        <v>0</v>
      </c>
      <c r="C40" s="41">
        <f t="shared" si="5"/>
        <v>0</v>
      </c>
      <c r="D40" s="41">
        <f t="shared" si="5"/>
        <v>221085.00000000003</v>
      </c>
      <c r="E40" s="41">
        <f t="shared" si="5"/>
        <v>375976.045575</v>
      </c>
      <c r="F40" s="41">
        <f t="shared" si="5"/>
        <v>460033.66800000006</v>
      </c>
      <c r="G40" s="41">
        <f t="shared" si="5"/>
        <v>469234.34136000008</v>
      </c>
      <c r="H40" s="41">
        <f t="shared" si="5"/>
        <v>443320.87485839409</v>
      </c>
      <c r="I40" s="41">
        <f t="shared" si="5"/>
        <v>488191.40875094401</v>
      </c>
      <c r="J40" s="41">
        <f t="shared" si="5"/>
        <v>497955.2369259629</v>
      </c>
      <c r="K40" s="41">
        <f t="shared" si="5"/>
        <v>470455.65896672657</v>
      </c>
      <c r="L40" s="41">
        <f t="shared" si="5"/>
        <v>518072.62849777186</v>
      </c>
      <c r="M40" s="41">
        <f t="shared" si="5"/>
        <v>528434.08106772718</v>
      </c>
      <c r="N40" s="41">
        <f t="shared" si="5"/>
        <v>499251.30894076201</v>
      </c>
      <c r="O40" s="41">
        <f t="shared" si="5"/>
        <v>549782.81794286345</v>
      </c>
      <c r="P40" s="41">
        <f t="shared" si="5"/>
        <v>560778.47430172074</v>
      </c>
      <c r="Q40" s="41">
        <f t="shared" si="5"/>
        <v>529809.48305840802</v>
      </c>
      <c r="R40" s="41">
        <f t="shared" si="5"/>
        <v>583433.92466351017</v>
      </c>
      <c r="S40" s="41">
        <f t="shared" si="5"/>
        <v>595102.60315678047</v>
      </c>
      <c r="T40" s="41">
        <f t="shared" si="5"/>
        <v>562238.06189744722</v>
      </c>
      <c r="U40" s="41">
        <f t="shared" si="5"/>
        <v>619144.74832431425</v>
      </c>
      <c r="V40" s="41">
        <f t="shared" si="5"/>
        <v>631527.64329080062</v>
      </c>
      <c r="W40" s="41">
        <f t="shared" si="5"/>
        <v>493946.2233520528</v>
      </c>
      <c r="X40" s="41">
        <f t="shared" si="5"/>
        <v>358520.68003987451</v>
      </c>
      <c r="Y40" s="41">
        <f t="shared" si="5"/>
        <v>107018.21872813438</v>
      </c>
      <c r="Z40" s="41">
        <f t="shared" si="5"/>
        <v>8312.5</v>
      </c>
    </row>
    <row r="41" spans="1:26" x14ac:dyDescent="0.25">
      <c r="A41" s="24"/>
      <c r="B41" s="44"/>
      <c r="C41" s="44"/>
      <c r="D41" s="44"/>
      <c r="E41" s="44"/>
      <c r="F41" s="44"/>
      <c r="G41" s="44"/>
      <c r="H41" s="44"/>
      <c r="I41" s="44"/>
      <c r="J41" s="44"/>
      <c r="K41" s="44"/>
    </row>
    <row r="42" spans="1:26" x14ac:dyDescent="0.25">
      <c r="A42" s="24" t="s">
        <v>24</v>
      </c>
    </row>
    <row r="43" spans="1:26" x14ac:dyDescent="0.25">
      <c r="A43" s="9" t="s">
        <v>49</v>
      </c>
      <c r="B43" s="35">
        <f>B11</f>
        <v>0</v>
      </c>
      <c r="C43" s="35">
        <f t="shared" ref="C43:Z50" si="6">C11</f>
        <v>100000</v>
      </c>
      <c r="D43" s="35">
        <f t="shared" si="6"/>
        <v>150000</v>
      </c>
      <c r="E43" s="35">
        <f t="shared" si="6"/>
        <v>200000</v>
      </c>
      <c r="F43" s="35">
        <f t="shared" si="6"/>
        <v>50000</v>
      </c>
      <c r="G43" s="35">
        <f t="shared" si="6"/>
        <v>0</v>
      </c>
      <c r="H43" s="35">
        <f t="shared" si="6"/>
        <v>0</v>
      </c>
      <c r="I43" s="35">
        <f t="shared" si="6"/>
        <v>0</v>
      </c>
      <c r="J43" s="35">
        <f t="shared" si="6"/>
        <v>0</v>
      </c>
      <c r="K43" s="35">
        <f t="shared" si="6"/>
        <v>0</v>
      </c>
      <c r="L43" s="35">
        <f t="shared" si="6"/>
        <v>0</v>
      </c>
      <c r="M43" s="35">
        <f t="shared" si="6"/>
        <v>0</v>
      </c>
      <c r="N43" s="35">
        <f t="shared" si="6"/>
        <v>0</v>
      </c>
      <c r="O43" s="35">
        <f t="shared" si="6"/>
        <v>0</v>
      </c>
      <c r="P43" s="35">
        <f t="shared" si="6"/>
        <v>0</v>
      </c>
      <c r="Q43" s="35">
        <f t="shared" si="6"/>
        <v>0</v>
      </c>
      <c r="R43" s="35">
        <f t="shared" si="6"/>
        <v>0</v>
      </c>
      <c r="S43" s="35">
        <f t="shared" si="6"/>
        <v>0</v>
      </c>
      <c r="T43" s="35">
        <f t="shared" si="6"/>
        <v>0</v>
      </c>
      <c r="U43" s="35">
        <f t="shared" si="6"/>
        <v>0</v>
      </c>
      <c r="V43" s="35">
        <f t="shared" si="6"/>
        <v>0</v>
      </c>
      <c r="W43" s="35">
        <f t="shared" si="6"/>
        <v>0</v>
      </c>
      <c r="X43" s="35">
        <f t="shared" si="6"/>
        <v>0</v>
      </c>
      <c r="Y43" s="35">
        <f t="shared" si="6"/>
        <v>0</v>
      </c>
      <c r="Z43" s="35">
        <f t="shared" si="6"/>
        <v>0</v>
      </c>
    </row>
    <row r="44" spans="1:26" x14ac:dyDescent="0.25">
      <c r="A44" s="9" t="s">
        <v>128</v>
      </c>
      <c r="B44" s="35">
        <f t="shared" ref="B44:Q50" si="7">B12</f>
        <v>0</v>
      </c>
      <c r="C44" s="35">
        <f t="shared" si="7"/>
        <v>0</v>
      </c>
      <c r="D44" s="35">
        <f t="shared" si="7"/>
        <v>5000</v>
      </c>
      <c r="E44" s="35">
        <f t="shared" si="7"/>
        <v>18016.249999999996</v>
      </c>
      <c r="F44" s="35">
        <f t="shared" si="7"/>
        <v>35000</v>
      </c>
      <c r="G44" s="35">
        <f t="shared" si="7"/>
        <v>47500</v>
      </c>
      <c r="H44" s="35">
        <f t="shared" si="7"/>
        <v>52018.749999999985</v>
      </c>
      <c r="I44" s="35">
        <f t="shared" si="7"/>
        <v>50000</v>
      </c>
      <c r="J44" s="35">
        <f t="shared" si="7"/>
        <v>50000</v>
      </c>
      <c r="K44" s="35">
        <f t="shared" si="7"/>
        <v>52018.749999999985</v>
      </c>
      <c r="L44" s="35">
        <f t="shared" si="7"/>
        <v>50000</v>
      </c>
      <c r="M44" s="35">
        <f t="shared" si="7"/>
        <v>50000</v>
      </c>
      <c r="N44" s="35">
        <f t="shared" si="7"/>
        <v>52018.749999999985</v>
      </c>
      <c r="O44" s="35">
        <f t="shared" si="7"/>
        <v>50000</v>
      </c>
      <c r="P44" s="35">
        <f t="shared" si="7"/>
        <v>50000</v>
      </c>
      <c r="Q44" s="35">
        <f t="shared" si="7"/>
        <v>52018.749999999985</v>
      </c>
      <c r="R44" s="35">
        <f t="shared" si="6"/>
        <v>50000</v>
      </c>
      <c r="S44" s="35">
        <f t="shared" si="6"/>
        <v>50000</v>
      </c>
      <c r="T44" s="35">
        <f t="shared" si="6"/>
        <v>52018.749999999985</v>
      </c>
      <c r="U44" s="35">
        <f t="shared" si="6"/>
        <v>50000</v>
      </c>
      <c r="V44" s="35">
        <f t="shared" si="6"/>
        <v>50000</v>
      </c>
      <c r="W44" s="35">
        <f t="shared" si="6"/>
        <v>52018.749999999985</v>
      </c>
      <c r="X44" s="35">
        <f t="shared" si="6"/>
        <v>50000</v>
      </c>
      <c r="Y44" s="35">
        <f t="shared" si="6"/>
        <v>40000</v>
      </c>
      <c r="Z44" s="35">
        <f t="shared" si="6"/>
        <v>26009.374999999993</v>
      </c>
    </row>
    <row r="45" spans="1:26" x14ac:dyDescent="0.25">
      <c r="A45" s="9" t="s">
        <v>53</v>
      </c>
      <c r="B45" s="35">
        <f t="shared" si="7"/>
        <v>0</v>
      </c>
      <c r="C45" s="35">
        <f t="shared" si="6"/>
        <v>10000</v>
      </c>
      <c r="D45" s="35">
        <f t="shared" si="6"/>
        <v>25000</v>
      </c>
      <c r="E45" s="35">
        <f t="shared" si="6"/>
        <v>45000</v>
      </c>
      <c r="F45" s="35">
        <f t="shared" si="6"/>
        <v>50000</v>
      </c>
      <c r="G45" s="35">
        <f t="shared" si="6"/>
        <v>50000</v>
      </c>
      <c r="H45" s="35">
        <f t="shared" si="6"/>
        <v>50000</v>
      </c>
      <c r="I45" s="35">
        <f t="shared" si="6"/>
        <v>50000</v>
      </c>
      <c r="J45" s="35">
        <f t="shared" si="6"/>
        <v>50000</v>
      </c>
      <c r="K45" s="35">
        <f t="shared" si="6"/>
        <v>50000</v>
      </c>
      <c r="L45" s="35">
        <f t="shared" si="6"/>
        <v>50000</v>
      </c>
      <c r="M45" s="35">
        <f t="shared" si="6"/>
        <v>50000</v>
      </c>
      <c r="N45" s="35">
        <f t="shared" si="6"/>
        <v>50000</v>
      </c>
      <c r="O45" s="35">
        <f t="shared" si="6"/>
        <v>50000</v>
      </c>
      <c r="P45" s="35">
        <f t="shared" si="6"/>
        <v>50000</v>
      </c>
      <c r="Q45" s="35">
        <f t="shared" si="6"/>
        <v>50000</v>
      </c>
      <c r="R45" s="35">
        <f t="shared" si="6"/>
        <v>50000</v>
      </c>
      <c r="S45" s="35">
        <f t="shared" si="6"/>
        <v>50000</v>
      </c>
      <c r="T45" s="35">
        <f t="shared" si="6"/>
        <v>50000</v>
      </c>
      <c r="U45" s="35">
        <f t="shared" si="6"/>
        <v>50000</v>
      </c>
      <c r="V45" s="35">
        <f t="shared" si="6"/>
        <v>50000</v>
      </c>
      <c r="W45" s="35">
        <f t="shared" si="6"/>
        <v>40000</v>
      </c>
      <c r="X45" s="35">
        <f t="shared" si="6"/>
        <v>25000</v>
      </c>
      <c r="Y45" s="35">
        <f t="shared" si="6"/>
        <v>5000</v>
      </c>
      <c r="Z45" s="35">
        <f t="shared" si="6"/>
        <v>0</v>
      </c>
    </row>
    <row r="46" spans="1:26" x14ac:dyDescent="0.25">
      <c r="A46" s="9" t="s">
        <v>55</v>
      </c>
      <c r="B46" s="35">
        <f t="shared" si="7"/>
        <v>0</v>
      </c>
      <c r="C46" s="35">
        <f t="shared" si="6"/>
        <v>10000</v>
      </c>
      <c r="D46" s="35">
        <f t="shared" si="6"/>
        <v>25000</v>
      </c>
      <c r="E46" s="35">
        <f t="shared" si="6"/>
        <v>49584.375</v>
      </c>
      <c r="F46" s="35">
        <f t="shared" si="6"/>
        <v>50000</v>
      </c>
      <c r="G46" s="35">
        <f t="shared" si="6"/>
        <v>50000</v>
      </c>
      <c r="H46" s="35">
        <f t="shared" si="6"/>
        <v>55093.75</v>
      </c>
      <c r="I46" s="35">
        <f t="shared" si="6"/>
        <v>50000</v>
      </c>
      <c r="J46" s="35">
        <f t="shared" si="6"/>
        <v>50000</v>
      </c>
      <c r="K46" s="35">
        <f t="shared" si="6"/>
        <v>55093.75</v>
      </c>
      <c r="L46" s="35">
        <f t="shared" si="6"/>
        <v>50000</v>
      </c>
      <c r="M46" s="35">
        <f t="shared" si="6"/>
        <v>50000</v>
      </c>
      <c r="N46" s="35">
        <f t="shared" si="6"/>
        <v>55093.75</v>
      </c>
      <c r="O46" s="35">
        <f t="shared" si="6"/>
        <v>50000</v>
      </c>
      <c r="P46" s="35">
        <f t="shared" si="6"/>
        <v>50000</v>
      </c>
      <c r="Q46" s="35">
        <f t="shared" si="6"/>
        <v>55093.75</v>
      </c>
      <c r="R46" s="35">
        <f t="shared" si="6"/>
        <v>50000</v>
      </c>
      <c r="S46" s="35">
        <f t="shared" si="6"/>
        <v>50000</v>
      </c>
      <c r="T46" s="35">
        <f t="shared" si="6"/>
        <v>55093.75</v>
      </c>
      <c r="U46" s="35">
        <f t="shared" si="6"/>
        <v>50000</v>
      </c>
      <c r="V46" s="35">
        <f t="shared" si="6"/>
        <v>50000</v>
      </c>
      <c r="W46" s="35">
        <f t="shared" si="6"/>
        <v>44075</v>
      </c>
      <c r="X46" s="35">
        <f t="shared" si="6"/>
        <v>25000</v>
      </c>
      <c r="Y46" s="35">
        <f t="shared" si="6"/>
        <v>5000</v>
      </c>
      <c r="Z46" s="35">
        <f t="shared" si="6"/>
        <v>0</v>
      </c>
    </row>
    <row r="47" spans="1:26" x14ac:dyDescent="0.25">
      <c r="A47" s="118" t="s">
        <v>126</v>
      </c>
      <c r="B47" s="35">
        <f t="shared" si="7"/>
        <v>0</v>
      </c>
      <c r="C47" s="35">
        <f t="shared" si="6"/>
        <v>1000</v>
      </c>
      <c r="D47" s="35">
        <f t="shared" si="6"/>
        <v>2500</v>
      </c>
      <c r="E47" s="35">
        <f t="shared" si="6"/>
        <v>4658.625</v>
      </c>
      <c r="F47" s="35">
        <f t="shared" si="6"/>
        <v>5000</v>
      </c>
      <c r="G47" s="35">
        <f t="shared" si="6"/>
        <v>5000</v>
      </c>
      <c r="H47" s="35">
        <f t="shared" si="6"/>
        <v>5176.25</v>
      </c>
      <c r="I47" s="35">
        <f t="shared" si="6"/>
        <v>5000</v>
      </c>
      <c r="J47" s="35">
        <f t="shared" si="6"/>
        <v>5000</v>
      </c>
      <c r="K47" s="35">
        <f t="shared" si="6"/>
        <v>5176.25</v>
      </c>
      <c r="L47" s="35">
        <f t="shared" si="6"/>
        <v>5000</v>
      </c>
      <c r="M47" s="35">
        <f t="shared" si="6"/>
        <v>5000</v>
      </c>
      <c r="N47" s="35">
        <f t="shared" si="6"/>
        <v>5176.25</v>
      </c>
      <c r="O47" s="35">
        <f t="shared" si="6"/>
        <v>5000</v>
      </c>
      <c r="P47" s="35">
        <f t="shared" si="6"/>
        <v>5000</v>
      </c>
      <c r="Q47" s="35">
        <f t="shared" si="6"/>
        <v>5176.25</v>
      </c>
      <c r="R47" s="35">
        <f t="shared" si="6"/>
        <v>5000</v>
      </c>
      <c r="S47" s="35">
        <f t="shared" si="6"/>
        <v>5000</v>
      </c>
      <c r="T47" s="35">
        <f t="shared" si="6"/>
        <v>5176.25</v>
      </c>
      <c r="U47" s="35">
        <f t="shared" si="6"/>
        <v>5000</v>
      </c>
      <c r="V47" s="35">
        <f t="shared" si="6"/>
        <v>5000</v>
      </c>
      <c r="W47" s="35">
        <f t="shared" si="6"/>
        <v>4141</v>
      </c>
      <c r="X47" s="35">
        <f t="shared" si="6"/>
        <v>2500</v>
      </c>
      <c r="Y47" s="35">
        <f t="shared" si="6"/>
        <v>500</v>
      </c>
      <c r="Z47" s="35">
        <f t="shared" si="6"/>
        <v>0</v>
      </c>
    </row>
    <row r="48" spans="1:26" x14ac:dyDescent="0.25">
      <c r="A48" s="118" t="s">
        <v>127</v>
      </c>
      <c r="B48" s="35">
        <f t="shared" si="7"/>
        <v>0</v>
      </c>
      <c r="C48" s="35">
        <f t="shared" si="6"/>
        <v>20000</v>
      </c>
      <c r="D48" s="35">
        <f t="shared" si="6"/>
        <v>50000</v>
      </c>
      <c r="E48" s="35">
        <f t="shared" si="6"/>
        <v>93172.499999999985</v>
      </c>
      <c r="F48" s="35">
        <f t="shared" si="6"/>
        <v>100000</v>
      </c>
      <c r="G48" s="35">
        <f t="shared" si="6"/>
        <v>100000</v>
      </c>
      <c r="H48" s="35">
        <f t="shared" si="6"/>
        <v>103524.99999999999</v>
      </c>
      <c r="I48" s="35">
        <f t="shared" si="6"/>
        <v>100000</v>
      </c>
      <c r="J48" s="35">
        <f t="shared" si="6"/>
        <v>100000</v>
      </c>
      <c r="K48" s="35">
        <f t="shared" si="6"/>
        <v>103524.99999999999</v>
      </c>
      <c r="L48" s="35">
        <f t="shared" si="6"/>
        <v>100000</v>
      </c>
      <c r="M48" s="35">
        <f t="shared" si="6"/>
        <v>100000</v>
      </c>
      <c r="N48" s="35">
        <f t="shared" si="6"/>
        <v>103524.99999999999</v>
      </c>
      <c r="O48" s="35">
        <f t="shared" si="6"/>
        <v>100000</v>
      </c>
      <c r="P48" s="35">
        <f t="shared" si="6"/>
        <v>100000</v>
      </c>
      <c r="Q48" s="35">
        <f t="shared" si="6"/>
        <v>103524.99999999999</v>
      </c>
      <c r="R48" s="35">
        <f t="shared" si="6"/>
        <v>100000</v>
      </c>
      <c r="S48" s="35">
        <f t="shared" si="6"/>
        <v>100000</v>
      </c>
      <c r="T48" s="35">
        <f t="shared" si="6"/>
        <v>103524.99999999999</v>
      </c>
      <c r="U48" s="35">
        <f t="shared" si="6"/>
        <v>100000</v>
      </c>
      <c r="V48" s="35">
        <f t="shared" si="6"/>
        <v>100000</v>
      </c>
      <c r="W48" s="35">
        <f t="shared" si="6"/>
        <v>82820</v>
      </c>
      <c r="X48" s="35">
        <f t="shared" si="6"/>
        <v>50000</v>
      </c>
      <c r="Y48" s="35">
        <f t="shared" si="6"/>
        <v>10000</v>
      </c>
      <c r="Z48" s="35">
        <f t="shared" si="6"/>
        <v>0</v>
      </c>
    </row>
    <row r="49" spans="1:26" x14ac:dyDescent="0.25">
      <c r="A49" s="9" t="s">
        <v>40</v>
      </c>
      <c r="B49" s="35">
        <f t="shared" si="7"/>
        <v>0</v>
      </c>
      <c r="C49" s="35">
        <f t="shared" si="6"/>
        <v>20000</v>
      </c>
      <c r="D49" s="35">
        <f t="shared" si="6"/>
        <v>50000</v>
      </c>
      <c r="E49" s="35">
        <f t="shared" si="6"/>
        <v>94547.249999999971</v>
      </c>
      <c r="F49" s="35">
        <f t="shared" si="6"/>
        <v>100000</v>
      </c>
      <c r="G49" s="35">
        <f t="shared" si="6"/>
        <v>100000</v>
      </c>
      <c r="H49" s="35">
        <f t="shared" si="6"/>
        <v>105052.49999999997</v>
      </c>
      <c r="I49" s="35">
        <f t="shared" si="6"/>
        <v>100000</v>
      </c>
      <c r="J49" s="35">
        <f t="shared" si="6"/>
        <v>100000</v>
      </c>
      <c r="K49" s="35">
        <f t="shared" si="6"/>
        <v>105052.49999999997</v>
      </c>
      <c r="L49" s="35">
        <f t="shared" si="6"/>
        <v>100000</v>
      </c>
      <c r="M49" s="35">
        <f t="shared" si="6"/>
        <v>100000</v>
      </c>
      <c r="N49" s="35">
        <f t="shared" si="6"/>
        <v>105052.49999999997</v>
      </c>
      <c r="O49" s="35">
        <f t="shared" si="6"/>
        <v>100000</v>
      </c>
      <c r="P49" s="35">
        <f t="shared" si="6"/>
        <v>100000</v>
      </c>
      <c r="Q49" s="35">
        <f t="shared" si="6"/>
        <v>105052.49999999997</v>
      </c>
      <c r="R49" s="35">
        <f t="shared" si="6"/>
        <v>100000</v>
      </c>
      <c r="S49" s="35">
        <f t="shared" si="6"/>
        <v>100000</v>
      </c>
      <c r="T49" s="35">
        <f t="shared" si="6"/>
        <v>105052.49999999997</v>
      </c>
      <c r="U49" s="35">
        <f t="shared" si="6"/>
        <v>100000</v>
      </c>
      <c r="V49" s="35">
        <f t="shared" si="6"/>
        <v>100000</v>
      </c>
      <c r="W49" s="35">
        <f t="shared" si="6"/>
        <v>84041.999999999985</v>
      </c>
      <c r="X49" s="35">
        <f t="shared" si="6"/>
        <v>50000</v>
      </c>
      <c r="Y49" s="35">
        <f t="shared" si="6"/>
        <v>10000</v>
      </c>
      <c r="Z49" s="35">
        <f t="shared" si="6"/>
        <v>0</v>
      </c>
    </row>
    <row r="50" spans="1:26" x14ac:dyDescent="0.25">
      <c r="A50" s="9" t="s">
        <v>15</v>
      </c>
      <c r="B50" s="35">
        <f t="shared" si="7"/>
        <v>0</v>
      </c>
      <c r="C50" s="35">
        <f t="shared" si="6"/>
        <v>4100.6000000000004</v>
      </c>
      <c r="D50" s="35">
        <f t="shared" si="6"/>
        <v>10354.014999999999</v>
      </c>
      <c r="E50" s="35">
        <f t="shared" si="6"/>
        <v>18823.599269999999</v>
      </c>
      <c r="F50" s="35">
        <f t="shared" si="6"/>
        <v>21124.261403</v>
      </c>
      <c r="G50" s="35">
        <f t="shared" si="6"/>
        <v>21335.504017029998</v>
      </c>
      <c r="H50" s="35">
        <f t="shared" si="6"/>
        <v>21548.859057200301</v>
      </c>
      <c r="I50" s="35">
        <f t="shared" si="6"/>
        <v>21764.347647772298</v>
      </c>
      <c r="J50" s="35">
        <f t="shared" si="6"/>
        <v>21981.991124250027</v>
      </c>
      <c r="K50" s="35">
        <f t="shared" si="6"/>
        <v>22201.81103549253</v>
      </c>
      <c r="L50" s="35">
        <f t="shared" si="6"/>
        <v>22423.829145847456</v>
      </c>
      <c r="M50" s="35">
        <f t="shared" si="6"/>
        <v>22648.067437305926</v>
      </c>
      <c r="N50" s="35">
        <f t="shared" si="6"/>
        <v>22874.548111678985</v>
      </c>
      <c r="O50" s="35">
        <f t="shared" si="6"/>
        <v>23103.293592795777</v>
      </c>
      <c r="P50" s="35">
        <f t="shared" si="6"/>
        <v>23334.326528723737</v>
      </c>
      <c r="Q50" s="35">
        <f t="shared" si="6"/>
        <v>23567.66979401097</v>
      </c>
      <c r="R50" s="35">
        <f t="shared" si="6"/>
        <v>23803.346491951084</v>
      </c>
      <c r="S50" s="35">
        <f t="shared" si="6"/>
        <v>24041.379956870598</v>
      </c>
      <c r="T50" s="35">
        <f t="shared" si="6"/>
        <v>24281.793756439303</v>
      </c>
      <c r="U50" s="35">
        <f t="shared" si="6"/>
        <v>24524.611694003692</v>
      </c>
      <c r="V50" s="35">
        <f t="shared" si="6"/>
        <v>24769.857810943729</v>
      </c>
      <c r="W50" s="35">
        <f t="shared" si="6"/>
        <v>20014.045111242533</v>
      </c>
      <c r="X50" s="35">
        <f t="shared" si="6"/>
        <v>12633.865976471852</v>
      </c>
      <c r="Y50" s="35">
        <f t="shared" si="6"/>
        <v>2552.0409272473134</v>
      </c>
      <c r="Z50" s="35">
        <f t="shared" si="6"/>
        <v>0</v>
      </c>
    </row>
    <row r="51" spans="1:26" s="54" customFormat="1" x14ac:dyDescent="0.25">
      <c r="A51" s="56" t="s">
        <v>156</v>
      </c>
      <c r="B51" s="53">
        <f>Assumption_Hatchery!D53</f>
        <v>0</v>
      </c>
      <c r="C51" s="53">
        <f>Assumption_Hatchery!E53</f>
        <v>0</v>
      </c>
      <c r="D51" s="53">
        <f>Assumption_Hatchery!F53</f>
        <v>59200</v>
      </c>
      <c r="E51" s="53">
        <f>Assumption_Hatchery!G53</f>
        <v>138400</v>
      </c>
      <c r="F51" s="53">
        <f>Assumption_Hatchery!H53</f>
        <v>192800</v>
      </c>
      <c r="G51" s="53">
        <f>Assumption_Hatchery!I53</f>
        <v>128800</v>
      </c>
      <c r="H51" s="53">
        <f>Assumption_Hatchery!J53</f>
        <v>24800</v>
      </c>
      <c r="I51" s="53">
        <f>Assumption_Hatchery!K53</f>
        <v>0</v>
      </c>
      <c r="J51" s="53">
        <f>Assumption_Hatchery!L53</f>
        <v>0</v>
      </c>
      <c r="K51" s="53">
        <f>Assumption_Hatchery!M53</f>
        <v>0</v>
      </c>
      <c r="L51" s="53">
        <f>Assumption_Hatchery!N53</f>
        <v>0</v>
      </c>
      <c r="M51" s="53">
        <f>Assumption_Hatchery!O53</f>
        <v>0</v>
      </c>
      <c r="N51" s="53">
        <f>Assumption_Hatchery!P53</f>
        <v>0</v>
      </c>
      <c r="O51" s="53">
        <f>Assumption_Hatchery!Q53</f>
        <v>0</v>
      </c>
      <c r="P51" s="53">
        <f>Assumption_Hatchery!R53</f>
        <v>0</v>
      </c>
      <c r="Q51" s="53">
        <f>Assumption_Hatchery!S53</f>
        <v>0</v>
      </c>
      <c r="R51" s="53">
        <f>Assumption_Hatchery!T53</f>
        <v>0</v>
      </c>
      <c r="S51" s="53">
        <f>Assumption_Hatchery!U53</f>
        <v>0</v>
      </c>
      <c r="T51" s="53">
        <f>Assumption_Hatchery!V53</f>
        <v>0</v>
      </c>
      <c r="U51" s="53">
        <f>Assumption_Hatchery!W53</f>
        <v>0</v>
      </c>
      <c r="V51" s="53">
        <f>Assumption_Hatchery!X53</f>
        <v>0</v>
      </c>
      <c r="W51" s="53">
        <f>Assumption_Hatchery!Y53</f>
        <v>0</v>
      </c>
      <c r="X51" s="53">
        <f>Assumption_Hatchery!Z53</f>
        <v>0</v>
      </c>
      <c r="Y51" s="53">
        <f>Assumption_Hatchery!AA53</f>
        <v>0</v>
      </c>
      <c r="Z51" s="53">
        <f>Assumption_Hatchery!AB53</f>
        <v>0</v>
      </c>
    </row>
    <row r="52" spans="1:26" x14ac:dyDescent="0.25">
      <c r="A52" s="127" t="s">
        <v>59</v>
      </c>
      <c r="B52" s="40">
        <f>SUM(B43:B51)</f>
        <v>0</v>
      </c>
      <c r="C52" s="40">
        <f t="shared" ref="C52:Z52" si="8">SUM(C43:C51)</f>
        <v>165100.6</v>
      </c>
      <c r="D52" s="40">
        <f t="shared" si="8"/>
        <v>377054.01500000001</v>
      </c>
      <c r="E52" s="40">
        <f t="shared" si="8"/>
        <v>662202.59927000001</v>
      </c>
      <c r="F52" s="40">
        <f t="shared" si="8"/>
        <v>603924.26140299998</v>
      </c>
      <c r="G52" s="40">
        <f t="shared" si="8"/>
        <v>502635.50401703001</v>
      </c>
      <c r="H52" s="40">
        <f t="shared" si="8"/>
        <v>417215.10905720032</v>
      </c>
      <c r="I52" s="40">
        <f t="shared" si="8"/>
        <v>376764.34764777229</v>
      </c>
      <c r="J52" s="40">
        <f t="shared" si="8"/>
        <v>376981.99112425005</v>
      </c>
      <c r="K52" s="40">
        <f t="shared" si="8"/>
        <v>393068.06103549252</v>
      </c>
      <c r="L52" s="40">
        <f t="shared" si="8"/>
        <v>377423.82914584747</v>
      </c>
      <c r="M52" s="40">
        <f t="shared" si="8"/>
        <v>377648.06743730593</v>
      </c>
      <c r="N52" s="40">
        <f t="shared" si="8"/>
        <v>393740.79811167897</v>
      </c>
      <c r="O52" s="40">
        <f t="shared" si="8"/>
        <v>378103.29359279579</v>
      </c>
      <c r="P52" s="40">
        <f t="shared" si="8"/>
        <v>378334.32652872376</v>
      </c>
      <c r="Q52" s="40">
        <f t="shared" si="8"/>
        <v>394433.91979401099</v>
      </c>
      <c r="R52" s="40">
        <f t="shared" si="8"/>
        <v>378803.34649195109</v>
      </c>
      <c r="S52" s="40">
        <f t="shared" si="8"/>
        <v>379041.37995687057</v>
      </c>
      <c r="T52" s="40">
        <f t="shared" si="8"/>
        <v>395148.04375643929</v>
      </c>
      <c r="U52" s="40">
        <f t="shared" si="8"/>
        <v>379524.61169400369</v>
      </c>
      <c r="V52" s="40">
        <f t="shared" si="8"/>
        <v>379769.85781094374</v>
      </c>
      <c r="W52" s="40">
        <f t="shared" si="8"/>
        <v>327110.79511124251</v>
      </c>
      <c r="X52" s="40">
        <f t="shared" si="8"/>
        <v>215133.86597647186</v>
      </c>
      <c r="Y52" s="40">
        <f t="shared" si="8"/>
        <v>73052.040927247319</v>
      </c>
      <c r="Z52" s="40">
        <f t="shared" si="8"/>
        <v>26009.374999999993</v>
      </c>
    </row>
    <row r="53" spans="1:26" x14ac:dyDescent="0.25">
      <c r="B53" s="34"/>
      <c r="C53" s="34"/>
      <c r="D53" s="34"/>
      <c r="E53" s="34"/>
      <c r="F53" s="34"/>
      <c r="G53" s="34"/>
      <c r="H53" s="34"/>
      <c r="I53" s="34"/>
      <c r="J53" s="34"/>
      <c r="K53" s="34"/>
      <c r="L53" s="34"/>
    </row>
    <row r="54" spans="1:26" x14ac:dyDescent="0.25">
      <c r="A54" s="24" t="s">
        <v>60</v>
      </c>
      <c r="B54" s="36">
        <f>B40-B52</f>
        <v>0</v>
      </c>
      <c r="C54" s="36">
        <f t="shared" ref="C54:Z54" si="9">C40-C52</f>
        <v>-165100.6</v>
      </c>
      <c r="D54" s="36">
        <f t="shared" si="9"/>
        <v>-155969.01499999998</v>
      </c>
      <c r="E54" s="36">
        <f t="shared" si="9"/>
        <v>-286226.55369500001</v>
      </c>
      <c r="F54" s="36">
        <f t="shared" si="9"/>
        <v>-143890.59340299992</v>
      </c>
      <c r="G54" s="36">
        <f t="shared" si="9"/>
        <v>-33401.162657029927</v>
      </c>
      <c r="H54" s="36">
        <f t="shared" si="9"/>
        <v>26105.765801193775</v>
      </c>
      <c r="I54" s="36">
        <f t="shared" si="9"/>
        <v>111427.06110317173</v>
      </c>
      <c r="J54" s="36">
        <f t="shared" si="9"/>
        <v>120973.24580171285</v>
      </c>
      <c r="K54" s="36">
        <f t="shared" si="9"/>
        <v>77387.59793123405</v>
      </c>
      <c r="L54" s="36">
        <f t="shared" si="9"/>
        <v>140648.79935192439</v>
      </c>
      <c r="M54" s="36">
        <f t="shared" si="9"/>
        <v>150786.01363042125</v>
      </c>
      <c r="N54" s="36">
        <f t="shared" si="9"/>
        <v>105510.51082908304</v>
      </c>
      <c r="O54" s="36">
        <f t="shared" si="9"/>
        <v>171679.52435006766</v>
      </c>
      <c r="P54" s="36">
        <f t="shared" si="9"/>
        <v>182444.14777299698</v>
      </c>
      <c r="Q54" s="36">
        <f t="shared" si="9"/>
        <v>135375.56326439703</v>
      </c>
      <c r="R54" s="36">
        <f t="shared" si="9"/>
        <v>204630.57817155909</v>
      </c>
      <c r="S54" s="36">
        <f t="shared" si="9"/>
        <v>216061.2231999099</v>
      </c>
      <c r="T54" s="36">
        <f t="shared" si="9"/>
        <v>167090.01814100792</v>
      </c>
      <c r="U54" s="36">
        <f t="shared" si="9"/>
        <v>239620.13663031056</v>
      </c>
      <c r="V54" s="36">
        <f t="shared" si="9"/>
        <v>251757.78547985689</v>
      </c>
      <c r="W54" s="36">
        <f t="shared" si="9"/>
        <v>166835.42824081029</v>
      </c>
      <c r="X54" s="36">
        <f t="shared" si="9"/>
        <v>143386.81406340265</v>
      </c>
      <c r="Y54" s="36">
        <f t="shared" si="9"/>
        <v>33966.177800887061</v>
      </c>
      <c r="Z54" s="36">
        <f t="shared" si="9"/>
        <v>-17696.874999999993</v>
      </c>
    </row>
    <row r="55" spans="1:26" x14ac:dyDescent="0.25">
      <c r="B55" s="148"/>
      <c r="C55" s="148"/>
      <c r="D55" s="148"/>
      <c r="E55" s="148"/>
      <c r="F55" s="148"/>
      <c r="G55" s="148"/>
      <c r="H55" s="148"/>
      <c r="I55" s="148"/>
      <c r="J55" s="148"/>
      <c r="K55" s="148"/>
      <c r="L55" s="148"/>
      <c r="M55" s="149"/>
      <c r="N55" s="149"/>
      <c r="O55" s="149"/>
      <c r="P55" s="149"/>
      <c r="Q55" s="149"/>
      <c r="R55" s="149"/>
      <c r="S55" s="149"/>
      <c r="T55" s="149"/>
      <c r="U55" s="149"/>
      <c r="V55" s="149"/>
      <c r="W55" s="149"/>
      <c r="X55" s="149"/>
      <c r="Y55" s="149"/>
      <c r="Z55" s="149"/>
    </row>
    <row r="56" spans="1:26" s="13" customFormat="1" x14ac:dyDescent="0.25">
      <c r="A56" s="24" t="s">
        <v>61</v>
      </c>
      <c r="B56" s="42">
        <f>B54/(1+Assumption_Hatchery!$C76)^B36</f>
        <v>0</v>
      </c>
      <c r="C56" s="42">
        <f>C54/(1+Assumption_Hatchery!$C76)^C36</f>
        <v>-151468.44036697247</v>
      </c>
      <c r="D56" s="42">
        <f>D54/(1+Assumption_Hatchery!$C76)^D36</f>
        <v>-131275.99949499196</v>
      </c>
      <c r="E56" s="42">
        <f>E54/(1+Assumption_Hatchery!$C76)^E36</f>
        <v>-221019.41631809014</v>
      </c>
      <c r="F56" s="42">
        <f>F54/(1+Assumption_Hatchery!$C76)^F36</f>
        <v>-101935.72400181658</v>
      </c>
      <c r="G56" s="42">
        <f>G54/(1+Assumption_Hatchery!$C76)^G36</f>
        <v>-21708.463949659981</v>
      </c>
      <c r="H56" s="42">
        <f>H54/(1+Assumption_Hatchery!$C76)^H36</f>
        <v>15566.015190412661</v>
      </c>
      <c r="I56" s="42">
        <f>I54/(1+Assumption_Hatchery!$C76)^I36</f>
        <v>60954.418225683716</v>
      </c>
      <c r="J56" s="42">
        <f>J54/(1+Assumption_Hatchery!$C76)^J36</f>
        <v>60712.392810444944</v>
      </c>
      <c r="K56" s="42">
        <f>K54/(1+Assumption_Hatchery!$C76)^K36</f>
        <v>35631.399877578384</v>
      </c>
      <c r="L56" s="42">
        <f>L54/(1+Assumption_Hatchery!$C76)^L36</f>
        <v>59411.572823156232</v>
      </c>
      <c r="M56" s="42">
        <f>M54/(1+Assumption_Hatchery!$C76)^M36</f>
        <v>58434.533657073938</v>
      </c>
      <c r="N56" s="42">
        <f>N54/(1+Assumption_Hatchery!$C76)^N36</f>
        <v>37512.650463167491</v>
      </c>
      <c r="O56" s="42">
        <f>O54/(1+Assumption_Hatchery!$C76)^O36</f>
        <v>55998.194950213583</v>
      </c>
      <c r="P56" s="42">
        <f>P54/(1+Assumption_Hatchery!$C76)^P36</f>
        <v>54595.766286717175</v>
      </c>
      <c r="Q56" s="42">
        <f>Q54/(1+Assumption_Hatchery!$C76)^Q36</f>
        <v>37165.741980267623</v>
      </c>
      <c r="R56" s="42">
        <f>R54/(1+Assumption_Hatchery!$C76)^R36</f>
        <v>51540.255159624459</v>
      </c>
      <c r="S56" s="42">
        <f>S54/(1+Assumption_Hatchery!$C76)^S36</f>
        <v>49925.953220284166</v>
      </c>
      <c r="T56" s="42">
        <f>T54/(1+Assumption_Hatchery!$C76)^T36</f>
        <v>35422.037887495666</v>
      </c>
      <c r="U56" s="42">
        <f>U54/(1+Assumption_Hatchery!$C76)^U36</f>
        <v>46603.64126567723</v>
      </c>
      <c r="V56" s="42">
        <f>V54/(1+Assumption_Hatchery!$C76)^V36</f>
        <v>44921.365672783977</v>
      </c>
      <c r="W56" s="42">
        <f>W54/(1+Assumption_Hatchery!$C76)^W36</f>
        <v>27310.636613039758</v>
      </c>
      <c r="X56" s="42">
        <f>X54/(1+Assumption_Hatchery!$C76)^X36</f>
        <v>21534.076943335924</v>
      </c>
      <c r="Y56" s="42">
        <f>Y54/(1+Assumption_Hatchery!$C76)^Y36</f>
        <v>4679.9070349119311</v>
      </c>
      <c r="Z56" s="42">
        <f>Z54/(1+Assumption_Hatchery!$C76)^Z36</f>
        <v>-2236.9724359157349</v>
      </c>
    </row>
    <row r="57" spans="1:26" x14ac:dyDescent="0.25">
      <c r="B57" s="34"/>
      <c r="C57" s="34"/>
      <c r="D57" s="34"/>
      <c r="E57" s="34"/>
      <c r="F57" s="34"/>
      <c r="G57" s="34"/>
      <c r="H57" s="34"/>
      <c r="I57" s="34"/>
      <c r="J57" s="34"/>
      <c r="K57" s="34"/>
      <c r="L57" s="34"/>
    </row>
    <row r="58" spans="1:26" s="13" customFormat="1" x14ac:dyDescent="0.25">
      <c r="A58" s="26" t="s">
        <v>62</v>
      </c>
      <c r="B58" s="37">
        <f>NPV(Assumption_Hatchery!C76,C54:Z54)+B54</f>
        <v>128275.54349442174</v>
      </c>
      <c r="C58" s="43"/>
      <c r="D58" s="43"/>
      <c r="E58" s="43"/>
      <c r="F58" s="43"/>
      <c r="G58" s="43"/>
      <c r="H58" s="43"/>
      <c r="I58" s="43"/>
      <c r="J58" s="43"/>
      <c r="K58" s="43"/>
      <c r="L58" s="43"/>
    </row>
    <row r="60" spans="1:26" s="13" customFormat="1" x14ac:dyDescent="0.25">
      <c r="A60" s="26" t="s">
        <v>25</v>
      </c>
      <c r="B60" s="38">
        <f>IRR(B54:Z54)</f>
        <v>0.10881005714507785</v>
      </c>
      <c r="C60" s="4"/>
      <c r="D60" s="4"/>
      <c r="E60" s="4"/>
      <c r="F60" s="4"/>
      <c r="G60" s="4"/>
      <c r="H60" s="4"/>
      <c r="I60" s="4"/>
      <c r="J60" s="4"/>
      <c r="K60" s="4"/>
      <c r="L60" s="4"/>
    </row>
    <row r="62" spans="1:26" s="13" customFormat="1" x14ac:dyDescent="0.25">
      <c r="A62" s="27" t="s">
        <v>63</v>
      </c>
      <c r="B62" s="39">
        <f>B56</f>
        <v>0</v>
      </c>
      <c r="C62" s="39">
        <f>B62+C56</f>
        <v>-151468.44036697247</v>
      </c>
      <c r="D62" s="39">
        <f t="shared" ref="D62:Z62" si="10">C62+D56</f>
        <v>-282744.43986196443</v>
      </c>
      <c r="E62" s="39">
        <f t="shared" si="10"/>
        <v>-503763.8561800546</v>
      </c>
      <c r="F62" s="39">
        <f t="shared" si="10"/>
        <v>-605699.58018187119</v>
      </c>
      <c r="G62" s="39">
        <f t="shared" si="10"/>
        <v>-627408.04413153115</v>
      </c>
      <c r="H62" s="39">
        <f t="shared" si="10"/>
        <v>-611842.02894111851</v>
      </c>
      <c r="I62" s="39">
        <f t="shared" si="10"/>
        <v>-550887.61071543477</v>
      </c>
      <c r="J62" s="39">
        <f t="shared" si="10"/>
        <v>-490175.21790498984</v>
      </c>
      <c r="K62" s="39">
        <f t="shared" si="10"/>
        <v>-454543.81802741147</v>
      </c>
      <c r="L62" s="39">
        <f t="shared" si="10"/>
        <v>-395132.24520425522</v>
      </c>
      <c r="M62" s="39">
        <f t="shared" si="10"/>
        <v>-336697.7115471813</v>
      </c>
      <c r="N62" s="39">
        <f t="shared" si="10"/>
        <v>-299185.06108401378</v>
      </c>
      <c r="O62" s="39">
        <f t="shared" si="10"/>
        <v>-243186.86613380018</v>
      </c>
      <c r="P62" s="39">
        <f t="shared" si="10"/>
        <v>-188591.09984708301</v>
      </c>
      <c r="Q62" s="39">
        <f t="shared" si="10"/>
        <v>-151425.35786681538</v>
      </c>
      <c r="R62" s="39">
        <f t="shared" si="10"/>
        <v>-99885.102707190919</v>
      </c>
      <c r="S62" s="39">
        <f t="shared" si="10"/>
        <v>-49959.149486906754</v>
      </c>
      <c r="T62" s="39">
        <f t="shared" si="10"/>
        <v>-14537.111599411088</v>
      </c>
      <c r="U62" s="39">
        <f t="shared" si="10"/>
        <v>32066.529666266142</v>
      </c>
      <c r="V62" s="39">
        <f t="shared" si="10"/>
        <v>76987.895339050126</v>
      </c>
      <c r="W62" s="39">
        <f t="shared" si="10"/>
        <v>104298.53195208989</v>
      </c>
      <c r="X62" s="39">
        <f t="shared" si="10"/>
        <v>125832.60889542582</v>
      </c>
      <c r="Y62" s="39">
        <f t="shared" si="10"/>
        <v>130512.51593033774</v>
      </c>
      <c r="Z62" s="39">
        <f t="shared" si="10"/>
        <v>128275.543494422</v>
      </c>
    </row>
    <row r="63" spans="1:26" ht="38.25" customHeight="1" x14ac:dyDescent="0.25">
      <c r="A63" s="11"/>
      <c r="B63" s="32"/>
      <c r="C63" s="76"/>
      <c r="D63" s="77"/>
      <c r="E63" s="32"/>
      <c r="F63" s="126"/>
      <c r="G63" s="32"/>
      <c r="H63" s="32"/>
      <c r="I63" s="32"/>
      <c r="J63" s="32"/>
      <c r="K63" s="32"/>
      <c r="L63" s="32"/>
      <c r="M63" s="11"/>
    </row>
    <row r="64" spans="1:26" s="1" customFormat="1" x14ac:dyDescent="0.25">
      <c r="A64" s="25"/>
      <c r="B64" s="45"/>
      <c r="C64" s="45"/>
      <c r="D64" s="45"/>
      <c r="E64" s="45"/>
      <c r="F64" s="45"/>
      <c r="G64" s="45"/>
      <c r="H64" s="45"/>
      <c r="I64" s="45"/>
      <c r="J64" s="45"/>
      <c r="K64" s="45"/>
      <c r="L64" s="45"/>
    </row>
    <row r="66" spans="1:26" ht="26.25" x14ac:dyDescent="0.25">
      <c r="F66" s="20" t="s">
        <v>111</v>
      </c>
    </row>
    <row r="67" spans="1:26" ht="38.25" customHeight="1" x14ac:dyDescent="0.25">
      <c r="A67" s="11" t="s">
        <v>77</v>
      </c>
      <c r="B67" s="32"/>
      <c r="C67" s="76"/>
      <c r="D67" s="77"/>
      <c r="E67" s="32"/>
      <c r="F67" s="32"/>
      <c r="G67" s="32"/>
      <c r="H67" s="32"/>
      <c r="I67" s="32"/>
      <c r="J67" s="32"/>
      <c r="K67" s="32"/>
      <c r="L67" s="32"/>
      <c r="M67" s="11"/>
    </row>
    <row r="69" spans="1:26" x14ac:dyDescent="0.25">
      <c r="A69" s="10" t="s">
        <v>22</v>
      </c>
      <c r="B69" s="28">
        <v>0</v>
      </c>
      <c r="C69" s="28">
        <v>1</v>
      </c>
      <c r="D69" s="28">
        <v>2</v>
      </c>
      <c r="E69" s="28">
        <v>3</v>
      </c>
      <c r="F69" s="28">
        <v>4</v>
      </c>
      <c r="G69" s="28">
        <v>5</v>
      </c>
      <c r="H69" s="28">
        <v>6</v>
      </c>
      <c r="I69" s="28">
        <v>7</v>
      </c>
      <c r="J69" s="28">
        <v>8</v>
      </c>
      <c r="K69" s="28">
        <v>9</v>
      </c>
      <c r="L69" s="28">
        <v>10</v>
      </c>
      <c r="M69" s="28">
        <v>11</v>
      </c>
      <c r="N69" s="28">
        <v>12</v>
      </c>
      <c r="O69" s="28">
        <v>13</v>
      </c>
      <c r="P69" s="28">
        <v>14</v>
      </c>
      <c r="Q69" s="28">
        <v>15</v>
      </c>
      <c r="R69" s="28">
        <v>16</v>
      </c>
      <c r="S69" s="28">
        <v>17</v>
      </c>
      <c r="T69" s="28">
        <v>18</v>
      </c>
      <c r="U69" s="28">
        <v>19</v>
      </c>
      <c r="V69" s="28">
        <v>20</v>
      </c>
      <c r="W69" s="28">
        <v>21</v>
      </c>
      <c r="X69" s="28">
        <v>22</v>
      </c>
      <c r="Y69" s="28">
        <v>23</v>
      </c>
      <c r="Z69" s="28">
        <v>24</v>
      </c>
    </row>
    <row r="70" spans="1:26" x14ac:dyDescent="0.25">
      <c r="A70" s="24" t="s">
        <v>23</v>
      </c>
    </row>
    <row r="71" spans="1:26" x14ac:dyDescent="0.25">
      <c r="A71" s="10" t="s">
        <v>56</v>
      </c>
      <c r="B71" s="33">
        <f>B6</f>
        <v>0</v>
      </c>
      <c r="C71" s="33">
        <f t="shared" ref="C71:Z72" si="11">C6</f>
        <v>0</v>
      </c>
      <c r="D71" s="33">
        <f t="shared" si="11"/>
        <v>221085.00000000003</v>
      </c>
      <c r="E71" s="33">
        <f t="shared" si="11"/>
        <v>375976.045575</v>
      </c>
      <c r="F71" s="33">
        <f t="shared" si="11"/>
        <v>460033.66800000006</v>
      </c>
      <c r="G71" s="33">
        <f t="shared" si="11"/>
        <v>469234.34136000008</v>
      </c>
      <c r="H71" s="33">
        <f t="shared" si="11"/>
        <v>443320.87485839409</v>
      </c>
      <c r="I71" s="33">
        <f t="shared" si="11"/>
        <v>488191.40875094401</v>
      </c>
      <c r="J71" s="33">
        <f t="shared" si="11"/>
        <v>497955.2369259629</v>
      </c>
      <c r="K71" s="33">
        <f t="shared" si="11"/>
        <v>470455.65896672657</v>
      </c>
      <c r="L71" s="33">
        <f t="shared" si="11"/>
        <v>518072.62849777186</v>
      </c>
      <c r="M71" s="33">
        <f t="shared" si="11"/>
        <v>528434.08106772718</v>
      </c>
      <c r="N71" s="33">
        <f t="shared" si="11"/>
        <v>499251.30894076201</v>
      </c>
      <c r="O71" s="33">
        <f t="shared" si="11"/>
        <v>549782.81794286345</v>
      </c>
      <c r="P71" s="33">
        <f t="shared" si="11"/>
        <v>560778.47430172074</v>
      </c>
      <c r="Q71" s="33">
        <f t="shared" si="11"/>
        <v>529809.48305840802</v>
      </c>
      <c r="R71" s="33">
        <f t="shared" si="11"/>
        <v>583433.92466351017</v>
      </c>
      <c r="S71" s="33">
        <f t="shared" si="11"/>
        <v>595102.60315678047</v>
      </c>
      <c r="T71" s="33">
        <f t="shared" si="11"/>
        <v>562238.06189744722</v>
      </c>
      <c r="U71" s="33">
        <f t="shared" si="11"/>
        <v>619144.74832431425</v>
      </c>
      <c r="V71" s="33">
        <f t="shared" si="11"/>
        <v>631527.64329080062</v>
      </c>
      <c r="W71" s="33">
        <f t="shared" si="11"/>
        <v>477321.2233520528</v>
      </c>
      <c r="X71" s="33">
        <f t="shared" si="11"/>
        <v>328520.68003987451</v>
      </c>
      <c r="Y71" s="33">
        <f t="shared" si="11"/>
        <v>67018.218728134379</v>
      </c>
      <c r="Z71" s="33">
        <f t="shared" si="11"/>
        <v>0</v>
      </c>
    </row>
    <row r="72" spans="1:26" x14ac:dyDescent="0.25">
      <c r="A72" s="10" t="s">
        <v>57</v>
      </c>
      <c r="B72" s="33">
        <f>B7</f>
        <v>0</v>
      </c>
      <c r="C72" s="33">
        <f t="shared" si="11"/>
        <v>0</v>
      </c>
      <c r="D72" s="33">
        <f t="shared" si="11"/>
        <v>0</v>
      </c>
      <c r="E72" s="33">
        <f t="shared" si="11"/>
        <v>0</v>
      </c>
      <c r="F72" s="33">
        <f t="shared" si="11"/>
        <v>0</v>
      </c>
      <c r="G72" s="33">
        <f t="shared" si="11"/>
        <v>0</v>
      </c>
      <c r="H72" s="33">
        <f t="shared" si="11"/>
        <v>0</v>
      </c>
      <c r="I72" s="33">
        <f t="shared" si="11"/>
        <v>0</v>
      </c>
      <c r="J72" s="33">
        <f t="shared" si="11"/>
        <v>0</v>
      </c>
      <c r="K72" s="33">
        <f t="shared" si="11"/>
        <v>0</v>
      </c>
      <c r="L72" s="33">
        <f t="shared" si="11"/>
        <v>0</v>
      </c>
      <c r="M72" s="33">
        <f t="shared" si="11"/>
        <v>0</v>
      </c>
      <c r="N72" s="33">
        <f t="shared" si="11"/>
        <v>0</v>
      </c>
      <c r="O72" s="33">
        <f t="shared" si="11"/>
        <v>0</v>
      </c>
      <c r="P72" s="33">
        <f t="shared" si="11"/>
        <v>0</v>
      </c>
      <c r="Q72" s="33">
        <f t="shared" si="11"/>
        <v>0</v>
      </c>
      <c r="R72" s="33">
        <f t="shared" si="11"/>
        <v>0</v>
      </c>
      <c r="S72" s="33">
        <f t="shared" si="11"/>
        <v>0</v>
      </c>
      <c r="T72" s="33">
        <f t="shared" si="11"/>
        <v>0</v>
      </c>
      <c r="U72" s="33">
        <f t="shared" si="11"/>
        <v>0</v>
      </c>
      <c r="V72" s="33">
        <f t="shared" si="11"/>
        <v>0</v>
      </c>
      <c r="W72" s="33">
        <f t="shared" si="11"/>
        <v>16625</v>
      </c>
      <c r="X72" s="33">
        <f t="shared" si="11"/>
        <v>30000</v>
      </c>
      <c r="Y72" s="33">
        <f t="shared" si="11"/>
        <v>40000</v>
      </c>
      <c r="Z72" s="33">
        <f t="shared" si="11"/>
        <v>8312.5</v>
      </c>
    </row>
    <row r="73" spans="1:26" s="13" customFormat="1" x14ac:dyDescent="0.25">
      <c r="A73" s="24" t="s">
        <v>58</v>
      </c>
      <c r="B73" s="41">
        <f t="shared" ref="B73:Z73" si="12">(B71+B72)</f>
        <v>0</v>
      </c>
      <c r="C73" s="41">
        <f t="shared" si="12"/>
        <v>0</v>
      </c>
      <c r="D73" s="41">
        <f t="shared" si="12"/>
        <v>221085.00000000003</v>
      </c>
      <c r="E73" s="41">
        <f t="shared" si="12"/>
        <v>375976.045575</v>
      </c>
      <c r="F73" s="41">
        <f t="shared" si="12"/>
        <v>460033.66800000006</v>
      </c>
      <c r="G73" s="41">
        <f t="shared" si="12"/>
        <v>469234.34136000008</v>
      </c>
      <c r="H73" s="41">
        <f t="shared" si="12"/>
        <v>443320.87485839409</v>
      </c>
      <c r="I73" s="41">
        <f t="shared" si="12"/>
        <v>488191.40875094401</v>
      </c>
      <c r="J73" s="41">
        <f t="shared" si="12"/>
        <v>497955.2369259629</v>
      </c>
      <c r="K73" s="41">
        <f t="shared" si="12"/>
        <v>470455.65896672657</v>
      </c>
      <c r="L73" s="41">
        <f t="shared" si="12"/>
        <v>518072.62849777186</v>
      </c>
      <c r="M73" s="41">
        <f t="shared" si="12"/>
        <v>528434.08106772718</v>
      </c>
      <c r="N73" s="41">
        <f t="shared" si="12"/>
        <v>499251.30894076201</v>
      </c>
      <c r="O73" s="41">
        <f t="shared" si="12"/>
        <v>549782.81794286345</v>
      </c>
      <c r="P73" s="41">
        <f t="shared" si="12"/>
        <v>560778.47430172074</v>
      </c>
      <c r="Q73" s="41">
        <f t="shared" si="12"/>
        <v>529809.48305840802</v>
      </c>
      <c r="R73" s="41">
        <f t="shared" si="12"/>
        <v>583433.92466351017</v>
      </c>
      <c r="S73" s="41">
        <f t="shared" si="12"/>
        <v>595102.60315678047</v>
      </c>
      <c r="T73" s="41">
        <f t="shared" si="12"/>
        <v>562238.06189744722</v>
      </c>
      <c r="U73" s="41">
        <f t="shared" si="12"/>
        <v>619144.74832431425</v>
      </c>
      <c r="V73" s="41">
        <f t="shared" si="12"/>
        <v>631527.64329080062</v>
      </c>
      <c r="W73" s="41">
        <f t="shared" si="12"/>
        <v>493946.2233520528</v>
      </c>
      <c r="X73" s="41">
        <f t="shared" si="12"/>
        <v>358520.68003987451</v>
      </c>
      <c r="Y73" s="41">
        <f t="shared" si="12"/>
        <v>107018.21872813438</v>
      </c>
      <c r="Z73" s="41">
        <f t="shared" si="12"/>
        <v>8312.5</v>
      </c>
    </row>
    <row r="74" spans="1:26" x14ac:dyDescent="0.25">
      <c r="A74" s="24"/>
      <c r="B74" s="44"/>
      <c r="C74" s="44"/>
      <c r="D74" s="44"/>
      <c r="E74" s="44"/>
      <c r="F74" s="44"/>
      <c r="G74" s="44"/>
      <c r="H74" s="44"/>
      <c r="I74" s="44"/>
      <c r="J74" s="44"/>
      <c r="K74" s="44"/>
    </row>
    <row r="75" spans="1:26" x14ac:dyDescent="0.25">
      <c r="A75" s="24" t="s">
        <v>24</v>
      </c>
    </row>
    <row r="76" spans="1:26" x14ac:dyDescent="0.25">
      <c r="A76" s="9" t="s">
        <v>49</v>
      </c>
      <c r="B76" s="35">
        <f>B11</f>
        <v>0</v>
      </c>
      <c r="C76" s="35">
        <f t="shared" ref="C76:Z83" si="13">C11</f>
        <v>100000</v>
      </c>
      <c r="D76" s="35">
        <f t="shared" si="13"/>
        <v>150000</v>
      </c>
      <c r="E76" s="35">
        <f t="shared" si="13"/>
        <v>200000</v>
      </c>
      <c r="F76" s="35">
        <f t="shared" si="13"/>
        <v>50000</v>
      </c>
      <c r="G76" s="35">
        <f t="shared" si="13"/>
        <v>0</v>
      </c>
      <c r="H76" s="35">
        <f t="shared" si="13"/>
        <v>0</v>
      </c>
      <c r="I76" s="35">
        <f t="shared" si="13"/>
        <v>0</v>
      </c>
      <c r="J76" s="35">
        <f t="shared" si="13"/>
        <v>0</v>
      </c>
      <c r="K76" s="35">
        <f t="shared" si="13"/>
        <v>0</v>
      </c>
      <c r="L76" s="35">
        <f t="shared" si="13"/>
        <v>0</v>
      </c>
      <c r="M76" s="35">
        <f t="shared" si="13"/>
        <v>0</v>
      </c>
      <c r="N76" s="35">
        <f t="shared" si="13"/>
        <v>0</v>
      </c>
      <c r="O76" s="35">
        <f t="shared" si="13"/>
        <v>0</v>
      </c>
      <c r="P76" s="35">
        <f t="shared" si="13"/>
        <v>0</v>
      </c>
      <c r="Q76" s="35">
        <f t="shared" si="13"/>
        <v>0</v>
      </c>
      <c r="R76" s="35">
        <f t="shared" si="13"/>
        <v>0</v>
      </c>
      <c r="S76" s="35">
        <f t="shared" si="13"/>
        <v>0</v>
      </c>
      <c r="T76" s="35">
        <f t="shared" si="13"/>
        <v>0</v>
      </c>
      <c r="U76" s="35">
        <f t="shared" si="13"/>
        <v>0</v>
      </c>
      <c r="V76" s="35">
        <f t="shared" si="13"/>
        <v>0</v>
      </c>
      <c r="W76" s="35">
        <f t="shared" si="13"/>
        <v>0</v>
      </c>
      <c r="X76" s="35">
        <f t="shared" si="13"/>
        <v>0</v>
      </c>
      <c r="Y76" s="35">
        <f t="shared" si="13"/>
        <v>0</v>
      </c>
      <c r="Z76" s="35">
        <f t="shared" si="13"/>
        <v>0</v>
      </c>
    </row>
    <row r="77" spans="1:26" x14ac:dyDescent="0.25">
      <c r="A77" s="9" t="s">
        <v>128</v>
      </c>
      <c r="B77" s="35">
        <f t="shared" ref="B77:Q83" si="14">B12</f>
        <v>0</v>
      </c>
      <c r="C77" s="35">
        <f t="shared" si="14"/>
        <v>0</v>
      </c>
      <c r="D77" s="35">
        <f t="shared" si="14"/>
        <v>5000</v>
      </c>
      <c r="E77" s="35">
        <f t="shared" si="14"/>
        <v>18016.249999999996</v>
      </c>
      <c r="F77" s="35">
        <f t="shared" si="14"/>
        <v>35000</v>
      </c>
      <c r="G77" s="35">
        <f t="shared" si="14"/>
        <v>47500</v>
      </c>
      <c r="H77" s="35">
        <f t="shared" si="14"/>
        <v>52018.749999999985</v>
      </c>
      <c r="I77" s="35">
        <f t="shared" si="14"/>
        <v>50000</v>
      </c>
      <c r="J77" s="35">
        <f t="shared" si="14"/>
        <v>50000</v>
      </c>
      <c r="K77" s="35">
        <f t="shared" si="14"/>
        <v>52018.749999999985</v>
      </c>
      <c r="L77" s="35">
        <f t="shared" si="14"/>
        <v>50000</v>
      </c>
      <c r="M77" s="35">
        <f t="shared" si="14"/>
        <v>50000</v>
      </c>
      <c r="N77" s="35">
        <f t="shared" si="14"/>
        <v>52018.749999999985</v>
      </c>
      <c r="O77" s="35">
        <f t="shared" si="14"/>
        <v>50000</v>
      </c>
      <c r="P77" s="35">
        <f t="shared" si="14"/>
        <v>50000</v>
      </c>
      <c r="Q77" s="35">
        <f t="shared" si="14"/>
        <v>52018.749999999985</v>
      </c>
      <c r="R77" s="35">
        <f t="shared" si="13"/>
        <v>50000</v>
      </c>
      <c r="S77" s="35">
        <f t="shared" si="13"/>
        <v>50000</v>
      </c>
      <c r="T77" s="35">
        <f t="shared" si="13"/>
        <v>52018.749999999985</v>
      </c>
      <c r="U77" s="35">
        <f t="shared" si="13"/>
        <v>50000</v>
      </c>
      <c r="V77" s="35">
        <f t="shared" si="13"/>
        <v>50000</v>
      </c>
      <c r="W77" s="35">
        <f t="shared" si="13"/>
        <v>52018.749999999985</v>
      </c>
      <c r="X77" s="35">
        <f t="shared" si="13"/>
        <v>50000</v>
      </c>
      <c r="Y77" s="35">
        <f t="shared" si="13"/>
        <v>40000</v>
      </c>
      <c r="Z77" s="35">
        <f t="shared" si="13"/>
        <v>26009.374999999993</v>
      </c>
    </row>
    <row r="78" spans="1:26" x14ac:dyDescent="0.25">
      <c r="A78" s="9" t="s">
        <v>53</v>
      </c>
      <c r="B78" s="35">
        <f t="shared" si="14"/>
        <v>0</v>
      </c>
      <c r="C78" s="35">
        <f t="shared" si="13"/>
        <v>10000</v>
      </c>
      <c r="D78" s="35">
        <f t="shared" si="13"/>
        <v>25000</v>
      </c>
      <c r="E78" s="35">
        <f t="shared" si="13"/>
        <v>45000</v>
      </c>
      <c r="F78" s="35">
        <f t="shared" si="13"/>
        <v>50000</v>
      </c>
      <c r="G78" s="35">
        <f t="shared" si="13"/>
        <v>50000</v>
      </c>
      <c r="H78" s="35">
        <f t="shared" si="13"/>
        <v>50000</v>
      </c>
      <c r="I78" s="35">
        <f t="shared" si="13"/>
        <v>50000</v>
      </c>
      <c r="J78" s="35">
        <f t="shared" si="13"/>
        <v>50000</v>
      </c>
      <c r="K78" s="35">
        <f t="shared" si="13"/>
        <v>50000</v>
      </c>
      <c r="L78" s="35">
        <f t="shared" si="13"/>
        <v>50000</v>
      </c>
      <c r="M78" s="35">
        <f t="shared" si="13"/>
        <v>50000</v>
      </c>
      <c r="N78" s="35">
        <f t="shared" si="13"/>
        <v>50000</v>
      </c>
      <c r="O78" s="35">
        <f t="shared" si="13"/>
        <v>50000</v>
      </c>
      <c r="P78" s="35">
        <f t="shared" si="13"/>
        <v>50000</v>
      </c>
      <c r="Q78" s="35">
        <f t="shared" si="13"/>
        <v>50000</v>
      </c>
      <c r="R78" s="35">
        <f t="shared" si="13"/>
        <v>50000</v>
      </c>
      <c r="S78" s="35">
        <f t="shared" si="13"/>
        <v>50000</v>
      </c>
      <c r="T78" s="35">
        <f t="shared" si="13"/>
        <v>50000</v>
      </c>
      <c r="U78" s="35">
        <f t="shared" si="13"/>
        <v>50000</v>
      </c>
      <c r="V78" s="35">
        <f t="shared" si="13"/>
        <v>50000</v>
      </c>
      <c r="W78" s="35">
        <f t="shared" si="13"/>
        <v>40000</v>
      </c>
      <c r="X78" s="35">
        <f t="shared" si="13"/>
        <v>25000</v>
      </c>
      <c r="Y78" s="35">
        <f t="shared" si="13"/>
        <v>5000</v>
      </c>
      <c r="Z78" s="35">
        <f t="shared" si="13"/>
        <v>0</v>
      </c>
    </row>
    <row r="79" spans="1:26" x14ac:dyDescent="0.25">
      <c r="A79" s="9" t="s">
        <v>55</v>
      </c>
      <c r="B79" s="35">
        <f t="shared" si="14"/>
        <v>0</v>
      </c>
      <c r="C79" s="35">
        <f t="shared" si="13"/>
        <v>10000</v>
      </c>
      <c r="D79" s="35">
        <f t="shared" si="13"/>
        <v>25000</v>
      </c>
      <c r="E79" s="35">
        <f t="shared" si="13"/>
        <v>49584.375</v>
      </c>
      <c r="F79" s="35">
        <f t="shared" si="13"/>
        <v>50000</v>
      </c>
      <c r="G79" s="35">
        <f t="shared" si="13"/>
        <v>50000</v>
      </c>
      <c r="H79" s="35">
        <f t="shared" si="13"/>
        <v>55093.75</v>
      </c>
      <c r="I79" s="35">
        <f t="shared" si="13"/>
        <v>50000</v>
      </c>
      <c r="J79" s="35">
        <f t="shared" si="13"/>
        <v>50000</v>
      </c>
      <c r="K79" s="35">
        <f t="shared" si="13"/>
        <v>55093.75</v>
      </c>
      <c r="L79" s="35">
        <f t="shared" si="13"/>
        <v>50000</v>
      </c>
      <c r="M79" s="35">
        <f t="shared" si="13"/>
        <v>50000</v>
      </c>
      <c r="N79" s="35">
        <f t="shared" si="13"/>
        <v>55093.75</v>
      </c>
      <c r="O79" s="35">
        <f t="shared" si="13"/>
        <v>50000</v>
      </c>
      <c r="P79" s="35">
        <f t="shared" si="13"/>
        <v>50000</v>
      </c>
      <c r="Q79" s="35">
        <f t="shared" si="13"/>
        <v>55093.75</v>
      </c>
      <c r="R79" s="35">
        <f t="shared" si="13"/>
        <v>50000</v>
      </c>
      <c r="S79" s="35">
        <f t="shared" si="13"/>
        <v>50000</v>
      </c>
      <c r="T79" s="35">
        <f t="shared" si="13"/>
        <v>55093.75</v>
      </c>
      <c r="U79" s="35">
        <f t="shared" si="13"/>
        <v>50000</v>
      </c>
      <c r="V79" s="35">
        <f t="shared" si="13"/>
        <v>50000</v>
      </c>
      <c r="W79" s="35">
        <f t="shared" si="13"/>
        <v>44075</v>
      </c>
      <c r="X79" s="35">
        <f t="shared" si="13"/>
        <v>25000</v>
      </c>
      <c r="Y79" s="35">
        <f t="shared" si="13"/>
        <v>5000</v>
      </c>
      <c r="Z79" s="35">
        <f t="shared" si="13"/>
        <v>0</v>
      </c>
    </row>
    <row r="80" spans="1:26" x14ac:dyDescent="0.25">
      <c r="A80" s="118" t="s">
        <v>126</v>
      </c>
      <c r="B80" s="35">
        <f t="shared" si="14"/>
        <v>0</v>
      </c>
      <c r="C80" s="35">
        <f t="shared" si="13"/>
        <v>1000</v>
      </c>
      <c r="D80" s="35">
        <f t="shared" si="13"/>
        <v>2500</v>
      </c>
      <c r="E80" s="35">
        <f t="shared" si="13"/>
        <v>4658.625</v>
      </c>
      <c r="F80" s="35">
        <f t="shared" si="13"/>
        <v>5000</v>
      </c>
      <c r="G80" s="35">
        <f t="shared" si="13"/>
        <v>5000</v>
      </c>
      <c r="H80" s="35">
        <f t="shared" si="13"/>
        <v>5176.25</v>
      </c>
      <c r="I80" s="35">
        <f t="shared" si="13"/>
        <v>5000</v>
      </c>
      <c r="J80" s="35">
        <f t="shared" si="13"/>
        <v>5000</v>
      </c>
      <c r="K80" s="35">
        <f t="shared" si="13"/>
        <v>5176.25</v>
      </c>
      <c r="L80" s="35">
        <f t="shared" si="13"/>
        <v>5000</v>
      </c>
      <c r="M80" s="35">
        <f t="shared" si="13"/>
        <v>5000</v>
      </c>
      <c r="N80" s="35">
        <f t="shared" si="13"/>
        <v>5176.25</v>
      </c>
      <c r="O80" s="35">
        <f t="shared" si="13"/>
        <v>5000</v>
      </c>
      <c r="P80" s="35">
        <f t="shared" si="13"/>
        <v>5000</v>
      </c>
      <c r="Q80" s="35">
        <f t="shared" si="13"/>
        <v>5176.25</v>
      </c>
      <c r="R80" s="35">
        <f t="shared" si="13"/>
        <v>5000</v>
      </c>
      <c r="S80" s="35">
        <f t="shared" si="13"/>
        <v>5000</v>
      </c>
      <c r="T80" s="35">
        <f t="shared" si="13"/>
        <v>5176.25</v>
      </c>
      <c r="U80" s="35">
        <f t="shared" si="13"/>
        <v>5000</v>
      </c>
      <c r="V80" s="35">
        <f t="shared" si="13"/>
        <v>5000</v>
      </c>
      <c r="W80" s="35">
        <f t="shared" si="13"/>
        <v>4141</v>
      </c>
      <c r="X80" s="35">
        <f t="shared" si="13"/>
        <v>2500</v>
      </c>
      <c r="Y80" s="35">
        <f t="shared" si="13"/>
        <v>500</v>
      </c>
      <c r="Z80" s="35">
        <f t="shared" si="13"/>
        <v>0</v>
      </c>
    </row>
    <row r="81" spans="1:26" x14ac:dyDescent="0.25">
      <c r="A81" s="118" t="s">
        <v>127</v>
      </c>
      <c r="B81" s="35">
        <f t="shared" si="14"/>
        <v>0</v>
      </c>
      <c r="C81" s="35">
        <f t="shared" si="13"/>
        <v>20000</v>
      </c>
      <c r="D81" s="35">
        <f t="shared" si="13"/>
        <v>50000</v>
      </c>
      <c r="E81" s="35">
        <f t="shared" si="13"/>
        <v>93172.499999999985</v>
      </c>
      <c r="F81" s="35">
        <f t="shared" si="13"/>
        <v>100000</v>
      </c>
      <c r="G81" s="35">
        <f t="shared" si="13"/>
        <v>100000</v>
      </c>
      <c r="H81" s="35">
        <f t="shared" si="13"/>
        <v>103524.99999999999</v>
      </c>
      <c r="I81" s="35">
        <f t="shared" si="13"/>
        <v>100000</v>
      </c>
      <c r="J81" s="35">
        <f t="shared" si="13"/>
        <v>100000</v>
      </c>
      <c r="K81" s="35">
        <f t="shared" si="13"/>
        <v>103524.99999999999</v>
      </c>
      <c r="L81" s="35">
        <f t="shared" si="13"/>
        <v>100000</v>
      </c>
      <c r="M81" s="35">
        <f t="shared" si="13"/>
        <v>100000</v>
      </c>
      <c r="N81" s="35">
        <f t="shared" si="13"/>
        <v>103524.99999999999</v>
      </c>
      <c r="O81" s="35">
        <f t="shared" si="13"/>
        <v>100000</v>
      </c>
      <c r="P81" s="35">
        <f t="shared" si="13"/>
        <v>100000</v>
      </c>
      <c r="Q81" s="35">
        <f t="shared" si="13"/>
        <v>103524.99999999999</v>
      </c>
      <c r="R81" s="35">
        <f t="shared" si="13"/>
        <v>100000</v>
      </c>
      <c r="S81" s="35">
        <f t="shared" si="13"/>
        <v>100000</v>
      </c>
      <c r="T81" s="35">
        <f t="shared" si="13"/>
        <v>103524.99999999999</v>
      </c>
      <c r="U81" s="35">
        <f t="shared" si="13"/>
        <v>100000</v>
      </c>
      <c r="V81" s="35">
        <f t="shared" si="13"/>
        <v>100000</v>
      </c>
      <c r="W81" s="35">
        <f t="shared" si="13"/>
        <v>82820</v>
      </c>
      <c r="X81" s="35">
        <f t="shared" si="13"/>
        <v>50000</v>
      </c>
      <c r="Y81" s="35">
        <f t="shared" si="13"/>
        <v>10000</v>
      </c>
      <c r="Z81" s="35">
        <f t="shared" si="13"/>
        <v>0</v>
      </c>
    </row>
    <row r="82" spans="1:26" x14ac:dyDescent="0.25">
      <c r="A82" s="9" t="s">
        <v>40</v>
      </c>
      <c r="B82" s="35">
        <f t="shared" si="14"/>
        <v>0</v>
      </c>
      <c r="C82" s="35">
        <f t="shared" si="13"/>
        <v>20000</v>
      </c>
      <c r="D82" s="35">
        <f t="shared" si="13"/>
        <v>50000</v>
      </c>
      <c r="E82" s="35">
        <f t="shared" si="13"/>
        <v>94547.249999999971</v>
      </c>
      <c r="F82" s="35">
        <f t="shared" si="13"/>
        <v>100000</v>
      </c>
      <c r="G82" s="35">
        <f t="shared" si="13"/>
        <v>100000</v>
      </c>
      <c r="H82" s="35">
        <f t="shared" si="13"/>
        <v>105052.49999999997</v>
      </c>
      <c r="I82" s="35">
        <f t="shared" si="13"/>
        <v>100000</v>
      </c>
      <c r="J82" s="35">
        <f t="shared" si="13"/>
        <v>100000</v>
      </c>
      <c r="K82" s="35">
        <f t="shared" si="13"/>
        <v>105052.49999999997</v>
      </c>
      <c r="L82" s="35">
        <f t="shared" si="13"/>
        <v>100000</v>
      </c>
      <c r="M82" s="35">
        <f t="shared" si="13"/>
        <v>100000</v>
      </c>
      <c r="N82" s="35">
        <f t="shared" si="13"/>
        <v>105052.49999999997</v>
      </c>
      <c r="O82" s="35">
        <f t="shared" si="13"/>
        <v>100000</v>
      </c>
      <c r="P82" s="35">
        <f t="shared" si="13"/>
        <v>100000</v>
      </c>
      <c r="Q82" s="35">
        <f t="shared" si="13"/>
        <v>105052.49999999997</v>
      </c>
      <c r="R82" s="35">
        <f t="shared" si="13"/>
        <v>100000</v>
      </c>
      <c r="S82" s="35">
        <f t="shared" si="13"/>
        <v>100000</v>
      </c>
      <c r="T82" s="35">
        <f t="shared" si="13"/>
        <v>105052.49999999997</v>
      </c>
      <c r="U82" s="35">
        <f t="shared" si="13"/>
        <v>100000</v>
      </c>
      <c r="V82" s="35">
        <f t="shared" si="13"/>
        <v>100000</v>
      </c>
      <c r="W82" s="35">
        <f t="shared" si="13"/>
        <v>84041.999999999985</v>
      </c>
      <c r="X82" s="35">
        <f t="shared" si="13"/>
        <v>50000</v>
      </c>
      <c r="Y82" s="35">
        <f t="shared" si="13"/>
        <v>10000</v>
      </c>
      <c r="Z82" s="35">
        <f t="shared" si="13"/>
        <v>0</v>
      </c>
    </row>
    <row r="83" spans="1:26" x14ac:dyDescent="0.25">
      <c r="A83" s="9" t="s">
        <v>15</v>
      </c>
      <c r="B83" s="35">
        <f t="shared" si="14"/>
        <v>0</v>
      </c>
      <c r="C83" s="35">
        <f t="shared" si="13"/>
        <v>4100.6000000000004</v>
      </c>
      <c r="D83" s="35">
        <f t="shared" si="13"/>
        <v>10354.014999999999</v>
      </c>
      <c r="E83" s="35">
        <f t="shared" si="13"/>
        <v>18823.599269999999</v>
      </c>
      <c r="F83" s="35">
        <f t="shared" si="13"/>
        <v>21124.261403</v>
      </c>
      <c r="G83" s="35">
        <f t="shared" si="13"/>
        <v>21335.504017029998</v>
      </c>
      <c r="H83" s="35">
        <f t="shared" si="13"/>
        <v>21548.859057200301</v>
      </c>
      <c r="I83" s="35">
        <f t="shared" si="13"/>
        <v>21764.347647772298</v>
      </c>
      <c r="J83" s="35">
        <f t="shared" si="13"/>
        <v>21981.991124250027</v>
      </c>
      <c r="K83" s="35">
        <f t="shared" si="13"/>
        <v>22201.81103549253</v>
      </c>
      <c r="L83" s="35">
        <f t="shared" si="13"/>
        <v>22423.829145847456</v>
      </c>
      <c r="M83" s="35">
        <f t="shared" si="13"/>
        <v>22648.067437305926</v>
      </c>
      <c r="N83" s="35">
        <f t="shared" si="13"/>
        <v>22874.548111678985</v>
      </c>
      <c r="O83" s="35">
        <f t="shared" si="13"/>
        <v>23103.293592795777</v>
      </c>
      <c r="P83" s="35">
        <f t="shared" si="13"/>
        <v>23334.326528723737</v>
      </c>
      <c r="Q83" s="35">
        <f t="shared" si="13"/>
        <v>23567.66979401097</v>
      </c>
      <c r="R83" s="35">
        <f t="shared" si="13"/>
        <v>23803.346491951084</v>
      </c>
      <c r="S83" s="35">
        <f t="shared" si="13"/>
        <v>24041.379956870598</v>
      </c>
      <c r="T83" s="35">
        <f t="shared" si="13"/>
        <v>24281.793756439303</v>
      </c>
      <c r="U83" s="35">
        <f t="shared" si="13"/>
        <v>24524.611694003692</v>
      </c>
      <c r="V83" s="35">
        <f t="shared" si="13"/>
        <v>24769.857810943729</v>
      </c>
      <c r="W83" s="35">
        <f t="shared" si="13"/>
        <v>20014.045111242533</v>
      </c>
      <c r="X83" s="35">
        <f t="shared" si="13"/>
        <v>12633.865976471852</v>
      </c>
      <c r="Y83" s="35">
        <f t="shared" si="13"/>
        <v>2552.0409272473134</v>
      </c>
      <c r="Z83" s="35">
        <f t="shared" si="13"/>
        <v>0</v>
      </c>
    </row>
    <row r="84" spans="1:26" s="54" customFormat="1" x14ac:dyDescent="0.25">
      <c r="A84" s="56" t="s">
        <v>156</v>
      </c>
      <c r="B84" s="53">
        <f>B51*Assumption_Hatchery!$C33</f>
        <v>0</v>
      </c>
      <c r="C84" s="53">
        <f>C51*Assumption_Hatchery!$C33</f>
        <v>0</v>
      </c>
      <c r="D84" s="53">
        <f>D51*Assumption_Hatchery!$C33</f>
        <v>0</v>
      </c>
      <c r="E84" s="53">
        <f>E51*Assumption_Hatchery!$C33</f>
        <v>0</v>
      </c>
      <c r="F84" s="53">
        <f>F51*Assumption_Hatchery!$C33</f>
        <v>0</v>
      </c>
      <c r="G84" s="53">
        <f>G51*Assumption_Hatchery!$C33</f>
        <v>0</v>
      </c>
      <c r="H84" s="53">
        <f>H51*Assumption_Hatchery!$C33</f>
        <v>0</v>
      </c>
      <c r="I84" s="53">
        <f>I51*Assumption_Hatchery!$C33</f>
        <v>0</v>
      </c>
      <c r="J84" s="53">
        <f>J51*Assumption_Hatchery!$C33</f>
        <v>0</v>
      </c>
      <c r="K84" s="53">
        <f>K51*Assumption_Hatchery!$C33</f>
        <v>0</v>
      </c>
      <c r="L84" s="53">
        <f>L51*Assumption_Hatchery!$C33</f>
        <v>0</v>
      </c>
      <c r="M84" s="53">
        <f>M51*Assumption_Hatchery!$C33</f>
        <v>0</v>
      </c>
      <c r="N84" s="53">
        <f>N51*Assumption_Hatchery!$C33</f>
        <v>0</v>
      </c>
      <c r="O84" s="53">
        <f>O51*Assumption_Hatchery!$C33</f>
        <v>0</v>
      </c>
      <c r="P84" s="53">
        <f>P51*Assumption_Hatchery!$C33</f>
        <v>0</v>
      </c>
      <c r="Q84" s="53">
        <f>Q51*Assumption_Hatchery!$C33</f>
        <v>0</v>
      </c>
      <c r="R84" s="53">
        <f>R51*Assumption_Hatchery!$C33</f>
        <v>0</v>
      </c>
      <c r="S84" s="53">
        <f>S51*Assumption_Hatchery!$C33</f>
        <v>0</v>
      </c>
      <c r="T84" s="53">
        <f>T51*Assumption_Hatchery!$C33</f>
        <v>0</v>
      </c>
      <c r="U84" s="53">
        <f>U51*Assumption_Hatchery!$C33</f>
        <v>0</v>
      </c>
      <c r="V84" s="53">
        <f>V51*Assumption_Hatchery!$C33</f>
        <v>0</v>
      </c>
      <c r="W84" s="53">
        <f>W51*Assumption_Hatchery!$C33</f>
        <v>0</v>
      </c>
      <c r="X84" s="53">
        <f>X51*Assumption_Hatchery!$C33</f>
        <v>0</v>
      </c>
      <c r="Y84" s="53">
        <f>Y51*Assumption_Hatchery!$C33</f>
        <v>0</v>
      </c>
      <c r="Z84" s="53">
        <f>Z51*Assumption_Hatchery!$C33</f>
        <v>0</v>
      </c>
    </row>
    <row r="85" spans="1:26" x14ac:dyDescent="0.25">
      <c r="A85" s="127" t="s">
        <v>59</v>
      </c>
      <c r="B85" s="40">
        <f>SUM(B76:B84)</f>
        <v>0</v>
      </c>
      <c r="C85" s="40">
        <f t="shared" ref="C85:Z85" si="15">SUM(C76:C84)</f>
        <v>165100.6</v>
      </c>
      <c r="D85" s="40">
        <f t="shared" si="15"/>
        <v>317854.01500000001</v>
      </c>
      <c r="E85" s="40">
        <f t="shared" si="15"/>
        <v>523802.59927000001</v>
      </c>
      <c r="F85" s="40">
        <f t="shared" si="15"/>
        <v>411124.26140299998</v>
      </c>
      <c r="G85" s="40">
        <f t="shared" si="15"/>
        <v>373835.50401703001</v>
      </c>
      <c r="H85" s="40">
        <f t="shared" si="15"/>
        <v>392415.10905720032</v>
      </c>
      <c r="I85" s="40">
        <f t="shared" si="15"/>
        <v>376764.34764777229</v>
      </c>
      <c r="J85" s="40">
        <f t="shared" si="15"/>
        <v>376981.99112425005</v>
      </c>
      <c r="K85" s="40">
        <f t="shared" si="15"/>
        <v>393068.06103549252</v>
      </c>
      <c r="L85" s="40">
        <f t="shared" si="15"/>
        <v>377423.82914584747</v>
      </c>
      <c r="M85" s="40">
        <f t="shared" si="15"/>
        <v>377648.06743730593</v>
      </c>
      <c r="N85" s="40">
        <f t="shared" si="15"/>
        <v>393740.79811167897</v>
      </c>
      <c r="O85" s="40">
        <f t="shared" si="15"/>
        <v>378103.29359279579</v>
      </c>
      <c r="P85" s="40">
        <f t="shared" si="15"/>
        <v>378334.32652872376</v>
      </c>
      <c r="Q85" s="40">
        <f t="shared" si="15"/>
        <v>394433.91979401099</v>
      </c>
      <c r="R85" s="40">
        <f t="shared" si="15"/>
        <v>378803.34649195109</v>
      </c>
      <c r="S85" s="40">
        <f t="shared" si="15"/>
        <v>379041.37995687057</v>
      </c>
      <c r="T85" s="40">
        <f t="shared" si="15"/>
        <v>395148.04375643929</v>
      </c>
      <c r="U85" s="40">
        <f t="shared" si="15"/>
        <v>379524.61169400369</v>
      </c>
      <c r="V85" s="40">
        <f t="shared" si="15"/>
        <v>379769.85781094374</v>
      </c>
      <c r="W85" s="40">
        <f t="shared" si="15"/>
        <v>327110.79511124251</v>
      </c>
      <c r="X85" s="40">
        <f t="shared" si="15"/>
        <v>215133.86597647186</v>
      </c>
      <c r="Y85" s="40">
        <f t="shared" si="15"/>
        <v>73052.040927247319</v>
      </c>
      <c r="Z85" s="40">
        <f t="shared" si="15"/>
        <v>26009.374999999993</v>
      </c>
    </row>
    <row r="86" spans="1:26" x14ac:dyDescent="0.25">
      <c r="B86" s="34"/>
      <c r="C86" s="34"/>
      <c r="D86" s="34"/>
      <c r="E86" s="34"/>
      <c r="F86" s="34"/>
      <c r="G86" s="34"/>
      <c r="H86" s="34"/>
      <c r="I86" s="34"/>
      <c r="J86" s="34"/>
      <c r="K86" s="34"/>
      <c r="L86" s="34"/>
    </row>
    <row r="87" spans="1:26" x14ac:dyDescent="0.25">
      <c r="A87" s="24" t="s">
        <v>60</v>
      </c>
      <c r="B87" s="36">
        <f>B73-B85</f>
        <v>0</v>
      </c>
      <c r="C87" s="36">
        <f t="shared" ref="C87:Z87" si="16">C73-C85</f>
        <v>-165100.6</v>
      </c>
      <c r="D87" s="36">
        <f t="shared" si="16"/>
        <v>-96769.014999999985</v>
      </c>
      <c r="E87" s="36">
        <f t="shared" si="16"/>
        <v>-147826.55369500001</v>
      </c>
      <c r="F87" s="36">
        <f t="shared" si="16"/>
        <v>48909.406597000081</v>
      </c>
      <c r="G87" s="36">
        <f t="shared" si="16"/>
        <v>95398.837342970073</v>
      </c>
      <c r="H87" s="36">
        <f t="shared" si="16"/>
        <v>50905.765801193775</v>
      </c>
      <c r="I87" s="36">
        <f t="shared" si="16"/>
        <v>111427.06110317173</v>
      </c>
      <c r="J87" s="36">
        <f t="shared" si="16"/>
        <v>120973.24580171285</v>
      </c>
      <c r="K87" s="36">
        <f t="shared" si="16"/>
        <v>77387.59793123405</v>
      </c>
      <c r="L87" s="36">
        <f t="shared" si="16"/>
        <v>140648.79935192439</v>
      </c>
      <c r="M87" s="36">
        <f t="shared" si="16"/>
        <v>150786.01363042125</v>
      </c>
      <c r="N87" s="36">
        <f t="shared" si="16"/>
        <v>105510.51082908304</v>
      </c>
      <c r="O87" s="36">
        <f t="shared" si="16"/>
        <v>171679.52435006766</v>
      </c>
      <c r="P87" s="36">
        <f t="shared" si="16"/>
        <v>182444.14777299698</v>
      </c>
      <c r="Q87" s="36">
        <f t="shared" si="16"/>
        <v>135375.56326439703</v>
      </c>
      <c r="R87" s="36">
        <f t="shared" si="16"/>
        <v>204630.57817155909</v>
      </c>
      <c r="S87" s="36">
        <f t="shared" si="16"/>
        <v>216061.2231999099</v>
      </c>
      <c r="T87" s="36">
        <f t="shared" si="16"/>
        <v>167090.01814100792</v>
      </c>
      <c r="U87" s="36">
        <f t="shared" si="16"/>
        <v>239620.13663031056</v>
      </c>
      <c r="V87" s="36">
        <f t="shared" si="16"/>
        <v>251757.78547985689</v>
      </c>
      <c r="W87" s="36">
        <f t="shared" si="16"/>
        <v>166835.42824081029</v>
      </c>
      <c r="X87" s="36">
        <f t="shared" si="16"/>
        <v>143386.81406340265</v>
      </c>
      <c r="Y87" s="36">
        <f t="shared" si="16"/>
        <v>33966.177800887061</v>
      </c>
      <c r="Z87" s="36">
        <f t="shared" si="16"/>
        <v>-17696.874999999993</v>
      </c>
    </row>
    <row r="88" spans="1:26" x14ac:dyDescent="0.25">
      <c r="B88" s="34"/>
      <c r="C88" s="34"/>
      <c r="D88" s="34"/>
      <c r="E88" s="34"/>
      <c r="F88" s="34"/>
      <c r="G88" s="34"/>
      <c r="H88" s="34"/>
      <c r="I88" s="34"/>
      <c r="J88" s="34"/>
      <c r="K88" s="34"/>
      <c r="L88" s="34"/>
    </row>
    <row r="89" spans="1:26" s="13" customFormat="1" x14ac:dyDescent="0.25">
      <c r="A89" s="24" t="s">
        <v>61</v>
      </c>
      <c r="B89" s="42">
        <f>B87/(1+Assumption_Hatchery!$C76)^B69</f>
        <v>0</v>
      </c>
      <c r="C89" s="42">
        <f>C87/(1+Assumption_Hatchery!$C76)^C69</f>
        <v>-151468.44036697247</v>
      </c>
      <c r="D89" s="42">
        <f>D87/(1+Assumption_Hatchery!$C76)^D69</f>
        <v>-81448.543893611626</v>
      </c>
      <c r="E89" s="42">
        <f>E87/(1+Assumption_Hatchery!$C76)^E69</f>
        <v>-114149.22267763887</v>
      </c>
      <c r="F89" s="42">
        <f>F87/(1+Assumption_Hatchery!$C76)^F69</f>
        <v>34648.656691553297</v>
      </c>
      <c r="G89" s="42">
        <f>G87/(1+Assumption_Hatchery!$C76)^G69</f>
        <v>62002.698605566889</v>
      </c>
      <c r="H89" s="42">
        <f>H87/(1+Assumption_Hatchery!$C76)^H69</f>
        <v>30353.444897017212</v>
      </c>
      <c r="I89" s="42">
        <f>I87/(1+Assumption_Hatchery!$C76)^I69</f>
        <v>60954.418225683716</v>
      </c>
      <c r="J89" s="42">
        <f>J87/(1+Assumption_Hatchery!$C76)^J69</f>
        <v>60712.392810444944</v>
      </c>
      <c r="K89" s="42">
        <f>K87/(1+Assumption_Hatchery!$C76)^K69</f>
        <v>35631.399877578384</v>
      </c>
      <c r="L89" s="42">
        <f>L87/(1+Assumption_Hatchery!$C76)^L69</f>
        <v>59411.572823156232</v>
      </c>
      <c r="M89" s="42">
        <f>M87/(1+Assumption_Hatchery!$C76)^M69</f>
        <v>58434.533657073938</v>
      </c>
      <c r="N89" s="42">
        <f>N87/(1+Assumption_Hatchery!$C76)^N69</f>
        <v>37512.650463167491</v>
      </c>
      <c r="O89" s="42">
        <f>O87/(1+Assumption_Hatchery!$C76)^O69</f>
        <v>55998.194950213583</v>
      </c>
      <c r="P89" s="42">
        <f>P87/(1+Assumption_Hatchery!$C76)^P69</f>
        <v>54595.766286717175</v>
      </c>
      <c r="Q89" s="42">
        <f>Q87/(1+Assumption_Hatchery!$C76)^Q69</f>
        <v>37165.741980267623</v>
      </c>
      <c r="R89" s="42">
        <f>R87/(1+Assumption_Hatchery!$C76)^R69</f>
        <v>51540.255159624459</v>
      </c>
      <c r="S89" s="42">
        <f>S87/(1+Assumption_Hatchery!$C76)^S69</f>
        <v>49925.953220284166</v>
      </c>
      <c r="T89" s="42">
        <f>T87/(1+Assumption_Hatchery!$C76)^T69</f>
        <v>35422.037887495666</v>
      </c>
      <c r="U89" s="42">
        <f>U87/(1+Assumption_Hatchery!$C76)^U69</f>
        <v>46603.64126567723</v>
      </c>
      <c r="V89" s="42">
        <f>V87/(1+Assumption_Hatchery!$C76)^V69</f>
        <v>44921.365672783977</v>
      </c>
      <c r="W89" s="42">
        <f>W87/(1+Assumption_Hatchery!$C76)^W69</f>
        <v>27310.636613039758</v>
      </c>
      <c r="X89" s="42">
        <f>X87/(1+Assumption_Hatchery!$C76)^X69</f>
        <v>21534.076943335924</v>
      </c>
      <c r="Y89" s="42">
        <f>Y87/(1+Assumption_Hatchery!$C76)^Y69</f>
        <v>4679.9070349119311</v>
      </c>
      <c r="Z89" s="42">
        <f>Z87/(1+Assumption_Hatchery!$C76)^Z69</f>
        <v>-2236.9724359157349</v>
      </c>
    </row>
    <row r="90" spans="1:26" x14ac:dyDescent="0.25">
      <c r="B90" s="34"/>
      <c r="C90" s="34"/>
      <c r="D90" s="34"/>
      <c r="E90" s="34"/>
      <c r="F90" s="34"/>
      <c r="G90" s="34"/>
      <c r="H90" s="34"/>
      <c r="I90" s="34"/>
      <c r="J90" s="34"/>
      <c r="K90" s="34"/>
      <c r="L90" s="34"/>
    </row>
    <row r="91" spans="1:26" s="13" customFormat="1" x14ac:dyDescent="0.25">
      <c r="A91" s="26" t="s">
        <v>62</v>
      </c>
      <c r="B91" s="37">
        <f>NPV(Assumption_Hatchery!C76,C87:Z87)+B87</f>
        <v>520056.16569145472</v>
      </c>
      <c r="C91" s="43"/>
      <c r="D91" s="43"/>
      <c r="E91" s="43"/>
      <c r="F91" s="43"/>
      <c r="G91" s="43"/>
      <c r="H91" s="43"/>
      <c r="I91" s="43"/>
      <c r="J91" s="43"/>
      <c r="K91" s="43"/>
      <c r="L91" s="43"/>
    </row>
    <row r="93" spans="1:26" s="13" customFormat="1" x14ac:dyDescent="0.25">
      <c r="A93" s="26" t="s">
        <v>25</v>
      </c>
      <c r="B93" s="38">
        <f>IRR(B87:Z87)</f>
        <v>0.20220657638461015</v>
      </c>
      <c r="C93" s="4"/>
      <c r="D93" s="4"/>
      <c r="E93" s="4"/>
      <c r="F93" s="4"/>
      <c r="G93" s="4"/>
      <c r="H93" s="4"/>
      <c r="I93" s="4"/>
      <c r="J93" s="4"/>
      <c r="K93" s="4"/>
      <c r="L93" s="4"/>
    </row>
    <row r="95" spans="1:26" s="13" customFormat="1" x14ac:dyDescent="0.25">
      <c r="A95" s="27" t="s">
        <v>63</v>
      </c>
      <c r="B95" s="39">
        <f>B89</f>
        <v>0</v>
      </c>
      <c r="C95" s="39">
        <f>B95+C89</f>
        <v>-151468.44036697247</v>
      </c>
      <c r="D95" s="39">
        <f t="shared" ref="D95:Z95" si="17">C95+D89</f>
        <v>-232916.98426058411</v>
      </c>
      <c r="E95" s="39">
        <f t="shared" si="17"/>
        <v>-347066.20693822298</v>
      </c>
      <c r="F95" s="39">
        <f t="shared" si="17"/>
        <v>-312417.55024666968</v>
      </c>
      <c r="G95" s="39">
        <f t="shared" si="17"/>
        <v>-250414.85164110278</v>
      </c>
      <c r="H95" s="39">
        <f t="shared" si="17"/>
        <v>-220061.40674408557</v>
      </c>
      <c r="I95" s="39">
        <f t="shared" si="17"/>
        <v>-159106.98851840186</v>
      </c>
      <c r="J95" s="39">
        <f t="shared" si="17"/>
        <v>-98394.59570795692</v>
      </c>
      <c r="K95" s="39">
        <f t="shared" si="17"/>
        <v>-62763.195830378536</v>
      </c>
      <c r="L95" s="39">
        <f t="shared" si="17"/>
        <v>-3351.6230072223043</v>
      </c>
      <c r="M95" s="39">
        <f t="shared" si="17"/>
        <v>55082.910649851634</v>
      </c>
      <c r="N95" s="39">
        <f t="shared" si="17"/>
        <v>92595.561113019125</v>
      </c>
      <c r="O95" s="39">
        <f t="shared" si="17"/>
        <v>148593.75606323272</v>
      </c>
      <c r="P95" s="39">
        <f t="shared" si="17"/>
        <v>203189.5223499499</v>
      </c>
      <c r="Q95" s="39">
        <f t="shared" si="17"/>
        <v>240355.26433021753</v>
      </c>
      <c r="R95" s="39">
        <f t="shared" si="17"/>
        <v>291895.519489842</v>
      </c>
      <c r="S95" s="39">
        <f t="shared" si="17"/>
        <v>341821.4727101262</v>
      </c>
      <c r="T95" s="39">
        <f t="shared" si="17"/>
        <v>377243.51059762185</v>
      </c>
      <c r="U95" s="39">
        <f t="shared" si="17"/>
        <v>423847.15186329908</v>
      </c>
      <c r="V95" s="39">
        <f t="shared" si="17"/>
        <v>468768.51753608306</v>
      </c>
      <c r="W95" s="39">
        <f t="shared" si="17"/>
        <v>496079.15414912283</v>
      </c>
      <c r="X95" s="39">
        <f t="shared" si="17"/>
        <v>517613.23109245877</v>
      </c>
      <c r="Y95" s="39">
        <f t="shared" si="17"/>
        <v>522293.13812737068</v>
      </c>
      <c r="Z95" s="39">
        <f t="shared" si="17"/>
        <v>520056.16569145495</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Z95"/>
  <sheetViews>
    <sheetView showGridLines="0" topLeftCell="E67" zoomScale="70" zoomScaleNormal="70" workbookViewId="0">
      <selection activeCell="L95" sqref="L95"/>
    </sheetView>
  </sheetViews>
  <sheetFormatPr defaultColWidth="9" defaultRowHeight="15" x14ac:dyDescent="0.25"/>
  <cols>
    <col min="1" max="1" width="40.7109375" style="10" customWidth="1"/>
    <col min="2" max="2" width="12.7109375" style="28" customWidth="1"/>
    <col min="3" max="3" width="13" style="28" customWidth="1"/>
    <col min="4" max="4" width="17" style="28" customWidth="1"/>
    <col min="5" max="6" width="12.5703125" style="28" customWidth="1"/>
    <col min="7" max="7" width="11.85546875" style="28" customWidth="1"/>
    <col min="8" max="8" width="12.28515625" style="28" customWidth="1"/>
    <col min="9" max="9" width="11.7109375" style="28" customWidth="1"/>
    <col min="10" max="10" width="13" style="28" customWidth="1"/>
    <col min="11" max="11" width="12.7109375" style="28" customWidth="1"/>
    <col min="12" max="12" width="12.28515625" style="28" customWidth="1"/>
    <col min="13" max="23" width="13.7109375" style="3" customWidth="1"/>
    <col min="24" max="24" width="15.7109375" style="3" customWidth="1"/>
    <col min="25" max="25" width="11" style="3" customWidth="1"/>
    <col min="26" max="26" width="11.140625" style="3" customWidth="1"/>
    <col min="27" max="16384" width="9" style="3"/>
  </cols>
  <sheetData>
    <row r="2" spans="1:26" ht="38.25" customHeight="1" x14ac:dyDescent="0.25">
      <c r="A2" s="11" t="s">
        <v>77</v>
      </c>
      <c r="B2" s="32"/>
      <c r="C2" s="76"/>
      <c r="D2" s="77"/>
      <c r="E2" s="32"/>
      <c r="F2" s="126" t="s">
        <v>106</v>
      </c>
      <c r="G2" s="32"/>
      <c r="H2" s="32"/>
      <c r="I2" s="32"/>
      <c r="J2" s="32"/>
      <c r="K2" s="32"/>
      <c r="L2" s="32"/>
      <c r="M2" s="11"/>
    </row>
    <row r="3" spans="1:26" ht="15" customHeight="1" x14ac:dyDescent="0.25">
      <c r="A3" s="23"/>
      <c r="B3" s="32"/>
      <c r="C3" s="32"/>
      <c r="D3" s="32"/>
      <c r="E3" s="32"/>
      <c r="F3" s="32"/>
      <c r="G3" s="32"/>
      <c r="H3" s="32"/>
      <c r="I3" s="32"/>
      <c r="J3" s="32"/>
      <c r="K3" s="32"/>
      <c r="L3" s="32"/>
      <c r="M3" s="11"/>
    </row>
    <row r="4" spans="1:26" x14ac:dyDescent="0.25">
      <c r="A4" s="10" t="s">
        <v>22</v>
      </c>
      <c r="B4" s="28">
        <v>0</v>
      </c>
      <c r="C4" s="28">
        <v>1</v>
      </c>
      <c r="D4" s="28">
        <v>2</v>
      </c>
      <c r="E4" s="28">
        <v>3</v>
      </c>
      <c r="F4" s="28">
        <v>4</v>
      </c>
      <c r="G4" s="28">
        <v>5</v>
      </c>
      <c r="H4" s="28">
        <v>6</v>
      </c>
      <c r="I4" s="28">
        <v>7</v>
      </c>
      <c r="J4" s="28">
        <v>8</v>
      </c>
      <c r="K4" s="28">
        <v>9</v>
      </c>
      <c r="L4" s="28">
        <v>10</v>
      </c>
      <c r="M4" s="28">
        <v>11</v>
      </c>
      <c r="N4" s="28">
        <v>12</v>
      </c>
      <c r="O4" s="28">
        <v>13</v>
      </c>
      <c r="P4" s="28">
        <v>14</v>
      </c>
      <c r="Q4" s="28">
        <v>15</v>
      </c>
      <c r="R4" s="28">
        <v>16</v>
      </c>
      <c r="S4" s="28">
        <v>17</v>
      </c>
      <c r="T4" s="28">
        <v>18</v>
      </c>
      <c r="U4" s="28">
        <v>19</v>
      </c>
      <c r="V4" s="28">
        <v>20</v>
      </c>
      <c r="W4" s="28">
        <v>21</v>
      </c>
      <c r="X4" s="28">
        <v>22</v>
      </c>
      <c r="Y4" s="28">
        <v>23</v>
      </c>
      <c r="Z4" s="28">
        <v>24</v>
      </c>
    </row>
    <row r="5" spans="1:26" x14ac:dyDescent="0.25">
      <c r="A5" s="24" t="s">
        <v>23</v>
      </c>
    </row>
    <row r="6" spans="1:26" x14ac:dyDescent="0.25">
      <c r="A6" s="10" t="s">
        <v>56</v>
      </c>
      <c r="B6" s="33">
        <v>0</v>
      </c>
      <c r="C6" s="33">
        <v>0</v>
      </c>
      <c r="D6" s="33">
        <f>Assumption_Hatchery!F18*Assumption_Hatchery!F144*Assumption_Hatchery!F145*(1+Assumption_Hatchery!F146)^Assumption_Hatchery!F143</f>
        <v>221085.00000000003</v>
      </c>
      <c r="E6" s="146">
        <f>Assumption_Hatchery!G18*Assumption_Hatchery!G144*Assumption_Hatchery!G145*(1+Assumption_Hatchery!G146)^Assumption_Hatchery!G143*(1+Assumption_Hatchery!$X121)</f>
        <v>366081.9391125</v>
      </c>
      <c r="F6" s="33">
        <f>Assumption_Hatchery!H18*Assumption_Hatchery!H144*Assumption_Hatchery!H145*(1+Assumption_Hatchery!H146)^Assumption_Hatchery!H143</f>
        <v>460033.66800000006</v>
      </c>
      <c r="G6" s="33">
        <f>Assumption_Hatchery!I18*Assumption_Hatchery!I144*Assumption_Hatchery!I145*(1+Assumption_Hatchery!I146)^Assumption_Hatchery!I143</f>
        <v>469234.34136000008</v>
      </c>
      <c r="H6" s="146">
        <f>Assumption_Hatchery!J18*Assumption_Hatchery!J144*Assumption_Hatchery!J145*(1+Assumption_Hatchery!J146)^Assumption_Hatchery!J143*(1+Assumption_Hatchery!$X121)</f>
        <v>431654.53604633111</v>
      </c>
      <c r="I6" s="33">
        <f>Assumption_Hatchery!K18*Assumption_Hatchery!K144*Assumption_Hatchery!K145*(1+Assumption_Hatchery!K146)^Assumption_Hatchery!K143</f>
        <v>488191.40875094401</v>
      </c>
      <c r="J6" s="33">
        <f>Assumption_Hatchery!L18*Assumption_Hatchery!L144*Assumption_Hatchery!L145*(1+Assumption_Hatchery!L146)^Assumption_Hatchery!L143</f>
        <v>497955.2369259629</v>
      </c>
      <c r="K6" s="146">
        <f>Assumption_Hatchery!M18*Assumption_Hatchery!M144*Assumption_Hatchery!M145*(1+Assumption_Hatchery!M146)^Assumption_Hatchery!M143*(1+Assumption_Hatchery!$X121)</f>
        <v>458075.24688865483</v>
      </c>
      <c r="L6" s="33">
        <f>Assumption_Hatchery!N18*Assumption_Hatchery!N144*Assumption_Hatchery!N145*(1+Assumption_Hatchery!N146)^Assumption_Hatchery!N143</f>
        <v>518072.62849777186</v>
      </c>
      <c r="M6" s="33">
        <f>Assumption_Hatchery!O18*Assumption_Hatchery!O144*Assumption_Hatchery!O145*(1+Assumption_Hatchery!O146)^Assumption_Hatchery!O143</f>
        <v>528434.08106772718</v>
      </c>
      <c r="N6" s="146">
        <f>Assumption_Hatchery!P18*Assumption_Hatchery!P144*Assumption_Hatchery!P145*(1+Assumption_Hatchery!P146)^Assumption_Hatchery!P143*(1+Assumption_Hatchery!$X121)</f>
        <v>486113.11660021567</v>
      </c>
      <c r="O6" s="33">
        <f>Assumption_Hatchery!Q18*Assumption_Hatchery!Q144*Assumption_Hatchery!Q145*(1+Assumption_Hatchery!Q146)^Assumption_Hatchery!Q143</f>
        <v>549782.81794286345</v>
      </c>
      <c r="P6" s="33">
        <f>Assumption_Hatchery!R18*Assumption_Hatchery!R144*Assumption_Hatchery!R145*(1+Assumption_Hatchery!R146)^Assumption_Hatchery!R143</f>
        <v>560778.47430172074</v>
      </c>
      <c r="Q6" s="146">
        <f>Assumption_Hatchery!S18*Assumption_Hatchery!S144*Assumption_Hatchery!S145*(1+Assumption_Hatchery!S146)^Assumption_Hatchery!S143*(1+Assumption_Hatchery!$X121)</f>
        <v>515867.12824108155</v>
      </c>
      <c r="R6" s="33">
        <f>Assumption_Hatchery!T18*Assumption_Hatchery!T144*Assumption_Hatchery!T145*(1+Assumption_Hatchery!T146)^Assumption_Hatchery!T143</f>
        <v>583433.92466351017</v>
      </c>
      <c r="S6" s="33">
        <f>Assumption_Hatchery!U18*Assumption_Hatchery!U144*Assumption_Hatchery!U145*(1+Assumption_Hatchery!U146)^Assumption_Hatchery!U143</f>
        <v>595102.60315678047</v>
      </c>
      <c r="T6" s="146">
        <f>Assumption_Hatchery!V18*Assumption_Hatchery!V144*Assumption_Hatchery!V145*(1+Assumption_Hatchery!V146)^Assumption_Hatchery!V143*(1+Assumption_Hatchery!$X121)</f>
        <v>547442.32342646178</v>
      </c>
      <c r="U6" s="33">
        <f>Assumption_Hatchery!W18*Assumption_Hatchery!W144*Assumption_Hatchery!W145*(1+Assumption_Hatchery!W146)^Assumption_Hatchery!W143</f>
        <v>619144.74832431425</v>
      </c>
      <c r="V6" s="33">
        <f>Assumption_Hatchery!X18*Assumption_Hatchery!X144*Assumption_Hatchery!X145*(1+Assumption_Hatchery!X146)^Assumption_Hatchery!X143</f>
        <v>631527.64329080062</v>
      </c>
      <c r="W6" s="146">
        <f>Assumption_Hatchery!Y18*Assumption_Hatchery!Y144*Assumption_Hatchery!Y145*(1+Assumption_Hatchery!Y146)^Assumption_Hatchery!Y143*(1+Assumption_Hatchery!$X121)</f>
        <v>464760.13852699887</v>
      </c>
      <c r="X6" s="33">
        <f>Assumption_Hatchery!Z18*Assumption_Hatchery!Z144*Assumption_Hatchery!Z145*(1+Assumption_Hatchery!Z146)^Assumption_Hatchery!Z143</f>
        <v>328520.68003987451</v>
      </c>
      <c r="Y6" s="33">
        <f>Assumption_Hatchery!AA18*Assumption_Hatchery!AA144*Assumption_Hatchery!AA145*(1+Assumption_Hatchery!AA146)^Assumption_Hatchery!AA143</f>
        <v>67018.218728134379</v>
      </c>
      <c r="Z6" s="146">
        <f>Assumption_Hatchery!AB18*Assumption_Hatchery!AB144*Assumption_Hatchery!AB145*(1+Assumption_Hatchery!AB146)^Assumption_Hatchery!AB143*(1+Assumption_Hatchery!$X121)</f>
        <v>0</v>
      </c>
    </row>
    <row r="7" spans="1:26" x14ac:dyDescent="0.25">
      <c r="A7" s="10" t="s">
        <v>57</v>
      </c>
      <c r="B7" s="33">
        <f>Assumption_Hatchery!D17*Assumption_Hatchery!D147</f>
        <v>0</v>
      </c>
      <c r="C7" s="33">
        <f>Assumption_Hatchery!E17*Assumption_Hatchery!E147</f>
        <v>0</v>
      </c>
      <c r="D7" s="33">
        <f>Assumption_Hatchery!F17*Assumption_Hatchery!F147</f>
        <v>0</v>
      </c>
      <c r="E7" s="146">
        <f>Assumption_Hatchery!G17*Assumption_Hatchery!G147*(1+Assumption_Hatchery!$X124)</f>
        <v>0</v>
      </c>
      <c r="F7" s="33">
        <f>Assumption_Hatchery!H17*Assumption_Hatchery!H147</f>
        <v>0</v>
      </c>
      <c r="G7" s="33">
        <f>Assumption_Hatchery!I17*Assumption_Hatchery!I147</f>
        <v>0</v>
      </c>
      <c r="H7" s="146">
        <f>Assumption_Hatchery!J17*Assumption_Hatchery!J147</f>
        <v>0</v>
      </c>
      <c r="I7" s="33">
        <f>Assumption_Hatchery!K17*Assumption_Hatchery!K147</f>
        <v>0</v>
      </c>
      <c r="J7" s="33">
        <f>Assumption_Hatchery!L17*Assumption_Hatchery!L147</f>
        <v>0</v>
      </c>
      <c r="K7" s="146">
        <f>Assumption_Hatchery!M17*Assumption_Hatchery!M147</f>
        <v>0</v>
      </c>
      <c r="L7" s="33">
        <f>Assumption_Hatchery!N17*Assumption_Hatchery!N147</f>
        <v>0</v>
      </c>
      <c r="M7" s="33">
        <f>Assumption_Hatchery!O17*Assumption_Hatchery!O147</f>
        <v>0</v>
      </c>
      <c r="N7" s="146">
        <f>Assumption_Hatchery!P17*Assumption_Hatchery!P147</f>
        <v>0</v>
      </c>
      <c r="O7" s="33">
        <f>Assumption_Hatchery!Q17*Assumption_Hatchery!Q147</f>
        <v>0</v>
      </c>
      <c r="P7" s="33">
        <f>Assumption_Hatchery!R17*Assumption_Hatchery!R147</f>
        <v>0</v>
      </c>
      <c r="Q7" s="146">
        <f>Assumption_Hatchery!S17*Assumption_Hatchery!S147</f>
        <v>0</v>
      </c>
      <c r="R7" s="33">
        <f>Assumption_Hatchery!T17*Assumption_Hatchery!T147</f>
        <v>0</v>
      </c>
      <c r="S7" s="33">
        <f>Assumption_Hatchery!U17*Assumption_Hatchery!U147</f>
        <v>0</v>
      </c>
      <c r="T7" s="146">
        <f>Assumption_Hatchery!V17*Assumption_Hatchery!V147</f>
        <v>0</v>
      </c>
      <c r="U7" s="33">
        <f>Assumption_Hatchery!W17*Assumption_Hatchery!W147</f>
        <v>0</v>
      </c>
      <c r="V7" s="33">
        <f>Assumption_Hatchery!X17*Assumption_Hatchery!X147</f>
        <v>0</v>
      </c>
      <c r="W7" s="146">
        <f>Assumption_Hatchery!Y17*Assumption_Hatchery!Y147</f>
        <v>19000</v>
      </c>
      <c r="X7" s="33">
        <f>Assumption_Hatchery!Z17*Assumption_Hatchery!Z147</f>
        <v>30000</v>
      </c>
      <c r="Y7" s="33">
        <f>Assumption_Hatchery!AA17*Assumption_Hatchery!AA147</f>
        <v>40000</v>
      </c>
      <c r="Z7" s="146">
        <f>Assumption_Hatchery!AB17*Assumption_Hatchery!AB147</f>
        <v>9500</v>
      </c>
    </row>
    <row r="8" spans="1:26" s="13" customFormat="1" x14ac:dyDescent="0.25">
      <c r="A8" s="24" t="s">
        <v>58</v>
      </c>
      <c r="B8" s="41">
        <f t="shared" ref="B8:Z8" si="0">(B6+B7)</f>
        <v>0</v>
      </c>
      <c r="C8" s="41">
        <f t="shared" si="0"/>
        <v>0</v>
      </c>
      <c r="D8" s="41">
        <f t="shared" si="0"/>
        <v>221085.00000000003</v>
      </c>
      <c r="E8" s="41">
        <f t="shared" si="0"/>
        <v>366081.9391125</v>
      </c>
      <c r="F8" s="41">
        <f t="shared" si="0"/>
        <v>460033.66800000006</v>
      </c>
      <c r="G8" s="41">
        <f t="shared" si="0"/>
        <v>469234.34136000008</v>
      </c>
      <c r="H8" s="41">
        <f t="shared" si="0"/>
        <v>431654.53604633111</v>
      </c>
      <c r="I8" s="41">
        <f t="shared" si="0"/>
        <v>488191.40875094401</v>
      </c>
      <c r="J8" s="41">
        <f t="shared" si="0"/>
        <v>497955.2369259629</v>
      </c>
      <c r="K8" s="41">
        <f t="shared" si="0"/>
        <v>458075.24688865483</v>
      </c>
      <c r="L8" s="41">
        <f t="shared" si="0"/>
        <v>518072.62849777186</v>
      </c>
      <c r="M8" s="41">
        <f t="shared" si="0"/>
        <v>528434.08106772718</v>
      </c>
      <c r="N8" s="41">
        <f t="shared" si="0"/>
        <v>486113.11660021567</v>
      </c>
      <c r="O8" s="41">
        <f t="shared" si="0"/>
        <v>549782.81794286345</v>
      </c>
      <c r="P8" s="41">
        <f t="shared" si="0"/>
        <v>560778.47430172074</v>
      </c>
      <c r="Q8" s="41">
        <f t="shared" si="0"/>
        <v>515867.12824108155</v>
      </c>
      <c r="R8" s="41">
        <f t="shared" si="0"/>
        <v>583433.92466351017</v>
      </c>
      <c r="S8" s="41">
        <f t="shared" si="0"/>
        <v>595102.60315678047</v>
      </c>
      <c r="T8" s="41">
        <f t="shared" si="0"/>
        <v>547442.32342646178</v>
      </c>
      <c r="U8" s="41">
        <f t="shared" si="0"/>
        <v>619144.74832431425</v>
      </c>
      <c r="V8" s="41">
        <f t="shared" si="0"/>
        <v>631527.64329080062</v>
      </c>
      <c r="W8" s="41">
        <f t="shared" si="0"/>
        <v>483760.13852699887</v>
      </c>
      <c r="X8" s="41">
        <f t="shared" si="0"/>
        <v>358520.68003987451</v>
      </c>
      <c r="Y8" s="41">
        <f t="shared" si="0"/>
        <v>107018.21872813438</v>
      </c>
      <c r="Z8" s="41">
        <f t="shared" si="0"/>
        <v>9500</v>
      </c>
    </row>
    <row r="9" spans="1:26" x14ac:dyDescent="0.25">
      <c r="A9" s="24"/>
      <c r="B9" s="44"/>
      <c r="C9" s="44"/>
      <c r="D9" s="44"/>
      <c r="E9" s="44"/>
      <c r="F9" s="44"/>
      <c r="G9" s="44"/>
      <c r="H9" s="44"/>
      <c r="I9" s="44"/>
      <c r="J9" s="44"/>
      <c r="K9" s="44"/>
    </row>
    <row r="10" spans="1:26" x14ac:dyDescent="0.25">
      <c r="A10" s="24" t="s">
        <v>24</v>
      </c>
    </row>
    <row r="11" spans="1:26" x14ac:dyDescent="0.25">
      <c r="A11" s="9" t="s">
        <v>49</v>
      </c>
      <c r="B11" s="35">
        <f>Assumption_Hatchery!D151*Assumption_Hatchery!D6</f>
        <v>0</v>
      </c>
      <c r="C11" s="35">
        <f>Assumption_Hatchery!E151*Assumption_Hatchery!E6</f>
        <v>100000</v>
      </c>
      <c r="D11" s="35">
        <f>Assumption_Hatchery!F151*Assumption_Hatchery!F6</f>
        <v>150000</v>
      </c>
      <c r="E11" s="35">
        <f>Assumption_Hatchery!G151*Assumption_Hatchery!G6</f>
        <v>200000</v>
      </c>
      <c r="F11" s="35">
        <f>Assumption_Hatchery!H151*Assumption_Hatchery!H6</f>
        <v>50000</v>
      </c>
      <c r="G11" s="35">
        <f>Assumption_Hatchery!I151*Assumption_Hatchery!I6</f>
        <v>0</v>
      </c>
      <c r="H11" s="35">
        <f>Assumption_Hatchery!J151*Assumption_Hatchery!J6</f>
        <v>0</v>
      </c>
      <c r="I11" s="35">
        <f>Assumption_Hatchery!K151*Assumption_Hatchery!K6</f>
        <v>0</v>
      </c>
      <c r="J11" s="35">
        <f>Assumption_Hatchery!L151*Assumption_Hatchery!L6</f>
        <v>0</v>
      </c>
      <c r="K11" s="35">
        <f>Assumption_Hatchery!M151*Assumption_Hatchery!M6</f>
        <v>0</v>
      </c>
      <c r="L11" s="35">
        <f>Assumption_Hatchery!N151*Assumption_Hatchery!N6</f>
        <v>0</v>
      </c>
      <c r="M11" s="35">
        <f>Assumption_Hatchery!O151*Assumption_Hatchery!O6</f>
        <v>0</v>
      </c>
      <c r="N11" s="35">
        <f>Assumption_Hatchery!P151*Assumption_Hatchery!P6</f>
        <v>0</v>
      </c>
      <c r="O11" s="35">
        <f>Assumption_Hatchery!Q151*Assumption_Hatchery!Q6</f>
        <v>0</v>
      </c>
      <c r="P11" s="35">
        <f>Assumption_Hatchery!R151*Assumption_Hatchery!R6</f>
        <v>0</v>
      </c>
      <c r="Q11" s="35">
        <f>Assumption_Hatchery!S151*Assumption_Hatchery!S6</f>
        <v>0</v>
      </c>
      <c r="R11" s="35">
        <f>Assumption_Hatchery!T151*Assumption_Hatchery!T6</f>
        <v>0</v>
      </c>
      <c r="S11" s="35">
        <f>Assumption_Hatchery!U151*Assumption_Hatchery!U6</f>
        <v>0</v>
      </c>
      <c r="T11" s="35">
        <f>Assumption_Hatchery!V151*Assumption_Hatchery!V6</f>
        <v>0</v>
      </c>
      <c r="U11" s="35">
        <f>Assumption_Hatchery!W151*Assumption_Hatchery!W6</f>
        <v>0</v>
      </c>
      <c r="V11" s="35">
        <f>Assumption_Hatchery!X151*Assumption_Hatchery!X6</f>
        <v>0</v>
      </c>
      <c r="W11" s="35">
        <f>Assumption_Hatchery!Y151*Assumption_Hatchery!Y6</f>
        <v>0</v>
      </c>
      <c r="X11" s="35">
        <f>Assumption_Hatchery!Z151*Assumption_Hatchery!Z6</f>
        <v>0</v>
      </c>
      <c r="Y11" s="35">
        <f>Assumption_Hatchery!AA151*Assumption_Hatchery!AA6</f>
        <v>0</v>
      </c>
      <c r="Z11" s="35">
        <f>Assumption_Hatchery!AB151*Assumption_Hatchery!AB6</f>
        <v>0</v>
      </c>
    </row>
    <row r="12" spans="1:26" x14ac:dyDescent="0.25">
      <c r="A12" s="9" t="s">
        <v>128</v>
      </c>
      <c r="B12" s="35">
        <v>0</v>
      </c>
      <c r="C12" s="35">
        <v>0</v>
      </c>
      <c r="D12" s="35">
        <f>Assumption_Hatchery!E6*Assumption_Hatchery!F152</f>
        <v>5000</v>
      </c>
      <c r="E12" s="147">
        <f>(Assumption_Hatchery!F16*Assumption_Hatchery!G152)+(Assumption_Hatchery!E18*Assumption_Hatchery!G153)*(1+Assumption_Hatchery!$X129)</f>
        <v>19031.249999999996</v>
      </c>
      <c r="F12" s="35">
        <f>(Assumption_Hatchery!G16*Assumption_Hatchery!H152)+(Assumption_Hatchery!F18*Assumption_Hatchery!H153)</f>
        <v>35000</v>
      </c>
      <c r="G12" s="35">
        <f>(Assumption_Hatchery!H16*Assumption_Hatchery!I152)+(Assumption_Hatchery!G18*Assumption_Hatchery!I153)</f>
        <v>47500</v>
      </c>
      <c r="H12" s="147">
        <f>(Assumption_Hatchery!I16*Assumption_Hatchery!J152)+(Assumption_Hatchery!H18*Assumption_Hatchery!J153)*(1+Assumption_Hatchery!$X129)</f>
        <v>57093.749999999993</v>
      </c>
      <c r="I12" s="35">
        <f>(Assumption_Hatchery!J16*Assumption_Hatchery!K152)+(Assumption_Hatchery!I18*Assumption_Hatchery!K153)</f>
        <v>50000</v>
      </c>
      <c r="J12" s="35">
        <f>(Assumption_Hatchery!K16*Assumption_Hatchery!L152)+(Assumption_Hatchery!J18*Assumption_Hatchery!L153)</f>
        <v>50000</v>
      </c>
      <c r="K12" s="147">
        <f>(Assumption_Hatchery!L16*Assumption_Hatchery!M152)+(Assumption_Hatchery!K18*Assumption_Hatchery!M153)*(1+Assumption_Hatchery!$X129)</f>
        <v>57093.749999999993</v>
      </c>
      <c r="L12" s="35">
        <f>(Assumption_Hatchery!M16*Assumption_Hatchery!N152)+(Assumption_Hatchery!L18*Assumption_Hatchery!N153)</f>
        <v>50000</v>
      </c>
      <c r="M12" s="35">
        <f>(Assumption_Hatchery!N16*Assumption_Hatchery!O152)+(Assumption_Hatchery!M18*Assumption_Hatchery!O153)</f>
        <v>50000</v>
      </c>
      <c r="N12" s="147">
        <f>(Assumption_Hatchery!O16*Assumption_Hatchery!P152)+(Assumption_Hatchery!N18*Assumption_Hatchery!P153)*(1+Assumption_Hatchery!$X129)</f>
        <v>57093.749999999993</v>
      </c>
      <c r="O12" s="35">
        <f>(Assumption_Hatchery!P16*Assumption_Hatchery!Q152)+(Assumption_Hatchery!O18*Assumption_Hatchery!Q153)</f>
        <v>50000</v>
      </c>
      <c r="P12" s="35">
        <f>(Assumption_Hatchery!Q16*Assumption_Hatchery!R152)+(Assumption_Hatchery!P18*Assumption_Hatchery!R153)</f>
        <v>50000</v>
      </c>
      <c r="Q12" s="147">
        <f>(Assumption_Hatchery!R16*Assumption_Hatchery!S152)+(Assumption_Hatchery!Q18*Assumption_Hatchery!S153)*(1+Assumption_Hatchery!$X129)</f>
        <v>57093.749999999993</v>
      </c>
      <c r="R12" s="35">
        <f>(Assumption_Hatchery!S16*Assumption_Hatchery!T152)+(Assumption_Hatchery!R18*Assumption_Hatchery!T153)</f>
        <v>50000</v>
      </c>
      <c r="S12" s="35">
        <f>(Assumption_Hatchery!T16*Assumption_Hatchery!U152)+(Assumption_Hatchery!S18*Assumption_Hatchery!U153)</f>
        <v>50000</v>
      </c>
      <c r="T12" s="147">
        <f>(Assumption_Hatchery!U16*Assumption_Hatchery!V152)+(Assumption_Hatchery!T18*Assumption_Hatchery!V153)*(1+Assumption_Hatchery!$X129)</f>
        <v>57093.749999999993</v>
      </c>
      <c r="U12" s="35">
        <f>(Assumption_Hatchery!V16*Assumption_Hatchery!W152)+(Assumption_Hatchery!U18*Assumption_Hatchery!W153)</f>
        <v>50000</v>
      </c>
      <c r="V12" s="35">
        <f>(Assumption_Hatchery!W16*Assumption_Hatchery!X152)+(Assumption_Hatchery!V18*Assumption_Hatchery!X153)</f>
        <v>50000</v>
      </c>
      <c r="W12" s="147">
        <f>(Assumption_Hatchery!X16*Assumption_Hatchery!Y152)+(Assumption_Hatchery!W18*Assumption_Hatchery!Y153)*(1+Assumption_Hatchery!$X129)</f>
        <v>57093.749999999993</v>
      </c>
      <c r="X12" s="35">
        <f>(Assumption_Hatchery!Y16*Assumption_Hatchery!Z152)+(Assumption_Hatchery!X18*Assumption_Hatchery!Z153)</f>
        <v>50000</v>
      </c>
      <c r="Y12" s="35">
        <f>(Assumption_Hatchery!Z16*Assumption_Hatchery!AA152)+(Assumption_Hatchery!Y18*Assumption_Hatchery!AA153)</f>
        <v>40000</v>
      </c>
      <c r="Z12" s="147">
        <f>(Assumption_Hatchery!AA16*Assumption_Hatchery!AB152)+(Assumption_Hatchery!Z18*Assumption_Hatchery!AB153)*(1+Assumption_Hatchery!$X129)</f>
        <v>28546.874999999996</v>
      </c>
    </row>
    <row r="13" spans="1:26" x14ac:dyDescent="0.25">
      <c r="A13" s="9" t="s">
        <v>53</v>
      </c>
      <c r="B13" s="35">
        <f>Assumption_Hatchery!D18*Assumption_Hatchery!D155</f>
        <v>0</v>
      </c>
      <c r="C13" s="35">
        <f>Assumption_Hatchery!E18*Assumption_Hatchery!E154</f>
        <v>10000</v>
      </c>
      <c r="D13" s="35">
        <f>Assumption_Hatchery!F18*Assumption_Hatchery!F154</f>
        <v>25000</v>
      </c>
      <c r="E13" s="35">
        <f>Assumption_Hatchery!G18*Assumption_Hatchery!G154</f>
        <v>45000</v>
      </c>
      <c r="F13" s="35">
        <f>Assumption_Hatchery!H18*Assumption_Hatchery!H154</f>
        <v>50000</v>
      </c>
      <c r="G13" s="35">
        <f>Assumption_Hatchery!I18*Assumption_Hatchery!I154</f>
        <v>50000</v>
      </c>
      <c r="H13" s="35">
        <f>Assumption_Hatchery!J18*Assumption_Hatchery!J154</f>
        <v>50000</v>
      </c>
      <c r="I13" s="35">
        <f>Assumption_Hatchery!K18*Assumption_Hatchery!K154</f>
        <v>50000</v>
      </c>
      <c r="J13" s="35">
        <f>Assumption_Hatchery!L18*Assumption_Hatchery!L154</f>
        <v>50000</v>
      </c>
      <c r="K13" s="35">
        <f>Assumption_Hatchery!M18*Assumption_Hatchery!M154</f>
        <v>50000</v>
      </c>
      <c r="L13" s="35">
        <f>Assumption_Hatchery!N18*Assumption_Hatchery!N154</f>
        <v>50000</v>
      </c>
      <c r="M13" s="35">
        <f>Assumption_Hatchery!O18*Assumption_Hatchery!O154</f>
        <v>50000</v>
      </c>
      <c r="N13" s="35">
        <f>Assumption_Hatchery!P18*Assumption_Hatchery!P154</f>
        <v>50000</v>
      </c>
      <c r="O13" s="35">
        <f>Assumption_Hatchery!Q18*Assumption_Hatchery!Q154</f>
        <v>50000</v>
      </c>
      <c r="P13" s="35">
        <f>Assumption_Hatchery!R18*Assumption_Hatchery!R154</f>
        <v>50000</v>
      </c>
      <c r="Q13" s="35">
        <f>Assumption_Hatchery!S18*Assumption_Hatchery!S154</f>
        <v>50000</v>
      </c>
      <c r="R13" s="35">
        <f>Assumption_Hatchery!T18*Assumption_Hatchery!T154</f>
        <v>50000</v>
      </c>
      <c r="S13" s="35">
        <f>Assumption_Hatchery!U18*Assumption_Hatchery!U154</f>
        <v>50000</v>
      </c>
      <c r="T13" s="35">
        <f>Assumption_Hatchery!V18*Assumption_Hatchery!V154</f>
        <v>50000</v>
      </c>
      <c r="U13" s="35">
        <f>Assumption_Hatchery!W18*Assumption_Hatchery!W154</f>
        <v>50000</v>
      </c>
      <c r="V13" s="35">
        <f>Assumption_Hatchery!X18*Assumption_Hatchery!X154</f>
        <v>50000</v>
      </c>
      <c r="W13" s="35">
        <f>Assumption_Hatchery!Y18*Assumption_Hatchery!Y154</f>
        <v>40000</v>
      </c>
      <c r="X13" s="35">
        <f>Assumption_Hatchery!Z18*Assumption_Hatchery!Z154</f>
        <v>25000</v>
      </c>
      <c r="Y13" s="35">
        <f>Assumption_Hatchery!AA18*Assumption_Hatchery!AA154</f>
        <v>5000</v>
      </c>
      <c r="Z13" s="35">
        <f>Assumption_Hatchery!AB18*Assumption_Hatchery!AB154</f>
        <v>0</v>
      </c>
    </row>
    <row r="14" spans="1:26" x14ac:dyDescent="0.25">
      <c r="A14" s="9" t="s">
        <v>55</v>
      </c>
      <c r="B14" s="35">
        <f>Assumption_Hatchery!D18*Assumption_Hatchery!D155</f>
        <v>0</v>
      </c>
      <c r="C14" s="35">
        <f>Assumption_Hatchery!E18*Assumption_Hatchery!E155</f>
        <v>10000</v>
      </c>
      <c r="D14" s="35">
        <f>Assumption_Hatchery!F18*Assumption_Hatchery!F155</f>
        <v>25000</v>
      </c>
      <c r="E14" s="147">
        <f>Assumption_Hatchery!G18*Assumption_Hatchery!G155*(1+Assumption_Hatchery!$X132)</f>
        <v>53043.749999999993</v>
      </c>
      <c r="F14" s="35">
        <f>Assumption_Hatchery!H18*Assumption_Hatchery!H155</f>
        <v>50000</v>
      </c>
      <c r="G14" s="35">
        <f>Assumption_Hatchery!I18*Assumption_Hatchery!I155</f>
        <v>50000</v>
      </c>
      <c r="H14" s="147">
        <f>Assumption_Hatchery!J18*Assumption_Hatchery!J155*(1+Assumption_Hatchery!$X132)</f>
        <v>58937.499999999993</v>
      </c>
      <c r="I14" s="35">
        <f>Assumption_Hatchery!K18*Assumption_Hatchery!K155</f>
        <v>50000</v>
      </c>
      <c r="J14" s="35">
        <f>Assumption_Hatchery!L18*Assumption_Hatchery!L155</f>
        <v>50000</v>
      </c>
      <c r="K14" s="147">
        <f>Assumption_Hatchery!M18*Assumption_Hatchery!M155*(1+Assumption_Hatchery!$X132)</f>
        <v>58937.499999999993</v>
      </c>
      <c r="L14" s="35">
        <f>Assumption_Hatchery!N18*Assumption_Hatchery!N155</f>
        <v>50000</v>
      </c>
      <c r="M14" s="35">
        <f>Assumption_Hatchery!O18*Assumption_Hatchery!O155</f>
        <v>50000</v>
      </c>
      <c r="N14" s="147">
        <f>Assumption_Hatchery!P18*Assumption_Hatchery!P155*(1+Assumption_Hatchery!$X132)</f>
        <v>58937.499999999993</v>
      </c>
      <c r="O14" s="35">
        <f>Assumption_Hatchery!Q18*Assumption_Hatchery!Q155</f>
        <v>50000</v>
      </c>
      <c r="P14" s="35">
        <f>Assumption_Hatchery!R18*Assumption_Hatchery!R155</f>
        <v>50000</v>
      </c>
      <c r="Q14" s="147">
        <f>Assumption_Hatchery!S18*Assumption_Hatchery!S155*(1+Assumption_Hatchery!$X132)</f>
        <v>58937.499999999993</v>
      </c>
      <c r="R14" s="35">
        <f>Assumption_Hatchery!T18*Assumption_Hatchery!T155</f>
        <v>50000</v>
      </c>
      <c r="S14" s="35">
        <f>Assumption_Hatchery!U18*Assumption_Hatchery!U155</f>
        <v>50000</v>
      </c>
      <c r="T14" s="147">
        <f>Assumption_Hatchery!V18*Assumption_Hatchery!V155*(1+Assumption_Hatchery!$X132)</f>
        <v>58937.499999999993</v>
      </c>
      <c r="U14" s="35">
        <f>Assumption_Hatchery!W18*Assumption_Hatchery!W155</f>
        <v>50000</v>
      </c>
      <c r="V14" s="35">
        <f>Assumption_Hatchery!X18*Assumption_Hatchery!X155</f>
        <v>50000</v>
      </c>
      <c r="W14" s="147">
        <f>Assumption_Hatchery!Y18*Assumption_Hatchery!Y155*(1+Assumption_Hatchery!$X132)</f>
        <v>47149.999999999993</v>
      </c>
      <c r="X14" s="35">
        <f>Assumption_Hatchery!Z18*Assumption_Hatchery!Z155</f>
        <v>25000</v>
      </c>
      <c r="Y14" s="35">
        <f>Assumption_Hatchery!AA18*Assumption_Hatchery!AA155</f>
        <v>5000</v>
      </c>
      <c r="Z14" s="147">
        <f>Assumption_Hatchery!AB18*Assumption_Hatchery!AB155*(1+Assumption_Hatchery!$X132)</f>
        <v>0</v>
      </c>
    </row>
    <row r="15" spans="1:26" x14ac:dyDescent="0.25">
      <c r="A15" s="118" t="s">
        <v>126</v>
      </c>
      <c r="B15" s="35">
        <f>Assumption_Hatchery!D18*Assumption_Hatchery!D156</f>
        <v>0</v>
      </c>
      <c r="C15" s="35">
        <f>Assumption_Hatchery!E18*Assumption_Hatchery!E156</f>
        <v>1000</v>
      </c>
      <c r="D15" s="35">
        <f>Assumption_Hatchery!F18*Assumption_Hatchery!F156</f>
        <v>2500</v>
      </c>
      <c r="E15" s="147">
        <f>Assumption_Hatchery!G18*Assumption_Hatchery!G156*(1+Assumption_Hatchery!$X133)</f>
        <v>4885.875</v>
      </c>
      <c r="F15" s="35">
        <f>Assumption_Hatchery!H18*Assumption_Hatchery!H156</f>
        <v>5000</v>
      </c>
      <c r="G15" s="35">
        <f>Assumption_Hatchery!I18*Assumption_Hatchery!I156</f>
        <v>5000</v>
      </c>
      <c r="H15" s="147">
        <f>Assumption_Hatchery!J18*Assumption_Hatchery!J156*(1+Assumption_Hatchery!$X133)</f>
        <v>5428.75</v>
      </c>
      <c r="I15" s="35">
        <f>Assumption_Hatchery!K18*Assumption_Hatchery!K156</f>
        <v>5000</v>
      </c>
      <c r="J15" s="35">
        <f>Assumption_Hatchery!L18*Assumption_Hatchery!L156</f>
        <v>5000</v>
      </c>
      <c r="K15" s="147">
        <f>Assumption_Hatchery!M18*Assumption_Hatchery!M156*(1+Assumption_Hatchery!$X133)</f>
        <v>5428.75</v>
      </c>
      <c r="L15" s="35">
        <f>Assumption_Hatchery!N18*Assumption_Hatchery!N156</f>
        <v>5000</v>
      </c>
      <c r="M15" s="35">
        <f>Assumption_Hatchery!O18*Assumption_Hatchery!O156</f>
        <v>5000</v>
      </c>
      <c r="N15" s="147">
        <f>Assumption_Hatchery!P18*Assumption_Hatchery!P156*(1+Assumption_Hatchery!$X133)</f>
        <v>5428.75</v>
      </c>
      <c r="O15" s="35">
        <f>Assumption_Hatchery!Q18*Assumption_Hatchery!Q156</f>
        <v>5000</v>
      </c>
      <c r="P15" s="35">
        <f>Assumption_Hatchery!R18*Assumption_Hatchery!R156</f>
        <v>5000</v>
      </c>
      <c r="Q15" s="147">
        <f>Assumption_Hatchery!S18*Assumption_Hatchery!S156*(1+Assumption_Hatchery!$X133)</f>
        <v>5428.75</v>
      </c>
      <c r="R15" s="35">
        <f>Assumption_Hatchery!T18*Assumption_Hatchery!T156</f>
        <v>5000</v>
      </c>
      <c r="S15" s="35">
        <f>Assumption_Hatchery!U18*Assumption_Hatchery!U156</f>
        <v>5000</v>
      </c>
      <c r="T15" s="147">
        <f>Assumption_Hatchery!V18*Assumption_Hatchery!V156*(1+Assumption_Hatchery!$X133)</f>
        <v>5428.75</v>
      </c>
      <c r="U15" s="35">
        <f>Assumption_Hatchery!W18*Assumption_Hatchery!W156</f>
        <v>5000</v>
      </c>
      <c r="V15" s="35">
        <f>Assumption_Hatchery!X18*Assumption_Hatchery!X156</f>
        <v>5000</v>
      </c>
      <c r="W15" s="147">
        <f>Assumption_Hatchery!Y18*Assumption_Hatchery!Y156*(1+Assumption_Hatchery!$X133)</f>
        <v>4343</v>
      </c>
      <c r="X15" s="35">
        <f>Assumption_Hatchery!Z18*Assumption_Hatchery!Z156</f>
        <v>2500</v>
      </c>
      <c r="Y15" s="35">
        <f>Assumption_Hatchery!AA18*Assumption_Hatchery!AA156</f>
        <v>500</v>
      </c>
      <c r="Z15" s="147">
        <f>Assumption_Hatchery!AB18*Assumption_Hatchery!AB156*(1+Assumption_Hatchery!$X133)</f>
        <v>0</v>
      </c>
    </row>
    <row r="16" spans="1:26" x14ac:dyDescent="0.25">
      <c r="A16" s="118" t="s">
        <v>127</v>
      </c>
      <c r="B16" s="35">
        <f>Assumption_Hatchery!D18*Assumption_Hatchery!D157</f>
        <v>0</v>
      </c>
      <c r="C16" s="35">
        <f>Assumption_Hatchery!E18*Assumption_Hatchery!E157</f>
        <v>20000</v>
      </c>
      <c r="D16" s="35">
        <f>Assumption_Hatchery!F18*Assumption_Hatchery!F157</f>
        <v>50000</v>
      </c>
      <c r="E16" s="147">
        <f>Assumption_Hatchery!G18*Assumption_Hatchery!G157*(1+Assumption_Hatchery!$X134)</f>
        <v>97717.5</v>
      </c>
      <c r="F16" s="35">
        <f>Assumption_Hatchery!H18*Assumption_Hatchery!H157</f>
        <v>100000</v>
      </c>
      <c r="G16" s="35">
        <f>Assumption_Hatchery!I18*Assumption_Hatchery!I157</f>
        <v>100000</v>
      </c>
      <c r="H16" s="147">
        <f>Assumption_Hatchery!J18*Assumption_Hatchery!J157*(1+Assumption_Hatchery!$X134)</f>
        <v>108575</v>
      </c>
      <c r="I16" s="35">
        <f>Assumption_Hatchery!K18*Assumption_Hatchery!K157</f>
        <v>100000</v>
      </c>
      <c r="J16" s="35">
        <f>Assumption_Hatchery!L18*Assumption_Hatchery!L157</f>
        <v>100000</v>
      </c>
      <c r="K16" s="147">
        <f>Assumption_Hatchery!M18*Assumption_Hatchery!M157*(1+Assumption_Hatchery!$X134)</f>
        <v>108575</v>
      </c>
      <c r="L16" s="35">
        <f>Assumption_Hatchery!N18*Assumption_Hatchery!N157</f>
        <v>100000</v>
      </c>
      <c r="M16" s="35">
        <f>Assumption_Hatchery!O18*Assumption_Hatchery!O157</f>
        <v>100000</v>
      </c>
      <c r="N16" s="147">
        <f>Assumption_Hatchery!P18*Assumption_Hatchery!P157*(1+Assumption_Hatchery!$X134)</f>
        <v>108575</v>
      </c>
      <c r="O16" s="35">
        <f>Assumption_Hatchery!Q18*Assumption_Hatchery!Q157</f>
        <v>100000</v>
      </c>
      <c r="P16" s="35">
        <f>Assumption_Hatchery!R18*Assumption_Hatchery!R157</f>
        <v>100000</v>
      </c>
      <c r="Q16" s="147">
        <f>Assumption_Hatchery!S18*Assumption_Hatchery!S157*(1+Assumption_Hatchery!$X134)</f>
        <v>108575</v>
      </c>
      <c r="R16" s="35">
        <f>Assumption_Hatchery!T18*Assumption_Hatchery!T157</f>
        <v>100000</v>
      </c>
      <c r="S16" s="35">
        <f>Assumption_Hatchery!U18*Assumption_Hatchery!U157</f>
        <v>100000</v>
      </c>
      <c r="T16" s="147">
        <f>Assumption_Hatchery!V18*Assumption_Hatchery!V157*(1+Assumption_Hatchery!$X134)</f>
        <v>108575</v>
      </c>
      <c r="U16" s="35">
        <f>Assumption_Hatchery!W18*Assumption_Hatchery!W157</f>
        <v>100000</v>
      </c>
      <c r="V16" s="35">
        <f>Assumption_Hatchery!X18*Assumption_Hatchery!X157</f>
        <v>100000</v>
      </c>
      <c r="W16" s="147">
        <f>Assumption_Hatchery!Y18*Assumption_Hatchery!Y157*(1+Assumption_Hatchery!$X134)</f>
        <v>86860</v>
      </c>
      <c r="X16" s="35">
        <f>Assumption_Hatchery!Z18*Assumption_Hatchery!Z157</f>
        <v>50000</v>
      </c>
      <c r="Y16" s="35">
        <f>Assumption_Hatchery!AA18*Assumption_Hatchery!AA157</f>
        <v>10000</v>
      </c>
      <c r="Z16" s="147">
        <f>Assumption_Hatchery!AB18*Assumption_Hatchery!AB157*(1+Assumption_Hatchery!$X134)</f>
        <v>0</v>
      </c>
    </row>
    <row r="17" spans="1:26" x14ac:dyDescent="0.25">
      <c r="A17" s="9" t="s">
        <v>40</v>
      </c>
      <c r="B17" s="35">
        <f>Assumption_Hatchery!D18*Assumption_Hatchery!D158</f>
        <v>0</v>
      </c>
      <c r="C17" s="35">
        <f>Assumption_Hatchery!E18*Assumption_Hatchery!E158</f>
        <v>20000</v>
      </c>
      <c r="D17" s="35">
        <f>Assumption_Hatchery!F18*Assumption_Hatchery!F158</f>
        <v>50000</v>
      </c>
      <c r="E17" s="147">
        <f>Assumption_Hatchery!G18*Assumption_Hatchery!G158*(1+Assumption_Hatchery!$X135)</f>
        <v>98201.249999999985</v>
      </c>
      <c r="F17" s="35">
        <f>Assumption_Hatchery!H18*Assumption_Hatchery!H158</f>
        <v>100000</v>
      </c>
      <c r="G17" s="35">
        <f>Assumption_Hatchery!I18*Assumption_Hatchery!I158</f>
        <v>100000</v>
      </c>
      <c r="H17" s="147">
        <f>Assumption_Hatchery!J18*Assumption_Hatchery!J158*(1+Assumption_Hatchery!$X135)</f>
        <v>109112.49999999999</v>
      </c>
      <c r="I17" s="35">
        <f>Assumption_Hatchery!K18*Assumption_Hatchery!K158</f>
        <v>100000</v>
      </c>
      <c r="J17" s="35">
        <f>Assumption_Hatchery!L18*Assumption_Hatchery!L158</f>
        <v>100000</v>
      </c>
      <c r="K17" s="147">
        <f>Assumption_Hatchery!M18*Assumption_Hatchery!M158*(1+Assumption_Hatchery!$X135)</f>
        <v>109112.49999999999</v>
      </c>
      <c r="L17" s="35">
        <f>Assumption_Hatchery!N18*Assumption_Hatchery!N158</f>
        <v>100000</v>
      </c>
      <c r="M17" s="35">
        <f>Assumption_Hatchery!O18*Assumption_Hatchery!O158</f>
        <v>100000</v>
      </c>
      <c r="N17" s="147">
        <f>Assumption_Hatchery!P18*Assumption_Hatchery!P158*(1+Assumption_Hatchery!$X135)</f>
        <v>109112.49999999999</v>
      </c>
      <c r="O17" s="35">
        <f>Assumption_Hatchery!Q18*Assumption_Hatchery!Q158</f>
        <v>100000</v>
      </c>
      <c r="P17" s="35">
        <f>Assumption_Hatchery!R18*Assumption_Hatchery!R158</f>
        <v>100000</v>
      </c>
      <c r="Q17" s="147">
        <f>Assumption_Hatchery!S18*Assumption_Hatchery!S158*(1+Assumption_Hatchery!$X135)</f>
        <v>109112.49999999999</v>
      </c>
      <c r="R17" s="35">
        <f>Assumption_Hatchery!T18*Assumption_Hatchery!T158</f>
        <v>100000</v>
      </c>
      <c r="S17" s="35">
        <f>Assumption_Hatchery!U18*Assumption_Hatchery!U158</f>
        <v>100000</v>
      </c>
      <c r="T17" s="147">
        <f>Assumption_Hatchery!V18*Assumption_Hatchery!V158*(1+Assumption_Hatchery!$X135)</f>
        <v>109112.49999999999</v>
      </c>
      <c r="U17" s="35">
        <f>Assumption_Hatchery!W18*Assumption_Hatchery!W158</f>
        <v>100000</v>
      </c>
      <c r="V17" s="35">
        <f>Assumption_Hatchery!X18*Assumption_Hatchery!X158</f>
        <v>100000</v>
      </c>
      <c r="W17" s="147">
        <f>Assumption_Hatchery!Y18*Assumption_Hatchery!Y158*(1+Assumption_Hatchery!$X135)</f>
        <v>87289.999999999985</v>
      </c>
      <c r="X17" s="35">
        <f>Assumption_Hatchery!Z18*Assumption_Hatchery!Z158</f>
        <v>50000</v>
      </c>
      <c r="Y17" s="35">
        <f>Assumption_Hatchery!AA18*Assumption_Hatchery!AA158</f>
        <v>10000</v>
      </c>
      <c r="Z17" s="147">
        <f>Assumption_Hatchery!AB18*Assumption_Hatchery!AB158*(1+Assumption_Hatchery!$X135)</f>
        <v>0</v>
      </c>
    </row>
    <row r="18" spans="1:26" x14ac:dyDescent="0.25">
      <c r="A18" s="9" t="s">
        <v>15</v>
      </c>
      <c r="B18" s="35">
        <f>Assumption_Hatchery!D18*Assumption_Hatchery!D159*Assumption_Hatchery!D160*(1+Assumption_Hatchery!D161)^Assumption_Hatchery!D150</f>
        <v>0</v>
      </c>
      <c r="C18" s="35">
        <f>Assumption_Hatchery!E18*Assumption_Hatchery!E159*Assumption_Hatchery!E160*(1+Assumption_Hatchery!E161)^Assumption_Hatchery!E150</f>
        <v>4100.6000000000004</v>
      </c>
      <c r="D18" s="35">
        <f>Assumption_Hatchery!F18*Assumption_Hatchery!F159*Assumption_Hatchery!F160*(1+Assumption_Hatchery!F161)^Assumption_Hatchery!F150</f>
        <v>10354.014999999999</v>
      </c>
      <c r="E18" s="35">
        <f>Assumption_Hatchery!G18*Assumption_Hatchery!G159*Assumption_Hatchery!G160*(1+Assumption_Hatchery!G161)^Assumption_Hatchery!G150</f>
        <v>18823.599269999999</v>
      </c>
      <c r="F18" s="35">
        <f>Assumption_Hatchery!H18*Assumption_Hatchery!H159*Assumption_Hatchery!H160*(1+Assumption_Hatchery!H161)^Assumption_Hatchery!H150</f>
        <v>21124.261403</v>
      </c>
      <c r="G18" s="35">
        <f>Assumption_Hatchery!I18*Assumption_Hatchery!I159*Assumption_Hatchery!I160*(1+Assumption_Hatchery!I161)^Assumption_Hatchery!I150</f>
        <v>21335.504017029998</v>
      </c>
      <c r="H18" s="35">
        <f>Assumption_Hatchery!J18*Assumption_Hatchery!J159*Assumption_Hatchery!J160*(1+Assumption_Hatchery!J161)^Assumption_Hatchery!J150</f>
        <v>21548.859057200301</v>
      </c>
      <c r="I18" s="35">
        <f>Assumption_Hatchery!K18*Assumption_Hatchery!K159*Assumption_Hatchery!K160*(1+Assumption_Hatchery!K161)^Assumption_Hatchery!K150</f>
        <v>21764.347647772298</v>
      </c>
      <c r="J18" s="35">
        <f>Assumption_Hatchery!L18*Assumption_Hatchery!L159*Assumption_Hatchery!L160*(1+Assumption_Hatchery!L161)^Assumption_Hatchery!L150</f>
        <v>21981.991124250027</v>
      </c>
      <c r="K18" s="35">
        <f>Assumption_Hatchery!M18*Assumption_Hatchery!M159*Assumption_Hatchery!M160*(1+Assumption_Hatchery!M161)^Assumption_Hatchery!M150</f>
        <v>22201.81103549253</v>
      </c>
      <c r="L18" s="35">
        <f>Assumption_Hatchery!N18*Assumption_Hatchery!N159*Assumption_Hatchery!N160*(1+Assumption_Hatchery!N161)^Assumption_Hatchery!N150</f>
        <v>22423.829145847456</v>
      </c>
      <c r="M18" s="35">
        <f>Assumption_Hatchery!O18*Assumption_Hatchery!O159*Assumption_Hatchery!O160*(1+Assumption_Hatchery!O161)^Assumption_Hatchery!O150</f>
        <v>22648.067437305926</v>
      </c>
      <c r="N18" s="35">
        <f>Assumption_Hatchery!P18*Assumption_Hatchery!P159*Assumption_Hatchery!P160*(1+Assumption_Hatchery!P161)^Assumption_Hatchery!P150</f>
        <v>22874.548111678985</v>
      </c>
      <c r="O18" s="35">
        <f>Assumption_Hatchery!Q18*Assumption_Hatchery!Q159*Assumption_Hatchery!Q160*(1+Assumption_Hatchery!Q161)^Assumption_Hatchery!Q150</f>
        <v>23103.293592795777</v>
      </c>
      <c r="P18" s="35">
        <f>Assumption_Hatchery!R18*Assumption_Hatchery!R159*Assumption_Hatchery!R160*(1+Assumption_Hatchery!R161)^Assumption_Hatchery!R150</f>
        <v>23334.326528723737</v>
      </c>
      <c r="Q18" s="35">
        <f>Assumption_Hatchery!S18*Assumption_Hatchery!S159*Assumption_Hatchery!S160*(1+Assumption_Hatchery!S161)^Assumption_Hatchery!S150</f>
        <v>23567.66979401097</v>
      </c>
      <c r="R18" s="35">
        <f>Assumption_Hatchery!T18*Assumption_Hatchery!T159*Assumption_Hatchery!T160*(1+Assumption_Hatchery!T161)^Assumption_Hatchery!T150</f>
        <v>23803.346491951084</v>
      </c>
      <c r="S18" s="35">
        <f>Assumption_Hatchery!U18*Assumption_Hatchery!U159*Assumption_Hatchery!U160*(1+Assumption_Hatchery!U161)^Assumption_Hatchery!U150</f>
        <v>24041.379956870598</v>
      </c>
      <c r="T18" s="35">
        <f>Assumption_Hatchery!V18*Assumption_Hatchery!V159*Assumption_Hatchery!V160*(1+Assumption_Hatchery!V161)^Assumption_Hatchery!V150</f>
        <v>24281.793756439303</v>
      </c>
      <c r="U18" s="35">
        <f>Assumption_Hatchery!W18*Assumption_Hatchery!W159*Assumption_Hatchery!W160*(1+Assumption_Hatchery!W161)^Assumption_Hatchery!W150</f>
        <v>24524.611694003692</v>
      </c>
      <c r="V18" s="35">
        <f>Assumption_Hatchery!X18*Assumption_Hatchery!X159*Assumption_Hatchery!X160*(1+Assumption_Hatchery!X161)^Assumption_Hatchery!X150</f>
        <v>24769.857810943729</v>
      </c>
      <c r="W18" s="35">
        <f>Assumption_Hatchery!Y18*Assumption_Hatchery!Y159*Assumption_Hatchery!Y160*(1+Assumption_Hatchery!Y161)^Assumption_Hatchery!Y150</f>
        <v>20014.045111242533</v>
      </c>
      <c r="X18" s="35">
        <f>Assumption_Hatchery!Z18*Assumption_Hatchery!Z159*Assumption_Hatchery!Z160*(1+Assumption_Hatchery!Z161)^Assumption_Hatchery!Z150</f>
        <v>12633.865976471852</v>
      </c>
      <c r="Y18" s="35">
        <f>Assumption_Hatchery!AA18*Assumption_Hatchery!AA159*Assumption_Hatchery!AA160*(1+Assumption_Hatchery!AA161)^Assumption_Hatchery!AA150</f>
        <v>2552.0409272473134</v>
      </c>
      <c r="Z18" s="35">
        <f>Assumption_Hatchery!AB18*Assumption_Hatchery!AB159*Assumption_Hatchery!AB160*(1+Assumption_Hatchery!AB161)^Assumption_Hatchery!AB150</f>
        <v>0</v>
      </c>
    </row>
    <row r="19" spans="1:26" s="54" customFormat="1" x14ac:dyDescent="0.25">
      <c r="A19" s="56" t="s">
        <v>156</v>
      </c>
      <c r="B19" s="53">
        <f>Assumption_Hatchery!D43</f>
        <v>0</v>
      </c>
      <c r="C19" s="53">
        <f>Assumption_Hatchery!E43</f>
        <v>0</v>
      </c>
      <c r="D19" s="53">
        <f>Assumption_Hatchery!F43</f>
        <v>133200</v>
      </c>
      <c r="E19" s="53">
        <f>Assumption_Hatchery!G43</f>
        <v>311400</v>
      </c>
      <c r="F19" s="53">
        <f>Assumption_Hatchery!H43</f>
        <v>433800</v>
      </c>
      <c r="G19" s="53">
        <f>Assumption_Hatchery!I43</f>
        <v>289800</v>
      </c>
      <c r="H19" s="53">
        <f>Assumption_Hatchery!J43</f>
        <v>55800</v>
      </c>
      <c r="I19" s="53">
        <f>Assumption_Hatchery!K43</f>
        <v>0</v>
      </c>
      <c r="J19" s="53">
        <f>Assumption_Hatchery!L43</f>
        <v>0</v>
      </c>
      <c r="K19" s="53">
        <f>Assumption_Hatchery!M43</f>
        <v>0</v>
      </c>
      <c r="L19" s="53">
        <f>Assumption_Hatchery!N43</f>
        <v>0</v>
      </c>
      <c r="M19" s="53">
        <f>Assumption_Hatchery!O43</f>
        <v>0</v>
      </c>
      <c r="N19" s="53">
        <f>Assumption_Hatchery!P43</f>
        <v>0</v>
      </c>
      <c r="O19" s="53">
        <f>Assumption_Hatchery!Q43</f>
        <v>0</v>
      </c>
      <c r="P19" s="53">
        <f>Assumption_Hatchery!R43</f>
        <v>0</v>
      </c>
      <c r="Q19" s="53">
        <f>Assumption_Hatchery!S43</f>
        <v>0</v>
      </c>
      <c r="R19" s="53">
        <f>Assumption_Hatchery!T43</f>
        <v>0</v>
      </c>
      <c r="S19" s="53">
        <f>Assumption_Hatchery!U43</f>
        <v>0</v>
      </c>
      <c r="T19" s="53">
        <f>Assumption_Hatchery!V43</f>
        <v>0</v>
      </c>
      <c r="U19" s="53">
        <f>Assumption_Hatchery!W43</f>
        <v>0</v>
      </c>
      <c r="V19" s="53">
        <f>Assumption_Hatchery!X43</f>
        <v>0</v>
      </c>
      <c r="W19" s="53">
        <f>Assumption_Hatchery!Y43</f>
        <v>0</v>
      </c>
      <c r="X19" s="53">
        <f>Assumption_Hatchery!Z43</f>
        <v>0</v>
      </c>
      <c r="Y19" s="53">
        <f>Assumption_Hatchery!AA43</f>
        <v>0</v>
      </c>
      <c r="Z19" s="53">
        <f>Assumption_Hatchery!AB43</f>
        <v>0</v>
      </c>
    </row>
    <row r="20" spans="1:26" x14ac:dyDescent="0.25">
      <c r="A20" s="127" t="s">
        <v>59</v>
      </c>
      <c r="B20" s="40">
        <f>SUM(B11:B19)</f>
        <v>0</v>
      </c>
      <c r="C20" s="40">
        <f t="shared" ref="C20:Z20" si="1">SUM(C11:C19)</f>
        <v>165100.6</v>
      </c>
      <c r="D20" s="40">
        <f t="shared" si="1"/>
        <v>451054.01500000001</v>
      </c>
      <c r="E20" s="40">
        <f t="shared" si="1"/>
        <v>848103.22427000001</v>
      </c>
      <c r="F20" s="40">
        <f t="shared" si="1"/>
        <v>844924.26140299998</v>
      </c>
      <c r="G20" s="40">
        <f t="shared" si="1"/>
        <v>663635.50401703001</v>
      </c>
      <c r="H20" s="40">
        <f t="shared" si="1"/>
        <v>466496.35905720032</v>
      </c>
      <c r="I20" s="40">
        <f t="shared" si="1"/>
        <v>376764.34764777229</v>
      </c>
      <c r="J20" s="40">
        <f t="shared" si="1"/>
        <v>376981.99112425005</v>
      </c>
      <c r="K20" s="40">
        <f t="shared" si="1"/>
        <v>411349.31103549252</v>
      </c>
      <c r="L20" s="40">
        <f t="shared" si="1"/>
        <v>377423.82914584747</v>
      </c>
      <c r="M20" s="40">
        <f t="shared" si="1"/>
        <v>377648.06743730593</v>
      </c>
      <c r="N20" s="40">
        <f t="shared" si="1"/>
        <v>412022.04811167897</v>
      </c>
      <c r="O20" s="40">
        <f t="shared" si="1"/>
        <v>378103.29359279579</v>
      </c>
      <c r="P20" s="40">
        <f t="shared" si="1"/>
        <v>378334.32652872376</v>
      </c>
      <c r="Q20" s="40">
        <f t="shared" si="1"/>
        <v>412715.16979401099</v>
      </c>
      <c r="R20" s="40">
        <f t="shared" si="1"/>
        <v>378803.34649195109</v>
      </c>
      <c r="S20" s="40">
        <f t="shared" si="1"/>
        <v>379041.37995687057</v>
      </c>
      <c r="T20" s="40">
        <f t="shared" si="1"/>
        <v>413429.29375643929</v>
      </c>
      <c r="U20" s="40">
        <f t="shared" si="1"/>
        <v>379524.61169400369</v>
      </c>
      <c r="V20" s="40">
        <f t="shared" si="1"/>
        <v>379769.85781094374</v>
      </c>
      <c r="W20" s="40">
        <f t="shared" si="1"/>
        <v>342750.79511124251</v>
      </c>
      <c r="X20" s="40">
        <f t="shared" si="1"/>
        <v>215133.86597647186</v>
      </c>
      <c r="Y20" s="40">
        <f t="shared" si="1"/>
        <v>73052.040927247319</v>
      </c>
      <c r="Z20" s="40">
        <f t="shared" si="1"/>
        <v>28546.874999999996</v>
      </c>
    </row>
    <row r="21" spans="1:26" x14ac:dyDescent="0.25">
      <c r="B21" s="34"/>
      <c r="C21" s="34"/>
      <c r="D21" s="34"/>
      <c r="E21" s="34"/>
      <c r="F21" s="34"/>
      <c r="G21" s="34"/>
      <c r="H21" s="34"/>
      <c r="I21" s="34"/>
      <c r="J21" s="34"/>
      <c r="K21" s="34"/>
      <c r="L21" s="34"/>
    </row>
    <row r="22" spans="1:26" x14ac:dyDescent="0.25">
      <c r="A22" s="24" t="s">
        <v>60</v>
      </c>
      <c r="B22" s="36">
        <f>B8-B20</f>
        <v>0</v>
      </c>
      <c r="C22" s="36">
        <f t="shared" ref="C22:Z22" si="2">C8-C20</f>
        <v>-165100.6</v>
      </c>
      <c r="D22" s="36">
        <f t="shared" si="2"/>
        <v>-229969.01499999998</v>
      </c>
      <c r="E22" s="36">
        <f t="shared" si="2"/>
        <v>-482021.28515750001</v>
      </c>
      <c r="F22" s="36">
        <f t="shared" si="2"/>
        <v>-384890.59340299992</v>
      </c>
      <c r="G22" s="36">
        <f t="shared" si="2"/>
        <v>-194401.16265702993</v>
      </c>
      <c r="H22" s="36">
        <f t="shared" si="2"/>
        <v>-34841.823010869208</v>
      </c>
      <c r="I22" s="36">
        <f t="shared" si="2"/>
        <v>111427.06110317173</v>
      </c>
      <c r="J22" s="36">
        <f t="shared" si="2"/>
        <v>120973.24580171285</v>
      </c>
      <c r="K22" s="36">
        <f t="shared" si="2"/>
        <v>46725.935853162315</v>
      </c>
      <c r="L22" s="36">
        <f t="shared" si="2"/>
        <v>140648.79935192439</v>
      </c>
      <c r="M22" s="36">
        <f t="shared" si="2"/>
        <v>150786.01363042125</v>
      </c>
      <c r="N22" s="36">
        <f t="shared" si="2"/>
        <v>74091.068488536694</v>
      </c>
      <c r="O22" s="36">
        <f t="shared" si="2"/>
        <v>171679.52435006766</v>
      </c>
      <c r="P22" s="36">
        <f t="shared" si="2"/>
        <v>182444.14777299698</v>
      </c>
      <c r="Q22" s="36">
        <f t="shared" si="2"/>
        <v>103151.95844707056</v>
      </c>
      <c r="R22" s="36">
        <f t="shared" si="2"/>
        <v>204630.57817155909</v>
      </c>
      <c r="S22" s="36">
        <f t="shared" si="2"/>
        <v>216061.2231999099</v>
      </c>
      <c r="T22" s="36">
        <f t="shared" si="2"/>
        <v>134013.02967002249</v>
      </c>
      <c r="U22" s="36">
        <f t="shared" si="2"/>
        <v>239620.13663031056</v>
      </c>
      <c r="V22" s="36">
        <f t="shared" si="2"/>
        <v>251757.78547985689</v>
      </c>
      <c r="W22" s="36">
        <f t="shared" si="2"/>
        <v>141009.34341575636</v>
      </c>
      <c r="X22" s="36">
        <f t="shared" si="2"/>
        <v>143386.81406340265</v>
      </c>
      <c r="Y22" s="36">
        <f t="shared" si="2"/>
        <v>33966.177800887061</v>
      </c>
      <c r="Z22" s="36">
        <f t="shared" si="2"/>
        <v>-19046.874999999996</v>
      </c>
    </row>
    <row r="23" spans="1:26" x14ac:dyDescent="0.25">
      <c r="B23" s="34"/>
      <c r="C23" s="34"/>
      <c r="D23" s="34"/>
      <c r="E23" s="34"/>
      <c r="F23" s="34"/>
      <c r="G23" s="34"/>
      <c r="H23" s="34"/>
      <c r="I23" s="34"/>
      <c r="J23" s="34"/>
      <c r="K23" s="34"/>
      <c r="L23" s="34"/>
    </row>
    <row r="24" spans="1:26" s="13" customFormat="1" x14ac:dyDescent="0.25">
      <c r="A24" s="24" t="s">
        <v>61</v>
      </c>
      <c r="B24" s="42">
        <f>B22/(1+Assumption_Hatchery!$C76)^B4</f>
        <v>0</v>
      </c>
      <c r="C24" s="42">
        <f>C22/(1+Assumption_Hatchery!$C76)^C4</f>
        <v>-151468.44036697247</v>
      </c>
      <c r="D24" s="42">
        <f>D22/(1+Assumption_Hatchery!$C76)^D4</f>
        <v>-193560.3189967174</v>
      </c>
      <c r="E24" s="42">
        <f>E22/(1+Assumption_Hatchery!$C76)^E4</f>
        <v>-372208.87343642494</v>
      </c>
      <c r="F24" s="42">
        <f>F22/(1+Assumption_Hatchery!$C76)^F4</f>
        <v>-272666.19986852893</v>
      </c>
      <c r="G24" s="42">
        <f>G22/(1+Assumption_Hatchery!$C76)^G4</f>
        <v>-126347.41714369357</v>
      </c>
      <c r="H24" s="42">
        <f>H22/(1+Assumption_Hatchery!$C76)^H4</f>
        <v>-20775.040670289734</v>
      </c>
      <c r="I24" s="42">
        <f>I22/(1+Assumption_Hatchery!$C76)^I4</f>
        <v>60954.418225683716</v>
      </c>
      <c r="J24" s="42">
        <f>J22/(1+Assumption_Hatchery!$C76)^J4</f>
        <v>60712.392810444944</v>
      </c>
      <c r="K24" s="42">
        <f>K22/(1+Assumption_Hatchery!$C76)^K4</f>
        <v>21513.918890692643</v>
      </c>
      <c r="L24" s="42">
        <f>L22/(1+Assumption_Hatchery!$C76)^L4</f>
        <v>59411.572823156232</v>
      </c>
      <c r="M24" s="42">
        <f>M22/(1+Assumption_Hatchery!$C76)^M4</f>
        <v>58434.533657073938</v>
      </c>
      <c r="N24" s="42">
        <f>N22/(1+Assumption_Hatchery!$C76)^N4</f>
        <v>26341.947667710243</v>
      </c>
      <c r="O24" s="42">
        <f>O22/(1+Assumption_Hatchery!$C76)^O4</f>
        <v>55998.194950213583</v>
      </c>
      <c r="P24" s="42">
        <f>P22/(1+Assumption_Hatchery!$C76)^P4</f>
        <v>54595.766286717175</v>
      </c>
      <c r="Q24" s="42">
        <f>Q22/(1+Assumption_Hatchery!$C76)^Q4</f>
        <v>28319.136629670866</v>
      </c>
      <c r="R24" s="42">
        <f>R22/(1+Assumption_Hatchery!$C76)^R4</f>
        <v>51540.255159624459</v>
      </c>
      <c r="S24" s="42">
        <f>S22/(1+Assumption_Hatchery!$C76)^S4</f>
        <v>49925.953220284166</v>
      </c>
      <c r="T24" s="42">
        <f>T22/(1+Assumption_Hatchery!$C76)^T4</f>
        <v>28409.923388622727</v>
      </c>
      <c r="U24" s="42">
        <f>U22/(1+Assumption_Hatchery!$C76)^U4</f>
        <v>46603.64126567723</v>
      </c>
      <c r="V24" s="42">
        <f>V22/(1+Assumption_Hatchery!$C76)^V4</f>
        <v>44921.365672783977</v>
      </c>
      <c r="W24" s="42">
        <f>W22/(1+Assumption_Hatchery!$C76)^W4</f>
        <v>23082.956525951064</v>
      </c>
      <c r="X24" s="42">
        <f>X22/(1+Assumption_Hatchery!$C76)^X4</f>
        <v>21534.076943335924</v>
      </c>
      <c r="Y24" s="42">
        <f>Y22/(1+Assumption_Hatchery!$C76)^Y4</f>
        <v>4679.9070349119311</v>
      </c>
      <c r="Z24" s="42">
        <f>Z22/(1+Assumption_Hatchery!$C76)^Z4</f>
        <v>-2407.6191059343823</v>
      </c>
    </row>
    <row r="25" spans="1:26" x14ac:dyDescent="0.25">
      <c r="B25" s="34"/>
      <c r="C25" s="34"/>
      <c r="D25" s="34"/>
      <c r="E25" s="34"/>
      <c r="F25" s="34"/>
      <c r="G25" s="34"/>
      <c r="H25" s="34"/>
      <c r="I25" s="34"/>
      <c r="J25" s="34"/>
      <c r="K25" s="34"/>
      <c r="L25" s="34"/>
    </row>
    <row r="26" spans="1:26" s="13" customFormat="1" x14ac:dyDescent="0.25">
      <c r="A26" s="26" t="s">
        <v>62</v>
      </c>
      <c r="B26" s="37">
        <f>NPV(Assumption_Hatchery!C76,C22:Z22)+B22</f>
        <v>-442453.94843600655</v>
      </c>
      <c r="C26" s="43"/>
      <c r="D26" s="43"/>
      <c r="E26" s="43"/>
      <c r="F26" s="43"/>
      <c r="G26" s="43"/>
      <c r="H26" s="43"/>
      <c r="I26" s="43"/>
      <c r="J26" s="43"/>
      <c r="K26" s="43"/>
      <c r="L26" s="43"/>
    </row>
    <row r="28" spans="1:26" s="13" customFormat="1" x14ac:dyDescent="0.25">
      <c r="A28" s="26" t="s">
        <v>25</v>
      </c>
      <c r="B28" s="38">
        <f>IRR(B22:Z22)</f>
        <v>4.2597008474320353E-2</v>
      </c>
      <c r="C28" s="4"/>
      <c r="D28" s="4"/>
      <c r="E28" s="4"/>
      <c r="F28" s="4"/>
      <c r="G28" s="4"/>
      <c r="H28" s="4"/>
      <c r="I28" s="4"/>
      <c r="J28" s="4"/>
      <c r="K28" s="4"/>
      <c r="L28" s="4"/>
    </row>
    <row r="30" spans="1:26" s="13" customFormat="1" x14ac:dyDescent="0.25">
      <c r="A30" s="27" t="s">
        <v>63</v>
      </c>
      <c r="B30" s="39">
        <f>B24</f>
        <v>0</v>
      </c>
      <c r="C30" s="39">
        <f>B30+C24</f>
        <v>-151468.44036697247</v>
      </c>
      <c r="D30" s="39">
        <f t="shared" ref="D30:Z30" si="3">C30+D24</f>
        <v>-345028.75936368987</v>
      </c>
      <c r="E30" s="39">
        <f t="shared" si="3"/>
        <v>-717237.63280011481</v>
      </c>
      <c r="F30" s="39">
        <f t="shared" si="3"/>
        <v>-989903.83266864368</v>
      </c>
      <c r="G30" s="39">
        <f t="shared" si="3"/>
        <v>-1116251.2498123373</v>
      </c>
      <c r="H30" s="39">
        <f t="shared" si="3"/>
        <v>-1137026.290482627</v>
      </c>
      <c r="I30" s="39">
        <f t="shared" si="3"/>
        <v>-1076071.8722569433</v>
      </c>
      <c r="J30" s="39">
        <f t="shared" si="3"/>
        <v>-1015359.4794464983</v>
      </c>
      <c r="K30" s="39">
        <f t="shared" si="3"/>
        <v>-993845.56055580568</v>
      </c>
      <c r="L30" s="39">
        <f t="shared" si="3"/>
        <v>-934433.98773264943</v>
      </c>
      <c r="M30" s="39">
        <f t="shared" si="3"/>
        <v>-875999.45407557546</v>
      </c>
      <c r="N30" s="39">
        <f t="shared" si="3"/>
        <v>-849657.50640786521</v>
      </c>
      <c r="O30" s="39">
        <f t="shared" si="3"/>
        <v>-793659.31145765167</v>
      </c>
      <c r="P30" s="39">
        <f t="shared" si="3"/>
        <v>-739063.54517093452</v>
      </c>
      <c r="Q30" s="39">
        <f t="shared" si="3"/>
        <v>-710744.40854126366</v>
      </c>
      <c r="R30" s="39">
        <f t="shared" si="3"/>
        <v>-659204.15338163916</v>
      </c>
      <c r="S30" s="39">
        <f t="shared" si="3"/>
        <v>-609278.20016135497</v>
      </c>
      <c r="T30" s="39">
        <f t="shared" si="3"/>
        <v>-580868.27677273226</v>
      </c>
      <c r="U30" s="39">
        <f t="shared" si="3"/>
        <v>-534264.63550705509</v>
      </c>
      <c r="V30" s="39">
        <f t="shared" si="3"/>
        <v>-489343.26983427111</v>
      </c>
      <c r="W30" s="39">
        <f t="shared" si="3"/>
        <v>-466260.31330832007</v>
      </c>
      <c r="X30" s="39">
        <f t="shared" si="3"/>
        <v>-444726.23636498413</v>
      </c>
      <c r="Y30" s="39">
        <f t="shared" si="3"/>
        <v>-440046.32933007221</v>
      </c>
      <c r="Z30" s="39">
        <f t="shared" si="3"/>
        <v>-442453.94843600661</v>
      </c>
    </row>
    <row r="32" spans="1:26" s="1" customFormat="1" x14ac:dyDescent="0.25">
      <c r="A32" s="25"/>
      <c r="B32" s="45"/>
      <c r="C32" s="45"/>
      <c r="D32" s="45"/>
      <c r="E32" s="45"/>
      <c r="F32" s="45"/>
      <c r="G32" s="45"/>
      <c r="H32" s="45"/>
      <c r="I32" s="45"/>
      <c r="J32" s="45"/>
      <c r="K32" s="45"/>
      <c r="L32" s="45"/>
    </row>
    <row r="34" spans="1:26" ht="38.25" customHeight="1" x14ac:dyDescent="0.25">
      <c r="A34" s="11" t="s">
        <v>77</v>
      </c>
      <c r="B34" s="32"/>
      <c r="C34" s="76"/>
      <c r="D34" s="77"/>
      <c r="E34" s="32"/>
      <c r="F34" s="126" t="s">
        <v>105</v>
      </c>
      <c r="G34" s="32"/>
      <c r="H34" s="32"/>
      <c r="I34" s="32"/>
      <c r="J34" s="32"/>
      <c r="K34" s="32"/>
      <c r="L34" s="32"/>
      <c r="M34" s="11"/>
    </row>
    <row r="35" spans="1:26" ht="38.25" customHeight="1" x14ac:dyDescent="0.25">
      <c r="A35" s="11"/>
      <c r="B35" s="32"/>
      <c r="C35" s="76"/>
      <c r="D35" s="77"/>
      <c r="E35" s="32"/>
      <c r="F35" s="126"/>
      <c r="G35" s="32"/>
      <c r="H35" s="32"/>
      <c r="I35" s="32"/>
      <c r="J35" s="32"/>
      <c r="K35" s="32"/>
      <c r="L35" s="32"/>
      <c r="M35" s="11"/>
    </row>
    <row r="36" spans="1:26" x14ac:dyDescent="0.25">
      <c r="A36" s="10" t="s">
        <v>22</v>
      </c>
      <c r="B36" s="28">
        <v>0</v>
      </c>
      <c r="C36" s="28">
        <v>1</v>
      </c>
      <c r="D36" s="28">
        <v>2</v>
      </c>
      <c r="E36" s="28">
        <v>3</v>
      </c>
      <c r="F36" s="28">
        <v>4</v>
      </c>
      <c r="G36" s="28">
        <v>5</v>
      </c>
      <c r="H36" s="28">
        <v>6</v>
      </c>
      <c r="I36" s="28">
        <v>7</v>
      </c>
      <c r="J36" s="28">
        <v>8</v>
      </c>
      <c r="K36" s="28">
        <v>9</v>
      </c>
      <c r="L36" s="28">
        <v>10</v>
      </c>
      <c r="M36" s="28">
        <v>11</v>
      </c>
      <c r="N36" s="28">
        <v>12</v>
      </c>
      <c r="O36" s="28">
        <v>13</v>
      </c>
      <c r="P36" s="28">
        <v>14</v>
      </c>
      <c r="Q36" s="28">
        <v>15</v>
      </c>
      <c r="R36" s="28">
        <v>16</v>
      </c>
      <c r="S36" s="28">
        <v>17</v>
      </c>
      <c r="T36" s="28">
        <v>18</v>
      </c>
      <c r="U36" s="28">
        <v>19</v>
      </c>
      <c r="V36" s="28">
        <v>20</v>
      </c>
      <c r="W36" s="28">
        <v>21</v>
      </c>
      <c r="X36" s="28">
        <v>22</v>
      </c>
      <c r="Y36" s="28">
        <v>23</v>
      </c>
      <c r="Z36" s="28">
        <v>24</v>
      </c>
    </row>
    <row r="37" spans="1:26" x14ac:dyDescent="0.25">
      <c r="A37" s="24" t="s">
        <v>23</v>
      </c>
    </row>
    <row r="38" spans="1:26" x14ac:dyDescent="0.25">
      <c r="A38" s="10" t="s">
        <v>56</v>
      </c>
      <c r="B38" s="33">
        <f>B6</f>
        <v>0</v>
      </c>
      <c r="C38" s="33">
        <f t="shared" ref="C38:Z39" si="4">C6</f>
        <v>0</v>
      </c>
      <c r="D38" s="33">
        <f t="shared" si="4"/>
        <v>221085.00000000003</v>
      </c>
      <c r="E38" s="33">
        <f t="shared" si="4"/>
        <v>366081.9391125</v>
      </c>
      <c r="F38" s="33">
        <f t="shared" si="4"/>
        <v>460033.66800000006</v>
      </c>
      <c r="G38" s="33">
        <f t="shared" si="4"/>
        <v>469234.34136000008</v>
      </c>
      <c r="H38" s="33">
        <f t="shared" si="4"/>
        <v>431654.53604633111</v>
      </c>
      <c r="I38" s="33">
        <f t="shared" si="4"/>
        <v>488191.40875094401</v>
      </c>
      <c r="J38" s="33">
        <f t="shared" si="4"/>
        <v>497955.2369259629</v>
      </c>
      <c r="K38" s="33">
        <f t="shared" si="4"/>
        <v>458075.24688865483</v>
      </c>
      <c r="L38" s="33">
        <f t="shared" si="4"/>
        <v>518072.62849777186</v>
      </c>
      <c r="M38" s="33">
        <f t="shared" si="4"/>
        <v>528434.08106772718</v>
      </c>
      <c r="N38" s="33">
        <f t="shared" si="4"/>
        <v>486113.11660021567</v>
      </c>
      <c r="O38" s="33">
        <f t="shared" si="4"/>
        <v>549782.81794286345</v>
      </c>
      <c r="P38" s="33">
        <f t="shared" si="4"/>
        <v>560778.47430172074</v>
      </c>
      <c r="Q38" s="33">
        <f t="shared" si="4"/>
        <v>515867.12824108155</v>
      </c>
      <c r="R38" s="33">
        <f t="shared" si="4"/>
        <v>583433.92466351017</v>
      </c>
      <c r="S38" s="33">
        <f t="shared" si="4"/>
        <v>595102.60315678047</v>
      </c>
      <c r="T38" s="33">
        <f t="shared" si="4"/>
        <v>547442.32342646178</v>
      </c>
      <c r="U38" s="33">
        <f t="shared" si="4"/>
        <v>619144.74832431425</v>
      </c>
      <c r="V38" s="33">
        <f t="shared" si="4"/>
        <v>631527.64329080062</v>
      </c>
      <c r="W38" s="33">
        <f t="shared" si="4"/>
        <v>464760.13852699887</v>
      </c>
      <c r="X38" s="33">
        <f t="shared" si="4"/>
        <v>328520.68003987451</v>
      </c>
      <c r="Y38" s="33">
        <f t="shared" si="4"/>
        <v>67018.218728134379</v>
      </c>
      <c r="Z38" s="33">
        <f t="shared" si="4"/>
        <v>0</v>
      </c>
    </row>
    <row r="39" spans="1:26" x14ac:dyDescent="0.25">
      <c r="A39" s="10" t="s">
        <v>57</v>
      </c>
      <c r="B39" s="33">
        <f>B7</f>
        <v>0</v>
      </c>
      <c r="C39" s="33">
        <f t="shared" si="4"/>
        <v>0</v>
      </c>
      <c r="D39" s="33">
        <f t="shared" si="4"/>
        <v>0</v>
      </c>
      <c r="E39" s="33">
        <f t="shared" si="4"/>
        <v>0</v>
      </c>
      <c r="F39" s="33">
        <f t="shared" si="4"/>
        <v>0</v>
      </c>
      <c r="G39" s="33">
        <f t="shared" si="4"/>
        <v>0</v>
      </c>
      <c r="H39" s="33">
        <f t="shared" si="4"/>
        <v>0</v>
      </c>
      <c r="I39" s="33">
        <f t="shared" si="4"/>
        <v>0</v>
      </c>
      <c r="J39" s="33">
        <f t="shared" si="4"/>
        <v>0</v>
      </c>
      <c r="K39" s="33">
        <f t="shared" si="4"/>
        <v>0</v>
      </c>
      <c r="L39" s="33">
        <f t="shared" si="4"/>
        <v>0</v>
      </c>
      <c r="M39" s="33">
        <f t="shared" si="4"/>
        <v>0</v>
      </c>
      <c r="N39" s="33">
        <f t="shared" si="4"/>
        <v>0</v>
      </c>
      <c r="O39" s="33">
        <f t="shared" si="4"/>
        <v>0</v>
      </c>
      <c r="P39" s="33">
        <f t="shared" si="4"/>
        <v>0</v>
      </c>
      <c r="Q39" s="33">
        <f t="shared" si="4"/>
        <v>0</v>
      </c>
      <c r="R39" s="33">
        <f t="shared" si="4"/>
        <v>0</v>
      </c>
      <c r="S39" s="33">
        <f t="shared" si="4"/>
        <v>0</v>
      </c>
      <c r="T39" s="33">
        <f t="shared" si="4"/>
        <v>0</v>
      </c>
      <c r="U39" s="33">
        <f t="shared" si="4"/>
        <v>0</v>
      </c>
      <c r="V39" s="33">
        <f t="shared" si="4"/>
        <v>0</v>
      </c>
      <c r="W39" s="33">
        <f t="shared" si="4"/>
        <v>19000</v>
      </c>
      <c r="X39" s="33">
        <f t="shared" si="4"/>
        <v>30000</v>
      </c>
      <c r="Y39" s="33">
        <f t="shared" si="4"/>
        <v>40000</v>
      </c>
      <c r="Z39" s="33">
        <f t="shared" si="4"/>
        <v>9500</v>
      </c>
    </row>
    <row r="40" spans="1:26" s="13" customFormat="1" x14ac:dyDescent="0.25">
      <c r="A40" s="24" t="s">
        <v>58</v>
      </c>
      <c r="B40" s="41">
        <f t="shared" ref="B40:Z40" si="5">(B38+B39)</f>
        <v>0</v>
      </c>
      <c r="C40" s="41">
        <f t="shared" si="5"/>
        <v>0</v>
      </c>
      <c r="D40" s="41">
        <f t="shared" si="5"/>
        <v>221085.00000000003</v>
      </c>
      <c r="E40" s="41">
        <f t="shared" si="5"/>
        <v>366081.9391125</v>
      </c>
      <c r="F40" s="41">
        <f t="shared" si="5"/>
        <v>460033.66800000006</v>
      </c>
      <c r="G40" s="41">
        <f t="shared" si="5"/>
        <v>469234.34136000008</v>
      </c>
      <c r="H40" s="41">
        <f t="shared" si="5"/>
        <v>431654.53604633111</v>
      </c>
      <c r="I40" s="41">
        <f t="shared" si="5"/>
        <v>488191.40875094401</v>
      </c>
      <c r="J40" s="41">
        <f t="shared" si="5"/>
        <v>497955.2369259629</v>
      </c>
      <c r="K40" s="41">
        <f t="shared" si="5"/>
        <v>458075.24688865483</v>
      </c>
      <c r="L40" s="41">
        <f t="shared" si="5"/>
        <v>518072.62849777186</v>
      </c>
      <c r="M40" s="41">
        <f t="shared" si="5"/>
        <v>528434.08106772718</v>
      </c>
      <c r="N40" s="41">
        <f t="shared" si="5"/>
        <v>486113.11660021567</v>
      </c>
      <c r="O40" s="41">
        <f t="shared" si="5"/>
        <v>549782.81794286345</v>
      </c>
      <c r="P40" s="41">
        <f t="shared" si="5"/>
        <v>560778.47430172074</v>
      </c>
      <c r="Q40" s="41">
        <f t="shared" si="5"/>
        <v>515867.12824108155</v>
      </c>
      <c r="R40" s="41">
        <f t="shared" si="5"/>
        <v>583433.92466351017</v>
      </c>
      <c r="S40" s="41">
        <f t="shared" si="5"/>
        <v>595102.60315678047</v>
      </c>
      <c r="T40" s="41">
        <f t="shared" si="5"/>
        <v>547442.32342646178</v>
      </c>
      <c r="U40" s="41">
        <f t="shared" si="5"/>
        <v>619144.74832431425</v>
      </c>
      <c r="V40" s="41">
        <f t="shared" si="5"/>
        <v>631527.64329080062</v>
      </c>
      <c r="W40" s="41">
        <f t="shared" si="5"/>
        <v>483760.13852699887</v>
      </c>
      <c r="X40" s="41">
        <f t="shared" si="5"/>
        <v>358520.68003987451</v>
      </c>
      <c r="Y40" s="41">
        <f t="shared" si="5"/>
        <v>107018.21872813438</v>
      </c>
      <c r="Z40" s="41">
        <f t="shared" si="5"/>
        <v>9500</v>
      </c>
    </row>
    <row r="41" spans="1:26" x14ac:dyDescent="0.25">
      <c r="A41" s="24"/>
      <c r="B41" s="44"/>
      <c r="C41" s="44"/>
      <c r="D41" s="44"/>
      <c r="E41" s="44"/>
      <c r="F41" s="44"/>
      <c r="G41" s="44"/>
      <c r="H41" s="44"/>
      <c r="I41" s="44"/>
      <c r="J41" s="44"/>
      <c r="K41" s="44"/>
    </row>
    <row r="42" spans="1:26" x14ac:dyDescent="0.25">
      <c r="A42" s="24" t="s">
        <v>24</v>
      </c>
    </row>
    <row r="43" spans="1:26" x14ac:dyDescent="0.25">
      <c r="A43" s="9" t="s">
        <v>49</v>
      </c>
      <c r="B43" s="35">
        <f>B11</f>
        <v>0</v>
      </c>
      <c r="C43" s="35">
        <f t="shared" ref="C43:Z50" si="6">C11</f>
        <v>100000</v>
      </c>
      <c r="D43" s="35">
        <f t="shared" si="6"/>
        <v>150000</v>
      </c>
      <c r="E43" s="35">
        <f t="shared" si="6"/>
        <v>200000</v>
      </c>
      <c r="F43" s="35">
        <f t="shared" si="6"/>
        <v>50000</v>
      </c>
      <c r="G43" s="35">
        <f t="shared" si="6"/>
        <v>0</v>
      </c>
      <c r="H43" s="35">
        <f t="shared" si="6"/>
        <v>0</v>
      </c>
      <c r="I43" s="35">
        <f t="shared" si="6"/>
        <v>0</v>
      </c>
      <c r="J43" s="35">
        <f t="shared" si="6"/>
        <v>0</v>
      </c>
      <c r="K43" s="35">
        <f t="shared" si="6"/>
        <v>0</v>
      </c>
      <c r="L43" s="35">
        <f t="shared" si="6"/>
        <v>0</v>
      </c>
      <c r="M43" s="35">
        <f t="shared" si="6"/>
        <v>0</v>
      </c>
      <c r="N43" s="35">
        <f t="shared" si="6"/>
        <v>0</v>
      </c>
      <c r="O43" s="35">
        <f t="shared" si="6"/>
        <v>0</v>
      </c>
      <c r="P43" s="35">
        <f t="shared" si="6"/>
        <v>0</v>
      </c>
      <c r="Q43" s="35">
        <f t="shared" si="6"/>
        <v>0</v>
      </c>
      <c r="R43" s="35">
        <f t="shared" si="6"/>
        <v>0</v>
      </c>
      <c r="S43" s="35">
        <f t="shared" si="6"/>
        <v>0</v>
      </c>
      <c r="T43" s="35">
        <f t="shared" si="6"/>
        <v>0</v>
      </c>
      <c r="U43" s="35">
        <f t="shared" si="6"/>
        <v>0</v>
      </c>
      <c r="V43" s="35">
        <f t="shared" si="6"/>
        <v>0</v>
      </c>
      <c r="W43" s="35">
        <f t="shared" si="6"/>
        <v>0</v>
      </c>
      <c r="X43" s="35">
        <f t="shared" si="6"/>
        <v>0</v>
      </c>
      <c r="Y43" s="35">
        <f t="shared" si="6"/>
        <v>0</v>
      </c>
      <c r="Z43" s="35">
        <f t="shared" si="6"/>
        <v>0</v>
      </c>
    </row>
    <row r="44" spans="1:26" x14ac:dyDescent="0.25">
      <c r="A44" s="9" t="s">
        <v>128</v>
      </c>
      <c r="B44" s="35">
        <f t="shared" ref="B44:Q50" si="7">B12</f>
        <v>0</v>
      </c>
      <c r="C44" s="35">
        <f t="shared" si="7"/>
        <v>0</v>
      </c>
      <c r="D44" s="35">
        <f t="shared" si="7"/>
        <v>5000</v>
      </c>
      <c r="E44" s="35">
        <f t="shared" si="7"/>
        <v>19031.249999999996</v>
      </c>
      <c r="F44" s="35">
        <f t="shared" si="7"/>
        <v>35000</v>
      </c>
      <c r="G44" s="35">
        <f t="shared" si="7"/>
        <v>47500</v>
      </c>
      <c r="H44" s="35">
        <f t="shared" si="7"/>
        <v>57093.749999999993</v>
      </c>
      <c r="I44" s="35">
        <f t="shared" si="7"/>
        <v>50000</v>
      </c>
      <c r="J44" s="35">
        <f t="shared" si="7"/>
        <v>50000</v>
      </c>
      <c r="K44" s="35">
        <f t="shared" si="7"/>
        <v>57093.749999999993</v>
      </c>
      <c r="L44" s="35">
        <f t="shared" si="7"/>
        <v>50000</v>
      </c>
      <c r="M44" s="35">
        <f t="shared" si="7"/>
        <v>50000</v>
      </c>
      <c r="N44" s="35">
        <f t="shared" si="7"/>
        <v>57093.749999999993</v>
      </c>
      <c r="O44" s="35">
        <f t="shared" si="7"/>
        <v>50000</v>
      </c>
      <c r="P44" s="35">
        <f t="shared" si="7"/>
        <v>50000</v>
      </c>
      <c r="Q44" s="35">
        <f t="shared" si="7"/>
        <v>57093.749999999993</v>
      </c>
      <c r="R44" s="35">
        <f t="shared" si="6"/>
        <v>50000</v>
      </c>
      <c r="S44" s="35">
        <f t="shared" si="6"/>
        <v>50000</v>
      </c>
      <c r="T44" s="35">
        <f t="shared" si="6"/>
        <v>57093.749999999993</v>
      </c>
      <c r="U44" s="35">
        <f t="shared" si="6"/>
        <v>50000</v>
      </c>
      <c r="V44" s="35">
        <f t="shared" si="6"/>
        <v>50000</v>
      </c>
      <c r="W44" s="35">
        <f t="shared" si="6"/>
        <v>57093.749999999993</v>
      </c>
      <c r="X44" s="35">
        <f t="shared" si="6"/>
        <v>50000</v>
      </c>
      <c r="Y44" s="35">
        <f t="shared" si="6"/>
        <v>40000</v>
      </c>
      <c r="Z44" s="35">
        <f t="shared" si="6"/>
        <v>28546.874999999996</v>
      </c>
    </row>
    <row r="45" spans="1:26" x14ac:dyDescent="0.25">
      <c r="A45" s="9" t="s">
        <v>53</v>
      </c>
      <c r="B45" s="35">
        <f t="shared" si="7"/>
        <v>0</v>
      </c>
      <c r="C45" s="35">
        <f t="shared" si="6"/>
        <v>10000</v>
      </c>
      <c r="D45" s="35">
        <f t="shared" si="6"/>
        <v>25000</v>
      </c>
      <c r="E45" s="35">
        <f t="shared" si="6"/>
        <v>45000</v>
      </c>
      <c r="F45" s="35">
        <f t="shared" si="6"/>
        <v>50000</v>
      </c>
      <c r="G45" s="35">
        <f t="shared" si="6"/>
        <v>50000</v>
      </c>
      <c r="H45" s="35">
        <f t="shared" si="6"/>
        <v>50000</v>
      </c>
      <c r="I45" s="35">
        <f t="shared" si="6"/>
        <v>50000</v>
      </c>
      <c r="J45" s="35">
        <f t="shared" si="6"/>
        <v>50000</v>
      </c>
      <c r="K45" s="35">
        <f t="shared" si="6"/>
        <v>50000</v>
      </c>
      <c r="L45" s="35">
        <f t="shared" si="6"/>
        <v>50000</v>
      </c>
      <c r="M45" s="35">
        <f t="shared" si="6"/>
        <v>50000</v>
      </c>
      <c r="N45" s="35">
        <f t="shared" si="6"/>
        <v>50000</v>
      </c>
      <c r="O45" s="35">
        <f t="shared" si="6"/>
        <v>50000</v>
      </c>
      <c r="P45" s="35">
        <f t="shared" si="6"/>
        <v>50000</v>
      </c>
      <c r="Q45" s="35">
        <f t="shared" si="6"/>
        <v>50000</v>
      </c>
      <c r="R45" s="35">
        <f t="shared" si="6"/>
        <v>50000</v>
      </c>
      <c r="S45" s="35">
        <f t="shared" si="6"/>
        <v>50000</v>
      </c>
      <c r="T45" s="35">
        <f t="shared" si="6"/>
        <v>50000</v>
      </c>
      <c r="U45" s="35">
        <f t="shared" si="6"/>
        <v>50000</v>
      </c>
      <c r="V45" s="35">
        <f t="shared" si="6"/>
        <v>50000</v>
      </c>
      <c r="W45" s="35">
        <f t="shared" si="6"/>
        <v>40000</v>
      </c>
      <c r="X45" s="35">
        <f t="shared" si="6"/>
        <v>25000</v>
      </c>
      <c r="Y45" s="35">
        <f t="shared" si="6"/>
        <v>5000</v>
      </c>
      <c r="Z45" s="35">
        <f t="shared" si="6"/>
        <v>0</v>
      </c>
    </row>
    <row r="46" spans="1:26" x14ac:dyDescent="0.25">
      <c r="A46" s="9" t="s">
        <v>55</v>
      </c>
      <c r="B46" s="35">
        <f t="shared" si="7"/>
        <v>0</v>
      </c>
      <c r="C46" s="35">
        <f t="shared" si="6"/>
        <v>10000</v>
      </c>
      <c r="D46" s="35">
        <f t="shared" si="6"/>
        <v>25000</v>
      </c>
      <c r="E46" s="35">
        <f t="shared" si="6"/>
        <v>53043.749999999993</v>
      </c>
      <c r="F46" s="35">
        <f t="shared" si="6"/>
        <v>50000</v>
      </c>
      <c r="G46" s="35">
        <f t="shared" si="6"/>
        <v>50000</v>
      </c>
      <c r="H46" s="35">
        <f t="shared" si="6"/>
        <v>58937.499999999993</v>
      </c>
      <c r="I46" s="35">
        <f t="shared" si="6"/>
        <v>50000</v>
      </c>
      <c r="J46" s="35">
        <f t="shared" si="6"/>
        <v>50000</v>
      </c>
      <c r="K46" s="35">
        <f t="shared" si="6"/>
        <v>58937.499999999993</v>
      </c>
      <c r="L46" s="35">
        <f t="shared" si="6"/>
        <v>50000</v>
      </c>
      <c r="M46" s="35">
        <f t="shared" si="6"/>
        <v>50000</v>
      </c>
      <c r="N46" s="35">
        <f t="shared" si="6"/>
        <v>58937.499999999993</v>
      </c>
      <c r="O46" s="35">
        <f t="shared" si="6"/>
        <v>50000</v>
      </c>
      <c r="P46" s="35">
        <f t="shared" si="6"/>
        <v>50000</v>
      </c>
      <c r="Q46" s="35">
        <f t="shared" si="6"/>
        <v>58937.499999999993</v>
      </c>
      <c r="R46" s="35">
        <f t="shared" si="6"/>
        <v>50000</v>
      </c>
      <c r="S46" s="35">
        <f t="shared" si="6"/>
        <v>50000</v>
      </c>
      <c r="T46" s="35">
        <f t="shared" si="6"/>
        <v>58937.499999999993</v>
      </c>
      <c r="U46" s="35">
        <f t="shared" si="6"/>
        <v>50000</v>
      </c>
      <c r="V46" s="35">
        <f t="shared" si="6"/>
        <v>50000</v>
      </c>
      <c r="W46" s="35">
        <f t="shared" si="6"/>
        <v>47149.999999999993</v>
      </c>
      <c r="X46" s="35">
        <f t="shared" si="6"/>
        <v>25000</v>
      </c>
      <c r="Y46" s="35">
        <f t="shared" si="6"/>
        <v>5000</v>
      </c>
      <c r="Z46" s="35">
        <f t="shared" si="6"/>
        <v>0</v>
      </c>
    </row>
    <row r="47" spans="1:26" x14ac:dyDescent="0.25">
      <c r="A47" s="118" t="s">
        <v>126</v>
      </c>
      <c r="B47" s="35">
        <f t="shared" si="7"/>
        <v>0</v>
      </c>
      <c r="C47" s="35">
        <f t="shared" si="6"/>
        <v>1000</v>
      </c>
      <c r="D47" s="35">
        <f t="shared" si="6"/>
        <v>2500</v>
      </c>
      <c r="E47" s="35">
        <f t="shared" si="6"/>
        <v>4885.875</v>
      </c>
      <c r="F47" s="35">
        <f t="shared" si="6"/>
        <v>5000</v>
      </c>
      <c r="G47" s="35">
        <f t="shared" si="6"/>
        <v>5000</v>
      </c>
      <c r="H47" s="35">
        <f t="shared" si="6"/>
        <v>5428.75</v>
      </c>
      <c r="I47" s="35">
        <f t="shared" si="6"/>
        <v>5000</v>
      </c>
      <c r="J47" s="35">
        <f t="shared" si="6"/>
        <v>5000</v>
      </c>
      <c r="K47" s="35">
        <f t="shared" si="6"/>
        <v>5428.75</v>
      </c>
      <c r="L47" s="35">
        <f t="shared" si="6"/>
        <v>5000</v>
      </c>
      <c r="M47" s="35">
        <f t="shared" si="6"/>
        <v>5000</v>
      </c>
      <c r="N47" s="35">
        <f t="shared" si="6"/>
        <v>5428.75</v>
      </c>
      <c r="O47" s="35">
        <f t="shared" si="6"/>
        <v>5000</v>
      </c>
      <c r="P47" s="35">
        <f t="shared" si="6"/>
        <v>5000</v>
      </c>
      <c r="Q47" s="35">
        <f t="shared" si="6"/>
        <v>5428.75</v>
      </c>
      <c r="R47" s="35">
        <f t="shared" si="6"/>
        <v>5000</v>
      </c>
      <c r="S47" s="35">
        <f t="shared" si="6"/>
        <v>5000</v>
      </c>
      <c r="T47" s="35">
        <f t="shared" si="6"/>
        <v>5428.75</v>
      </c>
      <c r="U47" s="35">
        <f t="shared" si="6"/>
        <v>5000</v>
      </c>
      <c r="V47" s="35">
        <f t="shared" si="6"/>
        <v>5000</v>
      </c>
      <c r="W47" s="35">
        <f t="shared" si="6"/>
        <v>4343</v>
      </c>
      <c r="X47" s="35">
        <f t="shared" si="6"/>
        <v>2500</v>
      </c>
      <c r="Y47" s="35">
        <f t="shared" si="6"/>
        <v>500</v>
      </c>
      <c r="Z47" s="35">
        <f t="shared" si="6"/>
        <v>0</v>
      </c>
    </row>
    <row r="48" spans="1:26" x14ac:dyDescent="0.25">
      <c r="A48" s="118" t="s">
        <v>127</v>
      </c>
      <c r="B48" s="35">
        <f t="shared" si="7"/>
        <v>0</v>
      </c>
      <c r="C48" s="35">
        <f t="shared" si="6"/>
        <v>20000</v>
      </c>
      <c r="D48" s="35">
        <f t="shared" si="6"/>
        <v>50000</v>
      </c>
      <c r="E48" s="35">
        <f t="shared" si="6"/>
        <v>97717.5</v>
      </c>
      <c r="F48" s="35">
        <f t="shared" si="6"/>
        <v>100000</v>
      </c>
      <c r="G48" s="35">
        <f t="shared" si="6"/>
        <v>100000</v>
      </c>
      <c r="H48" s="35">
        <f t="shared" si="6"/>
        <v>108575</v>
      </c>
      <c r="I48" s="35">
        <f t="shared" si="6"/>
        <v>100000</v>
      </c>
      <c r="J48" s="35">
        <f t="shared" si="6"/>
        <v>100000</v>
      </c>
      <c r="K48" s="35">
        <f t="shared" si="6"/>
        <v>108575</v>
      </c>
      <c r="L48" s="35">
        <f t="shared" si="6"/>
        <v>100000</v>
      </c>
      <c r="M48" s="35">
        <f t="shared" si="6"/>
        <v>100000</v>
      </c>
      <c r="N48" s="35">
        <f t="shared" si="6"/>
        <v>108575</v>
      </c>
      <c r="O48" s="35">
        <f t="shared" si="6"/>
        <v>100000</v>
      </c>
      <c r="P48" s="35">
        <f t="shared" si="6"/>
        <v>100000</v>
      </c>
      <c r="Q48" s="35">
        <f t="shared" si="6"/>
        <v>108575</v>
      </c>
      <c r="R48" s="35">
        <f t="shared" si="6"/>
        <v>100000</v>
      </c>
      <c r="S48" s="35">
        <f t="shared" si="6"/>
        <v>100000</v>
      </c>
      <c r="T48" s="35">
        <f t="shared" si="6"/>
        <v>108575</v>
      </c>
      <c r="U48" s="35">
        <f t="shared" si="6"/>
        <v>100000</v>
      </c>
      <c r="V48" s="35">
        <f t="shared" si="6"/>
        <v>100000</v>
      </c>
      <c r="W48" s="35">
        <f t="shared" si="6"/>
        <v>86860</v>
      </c>
      <c r="X48" s="35">
        <f t="shared" si="6"/>
        <v>50000</v>
      </c>
      <c r="Y48" s="35">
        <f t="shared" si="6"/>
        <v>10000</v>
      </c>
      <c r="Z48" s="35">
        <f t="shared" si="6"/>
        <v>0</v>
      </c>
    </row>
    <row r="49" spans="1:26" x14ac:dyDescent="0.25">
      <c r="A49" s="9" t="s">
        <v>40</v>
      </c>
      <c r="B49" s="35">
        <f t="shared" si="7"/>
        <v>0</v>
      </c>
      <c r="C49" s="35">
        <f t="shared" si="6"/>
        <v>20000</v>
      </c>
      <c r="D49" s="35">
        <f t="shared" si="6"/>
        <v>50000</v>
      </c>
      <c r="E49" s="35">
        <f t="shared" si="6"/>
        <v>98201.249999999985</v>
      </c>
      <c r="F49" s="35">
        <f t="shared" si="6"/>
        <v>100000</v>
      </c>
      <c r="G49" s="35">
        <f t="shared" si="6"/>
        <v>100000</v>
      </c>
      <c r="H49" s="35">
        <f t="shared" si="6"/>
        <v>109112.49999999999</v>
      </c>
      <c r="I49" s="35">
        <f t="shared" si="6"/>
        <v>100000</v>
      </c>
      <c r="J49" s="35">
        <f t="shared" si="6"/>
        <v>100000</v>
      </c>
      <c r="K49" s="35">
        <f t="shared" si="6"/>
        <v>109112.49999999999</v>
      </c>
      <c r="L49" s="35">
        <f t="shared" si="6"/>
        <v>100000</v>
      </c>
      <c r="M49" s="35">
        <f t="shared" si="6"/>
        <v>100000</v>
      </c>
      <c r="N49" s="35">
        <f t="shared" si="6"/>
        <v>109112.49999999999</v>
      </c>
      <c r="O49" s="35">
        <f t="shared" si="6"/>
        <v>100000</v>
      </c>
      <c r="P49" s="35">
        <f t="shared" si="6"/>
        <v>100000</v>
      </c>
      <c r="Q49" s="35">
        <f t="shared" si="6"/>
        <v>109112.49999999999</v>
      </c>
      <c r="R49" s="35">
        <f t="shared" si="6"/>
        <v>100000</v>
      </c>
      <c r="S49" s="35">
        <f t="shared" si="6"/>
        <v>100000</v>
      </c>
      <c r="T49" s="35">
        <f t="shared" si="6"/>
        <v>109112.49999999999</v>
      </c>
      <c r="U49" s="35">
        <f t="shared" si="6"/>
        <v>100000</v>
      </c>
      <c r="V49" s="35">
        <f t="shared" si="6"/>
        <v>100000</v>
      </c>
      <c r="W49" s="35">
        <f t="shared" si="6"/>
        <v>87289.999999999985</v>
      </c>
      <c r="X49" s="35">
        <f t="shared" si="6"/>
        <v>50000</v>
      </c>
      <c r="Y49" s="35">
        <f t="shared" si="6"/>
        <v>10000</v>
      </c>
      <c r="Z49" s="35">
        <f t="shared" si="6"/>
        <v>0</v>
      </c>
    </row>
    <row r="50" spans="1:26" x14ac:dyDescent="0.25">
      <c r="A50" s="9" t="s">
        <v>15</v>
      </c>
      <c r="B50" s="35">
        <f t="shared" si="7"/>
        <v>0</v>
      </c>
      <c r="C50" s="35">
        <f t="shared" si="6"/>
        <v>4100.6000000000004</v>
      </c>
      <c r="D50" s="35">
        <f t="shared" si="6"/>
        <v>10354.014999999999</v>
      </c>
      <c r="E50" s="35">
        <f t="shared" si="6"/>
        <v>18823.599269999999</v>
      </c>
      <c r="F50" s="35">
        <f t="shared" si="6"/>
        <v>21124.261403</v>
      </c>
      <c r="G50" s="35">
        <f t="shared" si="6"/>
        <v>21335.504017029998</v>
      </c>
      <c r="H50" s="35">
        <f t="shared" si="6"/>
        <v>21548.859057200301</v>
      </c>
      <c r="I50" s="35">
        <f t="shared" si="6"/>
        <v>21764.347647772298</v>
      </c>
      <c r="J50" s="35">
        <f t="shared" si="6"/>
        <v>21981.991124250027</v>
      </c>
      <c r="K50" s="35">
        <f t="shared" si="6"/>
        <v>22201.81103549253</v>
      </c>
      <c r="L50" s="35">
        <f t="shared" si="6"/>
        <v>22423.829145847456</v>
      </c>
      <c r="M50" s="35">
        <f t="shared" si="6"/>
        <v>22648.067437305926</v>
      </c>
      <c r="N50" s="35">
        <f t="shared" si="6"/>
        <v>22874.548111678985</v>
      </c>
      <c r="O50" s="35">
        <f t="shared" si="6"/>
        <v>23103.293592795777</v>
      </c>
      <c r="P50" s="35">
        <f t="shared" si="6"/>
        <v>23334.326528723737</v>
      </c>
      <c r="Q50" s="35">
        <f t="shared" si="6"/>
        <v>23567.66979401097</v>
      </c>
      <c r="R50" s="35">
        <f t="shared" si="6"/>
        <v>23803.346491951084</v>
      </c>
      <c r="S50" s="35">
        <f t="shared" si="6"/>
        <v>24041.379956870598</v>
      </c>
      <c r="T50" s="35">
        <f t="shared" si="6"/>
        <v>24281.793756439303</v>
      </c>
      <c r="U50" s="35">
        <f t="shared" si="6"/>
        <v>24524.611694003692</v>
      </c>
      <c r="V50" s="35">
        <f t="shared" si="6"/>
        <v>24769.857810943729</v>
      </c>
      <c r="W50" s="35">
        <f t="shared" si="6"/>
        <v>20014.045111242533</v>
      </c>
      <c r="X50" s="35">
        <f t="shared" si="6"/>
        <v>12633.865976471852</v>
      </c>
      <c r="Y50" s="35">
        <f t="shared" si="6"/>
        <v>2552.0409272473134</v>
      </c>
      <c r="Z50" s="35">
        <f t="shared" si="6"/>
        <v>0</v>
      </c>
    </row>
    <row r="51" spans="1:26" s="54" customFormat="1" x14ac:dyDescent="0.25">
      <c r="A51" s="56" t="s">
        <v>156</v>
      </c>
      <c r="B51" s="53">
        <f>Assumption_Hatchery!D53</f>
        <v>0</v>
      </c>
      <c r="C51" s="53">
        <f>Assumption_Hatchery!E53</f>
        <v>0</v>
      </c>
      <c r="D51" s="53">
        <f>Assumption_Hatchery!F53</f>
        <v>59200</v>
      </c>
      <c r="E51" s="53">
        <f>Assumption_Hatchery!G53</f>
        <v>138400</v>
      </c>
      <c r="F51" s="53">
        <f>Assumption_Hatchery!H53</f>
        <v>192800</v>
      </c>
      <c r="G51" s="53">
        <f>Assumption_Hatchery!I53</f>
        <v>128800</v>
      </c>
      <c r="H51" s="53">
        <f>Assumption_Hatchery!J53</f>
        <v>24800</v>
      </c>
      <c r="I51" s="53">
        <f>Assumption_Hatchery!K53</f>
        <v>0</v>
      </c>
      <c r="J51" s="53">
        <f>Assumption_Hatchery!L53</f>
        <v>0</v>
      </c>
      <c r="K51" s="53">
        <f>Assumption_Hatchery!M53</f>
        <v>0</v>
      </c>
      <c r="L51" s="53">
        <f>Assumption_Hatchery!N53</f>
        <v>0</v>
      </c>
      <c r="M51" s="53">
        <f>Assumption_Hatchery!O53</f>
        <v>0</v>
      </c>
      <c r="N51" s="53">
        <f>Assumption_Hatchery!P53</f>
        <v>0</v>
      </c>
      <c r="O51" s="53">
        <f>Assumption_Hatchery!Q53</f>
        <v>0</v>
      </c>
      <c r="P51" s="53">
        <f>Assumption_Hatchery!R53</f>
        <v>0</v>
      </c>
      <c r="Q51" s="53">
        <f>Assumption_Hatchery!S53</f>
        <v>0</v>
      </c>
      <c r="R51" s="53">
        <f>Assumption_Hatchery!T53</f>
        <v>0</v>
      </c>
      <c r="S51" s="53">
        <f>Assumption_Hatchery!U53</f>
        <v>0</v>
      </c>
      <c r="T51" s="53">
        <f>Assumption_Hatchery!V53</f>
        <v>0</v>
      </c>
      <c r="U51" s="53">
        <f>Assumption_Hatchery!W53</f>
        <v>0</v>
      </c>
      <c r="V51" s="53">
        <f>Assumption_Hatchery!X53</f>
        <v>0</v>
      </c>
      <c r="W51" s="53">
        <f>Assumption_Hatchery!Y53</f>
        <v>0</v>
      </c>
      <c r="X51" s="53">
        <f>Assumption_Hatchery!Z53</f>
        <v>0</v>
      </c>
      <c r="Y51" s="53">
        <f>Assumption_Hatchery!AA53</f>
        <v>0</v>
      </c>
      <c r="Z51" s="53">
        <f>Assumption_Hatchery!AB53</f>
        <v>0</v>
      </c>
    </row>
    <row r="52" spans="1:26" x14ac:dyDescent="0.25">
      <c r="A52" s="127" t="s">
        <v>59</v>
      </c>
      <c r="B52" s="40">
        <f>SUM(B43:B51)</f>
        <v>0</v>
      </c>
      <c r="C52" s="40">
        <f t="shared" ref="C52:Z52" si="8">SUM(C43:C51)</f>
        <v>165100.6</v>
      </c>
      <c r="D52" s="40">
        <f t="shared" si="8"/>
        <v>377054.01500000001</v>
      </c>
      <c r="E52" s="40">
        <f t="shared" si="8"/>
        <v>675103.22427000001</v>
      </c>
      <c r="F52" s="40">
        <f t="shared" si="8"/>
        <v>603924.26140299998</v>
      </c>
      <c r="G52" s="40">
        <f t="shared" si="8"/>
        <v>502635.50401703001</v>
      </c>
      <c r="H52" s="40">
        <f t="shared" si="8"/>
        <v>435496.35905720032</v>
      </c>
      <c r="I52" s="40">
        <f t="shared" si="8"/>
        <v>376764.34764777229</v>
      </c>
      <c r="J52" s="40">
        <f t="shared" si="8"/>
        <v>376981.99112425005</v>
      </c>
      <c r="K52" s="40">
        <f t="shared" si="8"/>
        <v>411349.31103549252</v>
      </c>
      <c r="L52" s="40">
        <f t="shared" si="8"/>
        <v>377423.82914584747</v>
      </c>
      <c r="M52" s="40">
        <f t="shared" si="8"/>
        <v>377648.06743730593</v>
      </c>
      <c r="N52" s="40">
        <f t="shared" si="8"/>
        <v>412022.04811167897</v>
      </c>
      <c r="O52" s="40">
        <f t="shared" si="8"/>
        <v>378103.29359279579</v>
      </c>
      <c r="P52" s="40">
        <f t="shared" si="8"/>
        <v>378334.32652872376</v>
      </c>
      <c r="Q52" s="40">
        <f t="shared" si="8"/>
        <v>412715.16979401099</v>
      </c>
      <c r="R52" s="40">
        <f t="shared" si="8"/>
        <v>378803.34649195109</v>
      </c>
      <c r="S52" s="40">
        <f t="shared" si="8"/>
        <v>379041.37995687057</v>
      </c>
      <c r="T52" s="40">
        <f t="shared" si="8"/>
        <v>413429.29375643929</v>
      </c>
      <c r="U52" s="40">
        <f t="shared" si="8"/>
        <v>379524.61169400369</v>
      </c>
      <c r="V52" s="40">
        <f t="shared" si="8"/>
        <v>379769.85781094374</v>
      </c>
      <c r="W52" s="40">
        <f t="shared" si="8"/>
        <v>342750.79511124251</v>
      </c>
      <c r="X52" s="40">
        <f t="shared" si="8"/>
        <v>215133.86597647186</v>
      </c>
      <c r="Y52" s="40">
        <f t="shared" si="8"/>
        <v>73052.040927247319</v>
      </c>
      <c r="Z52" s="40">
        <f t="shared" si="8"/>
        <v>28546.874999999996</v>
      </c>
    </row>
    <row r="53" spans="1:26" x14ac:dyDescent="0.25">
      <c r="B53" s="34"/>
      <c r="C53" s="34"/>
      <c r="D53" s="34"/>
      <c r="E53" s="34"/>
      <c r="F53" s="34"/>
      <c r="G53" s="34"/>
      <c r="H53" s="34"/>
      <c r="I53" s="34"/>
      <c r="J53" s="34"/>
      <c r="K53" s="34"/>
      <c r="L53" s="34"/>
    </row>
    <row r="54" spans="1:26" x14ac:dyDescent="0.25">
      <c r="A54" s="24" t="s">
        <v>60</v>
      </c>
      <c r="B54" s="36">
        <f>B40-B52</f>
        <v>0</v>
      </c>
      <c r="C54" s="36">
        <f t="shared" ref="C54:Z54" si="9">C40-C52</f>
        <v>-165100.6</v>
      </c>
      <c r="D54" s="36">
        <f t="shared" si="9"/>
        <v>-155969.01499999998</v>
      </c>
      <c r="E54" s="36">
        <f t="shared" si="9"/>
        <v>-309021.28515750001</v>
      </c>
      <c r="F54" s="36">
        <f t="shared" si="9"/>
        <v>-143890.59340299992</v>
      </c>
      <c r="G54" s="36">
        <f t="shared" si="9"/>
        <v>-33401.162657029927</v>
      </c>
      <c r="H54" s="36">
        <f t="shared" si="9"/>
        <v>-3841.8230108692078</v>
      </c>
      <c r="I54" s="36">
        <f t="shared" si="9"/>
        <v>111427.06110317173</v>
      </c>
      <c r="J54" s="36">
        <f t="shared" si="9"/>
        <v>120973.24580171285</v>
      </c>
      <c r="K54" s="36">
        <f t="shared" si="9"/>
        <v>46725.935853162315</v>
      </c>
      <c r="L54" s="36">
        <f t="shared" si="9"/>
        <v>140648.79935192439</v>
      </c>
      <c r="M54" s="36">
        <f t="shared" si="9"/>
        <v>150786.01363042125</v>
      </c>
      <c r="N54" s="36">
        <f t="shared" si="9"/>
        <v>74091.068488536694</v>
      </c>
      <c r="O54" s="36">
        <f t="shared" si="9"/>
        <v>171679.52435006766</v>
      </c>
      <c r="P54" s="36">
        <f t="shared" si="9"/>
        <v>182444.14777299698</v>
      </c>
      <c r="Q54" s="36">
        <f t="shared" si="9"/>
        <v>103151.95844707056</v>
      </c>
      <c r="R54" s="36">
        <f t="shared" si="9"/>
        <v>204630.57817155909</v>
      </c>
      <c r="S54" s="36">
        <f t="shared" si="9"/>
        <v>216061.2231999099</v>
      </c>
      <c r="T54" s="36">
        <f t="shared" si="9"/>
        <v>134013.02967002249</v>
      </c>
      <c r="U54" s="36">
        <f t="shared" si="9"/>
        <v>239620.13663031056</v>
      </c>
      <c r="V54" s="36">
        <f t="shared" si="9"/>
        <v>251757.78547985689</v>
      </c>
      <c r="W54" s="36">
        <f t="shared" si="9"/>
        <v>141009.34341575636</v>
      </c>
      <c r="X54" s="36">
        <f t="shared" si="9"/>
        <v>143386.81406340265</v>
      </c>
      <c r="Y54" s="36">
        <f t="shared" si="9"/>
        <v>33966.177800887061</v>
      </c>
      <c r="Z54" s="36">
        <f t="shared" si="9"/>
        <v>-19046.874999999996</v>
      </c>
    </row>
    <row r="55" spans="1:26" x14ac:dyDescent="0.25">
      <c r="B55" s="34"/>
      <c r="C55" s="34"/>
      <c r="D55" s="34"/>
      <c r="E55" s="34"/>
      <c r="F55" s="34"/>
      <c r="G55" s="34"/>
      <c r="H55" s="34"/>
      <c r="I55" s="34"/>
      <c r="J55" s="34"/>
      <c r="K55" s="34"/>
      <c r="L55" s="34"/>
    </row>
    <row r="56" spans="1:26" s="13" customFormat="1" x14ac:dyDescent="0.25">
      <c r="A56" s="24" t="s">
        <v>61</v>
      </c>
      <c r="B56" s="42">
        <f>B54/(1+Assumption_Hatchery!$C76)^B36</f>
        <v>0</v>
      </c>
      <c r="C56" s="42">
        <f>C54/(1+Assumption_Hatchery!$C76)^C36</f>
        <v>-151468.44036697247</v>
      </c>
      <c r="D56" s="42">
        <f>D54/(1+Assumption_Hatchery!$C76)^D36</f>
        <v>-131275.99949499196</v>
      </c>
      <c r="E56" s="42">
        <f>E54/(1+Assumption_Hatchery!$C76)^E36</f>
        <v>-238621.13138586082</v>
      </c>
      <c r="F56" s="42">
        <f>F54/(1+Assumption_Hatchery!$C76)^F36</f>
        <v>-101935.72400181658</v>
      </c>
      <c r="G56" s="42">
        <f>G54/(1+Assumption_Hatchery!$C76)^G36</f>
        <v>-21708.463949659981</v>
      </c>
      <c r="H56" s="42">
        <f>H54/(1+Assumption_Hatchery!$C76)^H36</f>
        <v>-2290.7535370340429</v>
      </c>
      <c r="I56" s="42">
        <f>I54/(1+Assumption_Hatchery!$C76)^I36</f>
        <v>60954.418225683716</v>
      </c>
      <c r="J56" s="42">
        <f>J54/(1+Assumption_Hatchery!$C76)^J36</f>
        <v>60712.392810444944</v>
      </c>
      <c r="K56" s="42">
        <f>K54/(1+Assumption_Hatchery!$C76)^K36</f>
        <v>21513.918890692643</v>
      </c>
      <c r="L56" s="42">
        <f>L54/(1+Assumption_Hatchery!$C76)^L36</f>
        <v>59411.572823156232</v>
      </c>
      <c r="M56" s="42">
        <f>M54/(1+Assumption_Hatchery!$C76)^M36</f>
        <v>58434.533657073938</v>
      </c>
      <c r="N56" s="42">
        <f>N54/(1+Assumption_Hatchery!$C76)^N36</f>
        <v>26341.947667710243</v>
      </c>
      <c r="O56" s="42">
        <f>O54/(1+Assumption_Hatchery!$C76)^O36</f>
        <v>55998.194950213583</v>
      </c>
      <c r="P56" s="42">
        <f>P54/(1+Assumption_Hatchery!$C76)^P36</f>
        <v>54595.766286717175</v>
      </c>
      <c r="Q56" s="42">
        <f>Q54/(1+Assumption_Hatchery!$C76)^Q36</f>
        <v>28319.136629670866</v>
      </c>
      <c r="R56" s="42">
        <f>R54/(1+Assumption_Hatchery!$C76)^R36</f>
        <v>51540.255159624459</v>
      </c>
      <c r="S56" s="42">
        <f>S54/(1+Assumption_Hatchery!$C76)^S36</f>
        <v>49925.953220284166</v>
      </c>
      <c r="T56" s="42">
        <f>T54/(1+Assumption_Hatchery!$C76)^T36</f>
        <v>28409.923388622727</v>
      </c>
      <c r="U56" s="42">
        <f>U54/(1+Assumption_Hatchery!$C76)^U36</f>
        <v>46603.64126567723</v>
      </c>
      <c r="V56" s="42">
        <f>V54/(1+Assumption_Hatchery!$C76)^V36</f>
        <v>44921.365672783977</v>
      </c>
      <c r="W56" s="42">
        <f>W54/(1+Assumption_Hatchery!$C76)^W36</f>
        <v>23082.956525951064</v>
      </c>
      <c r="X56" s="42">
        <f>X54/(1+Assumption_Hatchery!$C76)^X36</f>
        <v>21534.076943335924</v>
      </c>
      <c r="Y56" s="42">
        <f>Y54/(1+Assumption_Hatchery!$C76)^Y36</f>
        <v>4679.9070349119311</v>
      </c>
      <c r="Z56" s="42">
        <f>Z54/(1+Assumption_Hatchery!$C76)^Z36</f>
        <v>-2407.6191059343823</v>
      </c>
    </row>
    <row r="57" spans="1:26" x14ac:dyDescent="0.25">
      <c r="B57" s="34"/>
      <c r="C57" s="34"/>
      <c r="D57" s="34"/>
      <c r="E57" s="34"/>
      <c r="F57" s="34"/>
      <c r="G57" s="34"/>
      <c r="H57" s="34"/>
      <c r="I57" s="34"/>
      <c r="J57" s="34"/>
      <c r="K57" s="34"/>
      <c r="L57" s="34"/>
    </row>
    <row r="58" spans="1:26" s="13" customFormat="1" x14ac:dyDescent="0.25">
      <c r="A58" s="26" t="s">
        <v>62</v>
      </c>
      <c r="B58" s="37">
        <f>NPV(Assumption_Hatchery!C76,C54:Z54)+B54</f>
        <v>47271.829310284564</v>
      </c>
      <c r="C58" s="43"/>
      <c r="D58" s="43"/>
      <c r="E58" s="43"/>
      <c r="F58" s="43"/>
      <c r="G58" s="43"/>
      <c r="H58" s="43"/>
      <c r="I58" s="43"/>
      <c r="J58" s="43"/>
      <c r="K58" s="43"/>
      <c r="L58" s="43"/>
    </row>
    <row r="60" spans="1:26" s="13" customFormat="1" x14ac:dyDescent="0.25">
      <c r="A60" s="26" t="s">
        <v>25</v>
      </c>
      <c r="B60" s="38">
        <f>IRR(B54:Z54)</f>
        <v>9.6924536941986217E-2</v>
      </c>
      <c r="C60" s="4"/>
      <c r="D60" s="4"/>
      <c r="E60" s="4"/>
      <c r="F60" s="4"/>
      <c r="G60" s="4"/>
      <c r="H60" s="4"/>
      <c r="I60" s="4"/>
      <c r="J60" s="4"/>
      <c r="K60" s="4"/>
      <c r="L60" s="4"/>
    </row>
    <row r="62" spans="1:26" s="13" customFormat="1" x14ac:dyDescent="0.25">
      <c r="A62" s="27" t="s">
        <v>63</v>
      </c>
      <c r="B62" s="39">
        <f>B56</f>
        <v>0</v>
      </c>
      <c r="C62" s="39">
        <f>B62+C56</f>
        <v>-151468.44036697247</v>
      </c>
      <c r="D62" s="39">
        <f t="shared" ref="D62:Z62" si="10">C62+D56</f>
        <v>-282744.43986196443</v>
      </c>
      <c r="E62" s="39">
        <f t="shared" si="10"/>
        <v>-521365.57124782528</v>
      </c>
      <c r="F62" s="39">
        <f t="shared" si="10"/>
        <v>-623301.29524964187</v>
      </c>
      <c r="G62" s="39">
        <f t="shared" si="10"/>
        <v>-645009.75919930183</v>
      </c>
      <c r="H62" s="39">
        <f t="shared" si="10"/>
        <v>-647300.51273633586</v>
      </c>
      <c r="I62" s="39">
        <f t="shared" si="10"/>
        <v>-586346.09451065212</v>
      </c>
      <c r="J62" s="39">
        <f t="shared" si="10"/>
        <v>-525633.7017002072</v>
      </c>
      <c r="K62" s="39">
        <f t="shared" si="10"/>
        <v>-504119.78280951455</v>
      </c>
      <c r="L62" s="39">
        <f t="shared" si="10"/>
        <v>-444708.2099863583</v>
      </c>
      <c r="M62" s="39">
        <f t="shared" si="10"/>
        <v>-386273.67632928438</v>
      </c>
      <c r="N62" s="39">
        <f t="shared" si="10"/>
        <v>-359931.72866157413</v>
      </c>
      <c r="O62" s="39">
        <f t="shared" si="10"/>
        <v>-303933.53371136053</v>
      </c>
      <c r="P62" s="39">
        <f t="shared" si="10"/>
        <v>-249337.76742464336</v>
      </c>
      <c r="Q62" s="39">
        <f t="shared" si="10"/>
        <v>-221018.6307949725</v>
      </c>
      <c r="R62" s="39">
        <f t="shared" si="10"/>
        <v>-169478.37563534803</v>
      </c>
      <c r="S62" s="39">
        <f t="shared" si="10"/>
        <v>-119552.42241506386</v>
      </c>
      <c r="T62" s="39">
        <f t="shared" si="10"/>
        <v>-91142.499026441132</v>
      </c>
      <c r="U62" s="39">
        <f t="shared" si="10"/>
        <v>-44538.857760763902</v>
      </c>
      <c r="V62" s="39">
        <f t="shared" si="10"/>
        <v>382.50791202007531</v>
      </c>
      <c r="W62" s="39">
        <f t="shared" si="10"/>
        <v>23465.464437971139</v>
      </c>
      <c r="X62" s="39">
        <f t="shared" si="10"/>
        <v>44999.541381307063</v>
      </c>
      <c r="Y62" s="39">
        <f t="shared" si="10"/>
        <v>49679.448416218991</v>
      </c>
      <c r="Z62" s="39">
        <f t="shared" si="10"/>
        <v>47271.829310284607</v>
      </c>
    </row>
    <row r="63" spans="1:26" ht="38.25" customHeight="1" x14ac:dyDescent="0.25">
      <c r="A63" s="11"/>
      <c r="B63" s="32"/>
      <c r="C63" s="76"/>
      <c r="D63" s="77"/>
      <c r="E63" s="32"/>
      <c r="F63" s="126"/>
      <c r="G63" s="32"/>
      <c r="H63" s="32"/>
      <c r="I63" s="32"/>
      <c r="J63" s="32"/>
      <c r="K63" s="32"/>
      <c r="L63" s="32"/>
      <c r="M63" s="11"/>
    </row>
    <row r="64" spans="1:26" s="1" customFormat="1" x14ac:dyDescent="0.25">
      <c r="A64" s="25"/>
      <c r="B64" s="45"/>
      <c r="C64" s="45"/>
      <c r="D64" s="45"/>
      <c r="E64" s="45"/>
      <c r="F64" s="45"/>
      <c r="G64" s="45"/>
      <c r="H64" s="45"/>
      <c r="I64" s="45"/>
      <c r="J64" s="45"/>
      <c r="K64" s="45"/>
      <c r="L64" s="45"/>
    </row>
    <row r="66" spans="1:26" ht="26.25" x14ac:dyDescent="0.25">
      <c r="F66" s="20" t="s">
        <v>111</v>
      </c>
    </row>
    <row r="67" spans="1:26" ht="38.25" customHeight="1" x14ac:dyDescent="0.25">
      <c r="A67" s="11" t="s">
        <v>77</v>
      </c>
      <c r="B67" s="32"/>
      <c r="C67" s="76"/>
      <c r="D67" s="77"/>
      <c r="E67" s="32"/>
      <c r="F67" s="32"/>
      <c r="G67" s="32"/>
      <c r="H67" s="32"/>
      <c r="I67" s="32"/>
      <c r="J67" s="32"/>
      <c r="K67" s="32"/>
      <c r="L67" s="32"/>
      <c r="M67" s="11"/>
    </row>
    <row r="69" spans="1:26" x14ac:dyDescent="0.25">
      <c r="A69" s="10" t="s">
        <v>22</v>
      </c>
      <c r="B69" s="28">
        <v>0</v>
      </c>
      <c r="C69" s="28">
        <v>1</v>
      </c>
      <c r="D69" s="28">
        <v>2</v>
      </c>
      <c r="E69" s="28">
        <v>3</v>
      </c>
      <c r="F69" s="28">
        <v>4</v>
      </c>
      <c r="G69" s="28">
        <v>5</v>
      </c>
      <c r="H69" s="28">
        <v>6</v>
      </c>
      <c r="I69" s="28">
        <v>7</v>
      </c>
      <c r="J69" s="28">
        <v>8</v>
      </c>
      <c r="K69" s="28">
        <v>9</v>
      </c>
      <c r="L69" s="28">
        <v>10</v>
      </c>
      <c r="M69" s="28">
        <v>11</v>
      </c>
      <c r="N69" s="28">
        <v>12</v>
      </c>
      <c r="O69" s="28">
        <v>13</v>
      </c>
      <c r="P69" s="28">
        <v>14</v>
      </c>
      <c r="Q69" s="28">
        <v>15</v>
      </c>
      <c r="R69" s="28">
        <v>16</v>
      </c>
      <c r="S69" s="28">
        <v>17</v>
      </c>
      <c r="T69" s="28">
        <v>18</v>
      </c>
      <c r="U69" s="28">
        <v>19</v>
      </c>
      <c r="V69" s="28">
        <v>20</v>
      </c>
      <c r="W69" s="28">
        <v>21</v>
      </c>
      <c r="X69" s="28">
        <v>22</v>
      </c>
      <c r="Y69" s="28">
        <v>23</v>
      </c>
      <c r="Z69" s="28">
        <v>24</v>
      </c>
    </row>
    <row r="70" spans="1:26" x14ac:dyDescent="0.25">
      <c r="A70" s="24" t="s">
        <v>23</v>
      </c>
    </row>
    <row r="71" spans="1:26" x14ac:dyDescent="0.25">
      <c r="A71" s="10" t="s">
        <v>56</v>
      </c>
      <c r="B71" s="33">
        <f>B6</f>
        <v>0</v>
      </c>
      <c r="C71" s="33">
        <f t="shared" ref="C71:Z72" si="11">C6</f>
        <v>0</v>
      </c>
      <c r="D71" s="33">
        <f t="shared" si="11"/>
        <v>221085.00000000003</v>
      </c>
      <c r="E71" s="33">
        <f t="shared" si="11"/>
        <v>366081.9391125</v>
      </c>
      <c r="F71" s="33">
        <f t="shared" si="11"/>
        <v>460033.66800000006</v>
      </c>
      <c r="G71" s="33">
        <f t="shared" si="11"/>
        <v>469234.34136000008</v>
      </c>
      <c r="H71" s="33">
        <f t="shared" si="11"/>
        <v>431654.53604633111</v>
      </c>
      <c r="I71" s="33">
        <f t="shared" si="11"/>
        <v>488191.40875094401</v>
      </c>
      <c r="J71" s="33">
        <f t="shared" si="11"/>
        <v>497955.2369259629</v>
      </c>
      <c r="K71" s="33">
        <f t="shared" si="11"/>
        <v>458075.24688865483</v>
      </c>
      <c r="L71" s="33">
        <f t="shared" si="11"/>
        <v>518072.62849777186</v>
      </c>
      <c r="M71" s="33">
        <f t="shared" si="11"/>
        <v>528434.08106772718</v>
      </c>
      <c r="N71" s="33">
        <f t="shared" si="11"/>
        <v>486113.11660021567</v>
      </c>
      <c r="O71" s="33">
        <f t="shared" si="11"/>
        <v>549782.81794286345</v>
      </c>
      <c r="P71" s="33">
        <f t="shared" si="11"/>
        <v>560778.47430172074</v>
      </c>
      <c r="Q71" s="33">
        <f t="shared" si="11"/>
        <v>515867.12824108155</v>
      </c>
      <c r="R71" s="33">
        <f t="shared" si="11"/>
        <v>583433.92466351017</v>
      </c>
      <c r="S71" s="33">
        <f t="shared" si="11"/>
        <v>595102.60315678047</v>
      </c>
      <c r="T71" s="33">
        <f t="shared" si="11"/>
        <v>547442.32342646178</v>
      </c>
      <c r="U71" s="33">
        <f t="shared" si="11"/>
        <v>619144.74832431425</v>
      </c>
      <c r="V71" s="33">
        <f t="shared" si="11"/>
        <v>631527.64329080062</v>
      </c>
      <c r="W71" s="33">
        <f t="shared" si="11"/>
        <v>464760.13852699887</v>
      </c>
      <c r="X71" s="33">
        <f t="shared" si="11"/>
        <v>328520.68003987451</v>
      </c>
      <c r="Y71" s="33">
        <f t="shared" si="11"/>
        <v>67018.218728134379</v>
      </c>
      <c r="Z71" s="33">
        <f t="shared" si="11"/>
        <v>0</v>
      </c>
    </row>
    <row r="72" spans="1:26" x14ac:dyDescent="0.25">
      <c r="A72" s="10" t="s">
        <v>57</v>
      </c>
      <c r="B72" s="33">
        <f>B7</f>
        <v>0</v>
      </c>
      <c r="C72" s="33">
        <f t="shared" si="11"/>
        <v>0</v>
      </c>
      <c r="D72" s="33">
        <f t="shared" si="11"/>
        <v>0</v>
      </c>
      <c r="E72" s="33">
        <f t="shared" si="11"/>
        <v>0</v>
      </c>
      <c r="F72" s="33">
        <f t="shared" si="11"/>
        <v>0</v>
      </c>
      <c r="G72" s="33">
        <f t="shared" si="11"/>
        <v>0</v>
      </c>
      <c r="H72" s="33">
        <f t="shared" si="11"/>
        <v>0</v>
      </c>
      <c r="I72" s="33">
        <f t="shared" si="11"/>
        <v>0</v>
      </c>
      <c r="J72" s="33">
        <f t="shared" si="11"/>
        <v>0</v>
      </c>
      <c r="K72" s="33">
        <f t="shared" si="11"/>
        <v>0</v>
      </c>
      <c r="L72" s="33">
        <f t="shared" si="11"/>
        <v>0</v>
      </c>
      <c r="M72" s="33">
        <f t="shared" si="11"/>
        <v>0</v>
      </c>
      <c r="N72" s="33">
        <f t="shared" si="11"/>
        <v>0</v>
      </c>
      <c r="O72" s="33">
        <f t="shared" si="11"/>
        <v>0</v>
      </c>
      <c r="P72" s="33">
        <f t="shared" si="11"/>
        <v>0</v>
      </c>
      <c r="Q72" s="33">
        <f t="shared" si="11"/>
        <v>0</v>
      </c>
      <c r="R72" s="33">
        <f t="shared" si="11"/>
        <v>0</v>
      </c>
      <c r="S72" s="33">
        <f t="shared" si="11"/>
        <v>0</v>
      </c>
      <c r="T72" s="33">
        <f t="shared" si="11"/>
        <v>0</v>
      </c>
      <c r="U72" s="33">
        <f t="shared" si="11"/>
        <v>0</v>
      </c>
      <c r="V72" s="33">
        <f t="shared" si="11"/>
        <v>0</v>
      </c>
      <c r="W72" s="33">
        <f t="shared" si="11"/>
        <v>19000</v>
      </c>
      <c r="X72" s="33">
        <f t="shared" si="11"/>
        <v>30000</v>
      </c>
      <c r="Y72" s="33">
        <f t="shared" si="11"/>
        <v>40000</v>
      </c>
      <c r="Z72" s="33">
        <f t="shared" si="11"/>
        <v>9500</v>
      </c>
    </row>
    <row r="73" spans="1:26" s="13" customFormat="1" x14ac:dyDescent="0.25">
      <c r="A73" s="24" t="s">
        <v>58</v>
      </c>
      <c r="B73" s="41">
        <f t="shared" ref="B73:Z73" si="12">(B71+B72)</f>
        <v>0</v>
      </c>
      <c r="C73" s="41">
        <f t="shared" si="12"/>
        <v>0</v>
      </c>
      <c r="D73" s="41">
        <f t="shared" si="12"/>
        <v>221085.00000000003</v>
      </c>
      <c r="E73" s="41">
        <f t="shared" si="12"/>
        <v>366081.9391125</v>
      </c>
      <c r="F73" s="41">
        <f t="shared" si="12"/>
        <v>460033.66800000006</v>
      </c>
      <c r="G73" s="41">
        <f t="shared" si="12"/>
        <v>469234.34136000008</v>
      </c>
      <c r="H73" s="41">
        <f t="shared" si="12"/>
        <v>431654.53604633111</v>
      </c>
      <c r="I73" s="41">
        <f t="shared" si="12"/>
        <v>488191.40875094401</v>
      </c>
      <c r="J73" s="41">
        <f t="shared" si="12"/>
        <v>497955.2369259629</v>
      </c>
      <c r="K73" s="41">
        <f t="shared" si="12"/>
        <v>458075.24688865483</v>
      </c>
      <c r="L73" s="41">
        <f t="shared" si="12"/>
        <v>518072.62849777186</v>
      </c>
      <c r="M73" s="41">
        <f t="shared" si="12"/>
        <v>528434.08106772718</v>
      </c>
      <c r="N73" s="41">
        <f t="shared" si="12"/>
        <v>486113.11660021567</v>
      </c>
      <c r="O73" s="41">
        <f t="shared" si="12"/>
        <v>549782.81794286345</v>
      </c>
      <c r="P73" s="41">
        <f t="shared" si="12"/>
        <v>560778.47430172074</v>
      </c>
      <c r="Q73" s="41">
        <f t="shared" si="12"/>
        <v>515867.12824108155</v>
      </c>
      <c r="R73" s="41">
        <f t="shared" si="12"/>
        <v>583433.92466351017</v>
      </c>
      <c r="S73" s="41">
        <f t="shared" si="12"/>
        <v>595102.60315678047</v>
      </c>
      <c r="T73" s="41">
        <f t="shared" si="12"/>
        <v>547442.32342646178</v>
      </c>
      <c r="U73" s="41">
        <f t="shared" si="12"/>
        <v>619144.74832431425</v>
      </c>
      <c r="V73" s="41">
        <f t="shared" si="12"/>
        <v>631527.64329080062</v>
      </c>
      <c r="W73" s="41">
        <f t="shared" si="12"/>
        <v>483760.13852699887</v>
      </c>
      <c r="X73" s="41">
        <f t="shared" si="12"/>
        <v>358520.68003987451</v>
      </c>
      <c r="Y73" s="41">
        <f t="shared" si="12"/>
        <v>107018.21872813438</v>
      </c>
      <c r="Z73" s="41">
        <f t="shared" si="12"/>
        <v>9500</v>
      </c>
    </row>
    <row r="74" spans="1:26" x14ac:dyDescent="0.25">
      <c r="A74" s="24"/>
      <c r="B74" s="44"/>
      <c r="C74" s="44"/>
      <c r="D74" s="44"/>
      <c r="E74" s="44"/>
      <c r="F74" s="44"/>
      <c r="G74" s="44"/>
      <c r="H74" s="44"/>
      <c r="I74" s="44"/>
      <c r="J74" s="44"/>
      <c r="K74" s="44"/>
    </row>
    <row r="75" spans="1:26" x14ac:dyDescent="0.25">
      <c r="A75" s="24" t="s">
        <v>24</v>
      </c>
    </row>
    <row r="76" spans="1:26" x14ac:dyDescent="0.25">
      <c r="A76" s="9" t="s">
        <v>49</v>
      </c>
      <c r="B76" s="35">
        <f>B11</f>
        <v>0</v>
      </c>
      <c r="C76" s="35">
        <f t="shared" ref="C76:Z83" si="13">C11</f>
        <v>100000</v>
      </c>
      <c r="D76" s="35">
        <f t="shared" si="13"/>
        <v>150000</v>
      </c>
      <c r="E76" s="35">
        <f t="shared" si="13"/>
        <v>200000</v>
      </c>
      <c r="F76" s="35">
        <f t="shared" si="13"/>
        <v>50000</v>
      </c>
      <c r="G76" s="35">
        <f t="shared" si="13"/>
        <v>0</v>
      </c>
      <c r="H76" s="35">
        <f t="shared" si="13"/>
        <v>0</v>
      </c>
      <c r="I76" s="35">
        <f t="shared" si="13"/>
        <v>0</v>
      </c>
      <c r="J76" s="35">
        <f t="shared" si="13"/>
        <v>0</v>
      </c>
      <c r="K76" s="35">
        <f t="shared" si="13"/>
        <v>0</v>
      </c>
      <c r="L76" s="35">
        <f t="shared" si="13"/>
        <v>0</v>
      </c>
      <c r="M76" s="35">
        <f t="shared" si="13"/>
        <v>0</v>
      </c>
      <c r="N76" s="35">
        <f t="shared" si="13"/>
        <v>0</v>
      </c>
      <c r="O76" s="35">
        <f t="shared" si="13"/>
        <v>0</v>
      </c>
      <c r="P76" s="35">
        <f t="shared" si="13"/>
        <v>0</v>
      </c>
      <c r="Q76" s="35">
        <f t="shared" si="13"/>
        <v>0</v>
      </c>
      <c r="R76" s="35">
        <f t="shared" si="13"/>
        <v>0</v>
      </c>
      <c r="S76" s="35">
        <f t="shared" si="13"/>
        <v>0</v>
      </c>
      <c r="T76" s="35">
        <f t="shared" si="13"/>
        <v>0</v>
      </c>
      <c r="U76" s="35">
        <f t="shared" si="13"/>
        <v>0</v>
      </c>
      <c r="V76" s="35">
        <f t="shared" si="13"/>
        <v>0</v>
      </c>
      <c r="W76" s="35">
        <f t="shared" si="13"/>
        <v>0</v>
      </c>
      <c r="X76" s="35">
        <f t="shared" si="13"/>
        <v>0</v>
      </c>
      <c r="Y76" s="35">
        <f t="shared" si="13"/>
        <v>0</v>
      </c>
      <c r="Z76" s="35">
        <f t="shared" si="13"/>
        <v>0</v>
      </c>
    </row>
    <row r="77" spans="1:26" x14ac:dyDescent="0.25">
      <c r="A77" s="9" t="s">
        <v>128</v>
      </c>
      <c r="B77" s="35">
        <f t="shared" ref="B77:Q83" si="14">B12</f>
        <v>0</v>
      </c>
      <c r="C77" s="35">
        <f t="shared" si="14"/>
        <v>0</v>
      </c>
      <c r="D77" s="35">
        <f t="shared" si="14"/>
        <v>5000</v>
      </c>
      <c r="E77" s="35">
        <f t="shared" si="14"/>
        <v>19031.249999999996</v>
      </c>
      <c r="F77" s="35">
        <f t="shared" si="14"/>
        <v>35000</v>
      </c>
      <c r="G77" s="35">
        <f t="shared" si="14"/>
        <v>47500</v>
      </c>
      <c r="H77" s="35">
        <f t="shared" si="14"/>
        <v>57093.749999999993</v>
      </c>
      <c r="I77" s="35">
        <f t="shared" si="14"/>
        <v>50000</v>
      </c>
      <c r="J77" s="35">
        <f t="shared" si="14"/>
        <v>50000</v>
      </c>
      <c r="K77" s="35">
        <f t="shared" si="14"/>
        <v>57093.749999999993</v>
      </c>
      <c r="L77" s="35">
        <f t="shared" si="14"/>
        <v>50000</v>
      </c>
      <c r="M77" s="35">
        <f t="shared" si="14"/>
        <v>50000</v>
      </c>
      <c r="N77" s="35">
        <f t="shared" si="14"/>
        <v>57093.749999999993</v>
      </c>
      <c r="O77" s="35">
        <f t="shared" si="14"/>
        <v>50000</v>
      </c>
      <c r="P77" s="35">
        <f t="shared" si="14"/>
        <v>50000</v>
      </c>
      <c r="Q77" s="35">
        <f t="shared" si="14"/>
        <v>57093.749999999993</v>
      </c>
      <c r="R77" s="35">
        <f t="shared" si="13"/>
        <v>50000</v>
      </c>
      <c r="S77" s="35">
        <f t="shared" si="13"/>
        <v>50000</v>
      </c>
      <c r="T77" s="35">
        <f t="shared" si="13"/>
        <v>57093.749999999993</v>
      </c>
      <c r="U77" s="35">
        <f t="shared" si="13"/>
        <v>50000</v>
      </c>
      <c r="V77" s="35">
        <f t="shared" si="13"/>
        <v>50000</v>
      </c>
      <c r="W77" s="35">
        <f t="shared" si="13"/>
        <v>57093.749999999993</v>
      </c>
      <c r="X77" s="35">
        <f t="shared" si="13"/>
        <v>50000</v>
      </c>
      <c r="Y77" s="35">
        <f t="shared" si="13"/>
        <v>40000</v>
      </c>
      <c r="Z77" s="35">
        <f t="shared" si="13"/>
        <v>28546.874999999996</v>
      </c>
    </row>
    <row r="78" spans="1:26" x14ac:dyDescent="0.25">
      <c r="A78" s="9" t="s">
        <v>53</v>
      </c>
      <c r="B78" s="35">
        <f t="shared" si="14"/>
        <v>0</v>
      </c>
      <c r="C78" s="35">
        <f t="shared" si="13"/>
        <v>10000</v>
      </c>
      <c r="D78" s="35">
        <f t="shared" si="13"/>
        <v>25000</v>
      </c>
      <c r="E78" s="35">
        <f t="shared" si="13"/>
        <v>45000</v>
      </c>
      <c r="F78" s="35">
        <f t="shared" si="13"/>
        <v>50000</v>
      </c>
      <c r="G78" s="35">
        <f t="shared" si="13"/>
        <v>50000</v>
      </c>
      <c r="H78" s="35">
        <f t="shared" si="13"/>
        <v>50000</v>
      </c>
      <c r="I78" s="35">
        <f t="shared" si="13"/>
        <v>50000</v>
      </c>
      <c r="J78" s="35">
        <f t="shared" si="13"/>
        <v>50000</v>
      </c>
      <c r="K78" s="35">
        <f t="shared" si="13"/>
        <v>50000</v>
      </c>
      <c r="L78" s="35">
        <f t="shared" si="13"/>
        <v>50000</v>
      </c>
      <c r="M78" s="35">
        <f t="shared" si="13"/>
        <v>50000</v>
      </c>
      <c r="N78" s="35">
        <f t="shared" si="13"/>
        <v>50000</v>
      </c>
      <c r="O78" s="35">
        <f t="shared" si="13"/>
        <v>50000</v>
      </c>
      <c r="P78" s="35">
        <f t="shared" si="13"/>
        <v>50000</v>
      </c>
      <c r="Q78" s="35">
        <f t="shared" si="13"/>
        <v>50000</v>
      </c>
      <c r="R78" s="35">
        <f t="shared" si="13"/>
        <v>50000</v>
      </c>
      <c r="S78" s="35">
        <f t="shared" si="13"/>
        <v>50000</v>
      </c>
      <c r="T78" s="35">
        <f t="shared" si="13"/>
        <v>50000</v>
      </c>
      <c r="U78" s="35">
        <f t="shared" si="13"/>
        <v>50000</v>
      </c>
      <c r="V78" s="35">
        <f t="shared" si="13"/>
        <v>50000</v>
      </c>
      <c r="W78" s="35">
        <f t="shared" si="13"/>
        <v>40000</v>
      </c>
      <c r="X78" s="35">
        <f t="shared" si="13"/>
        <v>25000</v>
      </c>
      <c r="Y78" s="35">
        <f t="shared" si="13"/>
        <v>5000</v>
      </c>
      <c r="Z78" s="35">
        <f t="shared" si="13"/>
        <v>0</v>
      </c>
    </row>
    <row r="79" spans="1:26" x14ac:dyDescent="0.25">
      <c r="A79" s="9" t="s">
        <v>55</v>
      </c>
      <c r="B79" s="35">
        <f t="shared" si="14"/>
        <v>0</v>
      </c>
      <c r="C79" s="35">
        <f t="shared" si="13"/>
        <v>10000</v>
      </c>
      <c r="D79" s="35">
        <f t="shared" si="13"/>
        <v>25000</v>
      </c>
      <c r="E79" s="35">
        <f t="shared" si="13"/>
        <v>53043.749999999993</v>
      </c>
      <c r="F79" s="35">
        <f t="shared" si="13"/>
        <v>50000</v>
      </c>
      <c r="G79" s="35">
        <f t="shared" si="13"/>
        <v>50000</v>
      </c>
      <c r="H79" s="35">
        <f t="shared" si="13"/>
        <v>58937.499999999993</v>
      </c>
      <c r="I79" s="35">
        <f t="shared" si="13"/>
        <v>50000</v>
      </c>
      <c r="J79" s="35">
        <f t="shared" si="13"/>
        <v>50000</v>
      </c>
      <c r="K79" s="35">
        <f t="shared" si="13"/>
        <v>58937.499999999993</v>
      </c>
      <c r="L79" s="35">
        <f t="shared" si="13"/>
        <v>50000</v>
      </c>
      <c r="M79" s="35">
        <f t="shared" si="13"/>
        <v>50000</v>
      </c>
      <c r="N79" s="35">
        <f t="shared" si="13"/>
        <v>58937.499999999993</v>
      </c>
      <c r="O79" s="35">
        <f t="shared" si="13"/>
        <v>50000</v>
      </c>
      <c r="P79" s="35">
        <f t="shared" si="13"/>
        <v>50000</v>
      </c>
      <c r="Q79" s="35">
        <f t="shared" si="13"/>
        <v>58937.499999999993</v>
      </c>
      <c r="R79" s="35">
        <f t="shared" si="13"/>
        <v>50000</v>
      </c>
      <c r="S79" s="35">
        <f t="shared" si="13"/>
        <v>50000</v>
      </c>
      <c r="T79" s="35">
        <f t="shared" si="13"/>
        <v>58937.499999999993</v>
      </c>
      <c r="U79" s="35">
        <f t="shared" si="13"/>
        <v>50000</v>
      </c>
      <c r="V79" s="35">
        <f t="shared" si="13"/>
        <v>50000</v>
      </c>
      <c r="W79" s="35">
        <f t="shared" si="13"/>
        <v>47149.999999999993</v>
      </c>
      <c r="X79" s="35">
        <f t="shared" si="13"/>
        <v>25000</v>
      </c>
      <c r="Y79" s="35">
        <f t="shared" si="13"/>
        <v>5000</v>
      </c>
      <c r="Z79" s="35">
        <f t="shared" si="13"/>
        <v>0</v>
      </c>
    </row>
    <row r="80" spans="1:26" x14ac:dyDescent="0.25">
      <c r="A80" s="118" t="s">
        <v>126</v>
      </c>
      <c r="B80" s="35">
        <f t="shared" si="14"/>
        <v>0</v>
      </c>
      <c r="C80" s="35">
        <f t="shared" si="13"/>
        <v>1000</v>
      </c>
      <c r="D80" s="35">
        <f t="shared" si="13"/>
        <v>2500</v>
      </c>
      <c r="E80" s="35">
        <f t="shared" si="13"/>
        <v>4885.875</v>
      </c>
      <c r="F80" s="35">
        <f t="shared" si="13"/>
        <v>5000</v>
      </c>
      <c r="G80" s="35">
        <f t="shared" si="13"/>
        <v>5000</v>
      </c>
      <c r="H80" s="35">
        <f t="shared" si="13"/>
        <v>5428.75</v>
      </c>
      <c r="I80" s="35">
        <f t="shared" si="13"/>
        <v>5000</v>
      </c>
      <c r="J80" s="35">
        <f t="shared" si="13"/>
        <v>5000</v>
      </c>
      <c r="K80" s="35">
        <f t="shared" si="13"/>
        <v>5428.75</v>
      </c>
      <c r="L80" s="35">
        <f t="shared" si="13"/>
        <v>5000</v>
      </c>
      <c r="M80" s="35">
        <f t="shared" si="13"/>
        <v>5000</v>
      </c>
      <c r="N80" s="35">
        <f t="shared" si="13"/>
        <v>5428.75</v>
      </c>
      <c r="O80" s="35">
        <f t="shared" si="13"/>
        <v>5000</v>
      </c>
      <c r="P80" s="35">
        <f t="shared" si="13"/>
        <v>5000</v>
      </c>
      <c r="Q80" s="35">
        <f t="shared" si="13"/>
        <v>5428.75</v>
      </c>
      <c r="R80" s="35">
        <f t="shared" si="13"/>
        <v>5000</v>
      </c>
      <c r="S80" s="35">
        <f t="shared" si="13"/>
        <v>5000</v>
      </c>
      <c r="T80" s="35">
        <f t="shared" si="13"/>
        <v>5428.75</v>
      </c>
      <c r="U80" s="35">
        <f t="shared" si="13"/>
        <v>5000</v>
      </c>
      <c r="V80" s="35">
        <f t="shared" si="13"/>
        <v>5000</v>
      </c>
      <c r="W80" s="35">
        <f t="shared" si="13"/>
        <v>4343</v>
      </c>
      <c r="X80" s="35">
        <f t="shared" si="13"/>
        <v>2500</v>
      </c>
      <c r="Y80" s="35">
        <f t="shared" si="13"/>
        <v>500</v>
      </c>
      <c r="Z80" s="35">
        <f t="shared" si="13"/>
        <v>0</v>
      </c>
    </row>
    <row r="81" spans="1:26" x14ac:dyDescent="0.25">
      <c r="A81" s="118" t="s">
        <v>127</v>
      </c>
      <c r="B81" s="35">
        <f t="shared" si="14"/>
        <v>0</v>
      </c>
      <c r="C81" s="35">
        <f t="shared" si="13"/>
        <v>20000</v>
      </c>
      <c r="D81" s="35">
        <f t="shared" si="13"/>
        <v>50000</v>
      </c>
      <c r="E81" s="35">
        <f t="shared" si="13"/>
        <v>97717.5</v>
      </c>
      <c r="F81" s="35">
        <f t="shared" si="13"/>
        <v>100000</v>
      </c>
      <c r="G81" s="35">
        <f t="shared" si="13"/>
        <v>100000</v>
      </c>
      <c r="H81" s="35">
        <f t="shared" si="13"/>
        <v>108575</v>
      </c>
      <c r="I81" s="35">
        <f t="shared" si="13"/>
        <v>100000</v>
      </c>
      <c r="J81" s="35">
        <f t="shared" si="13"/>
        <v>100000</v>
      </c>
      <c r="K81" s="35">
        <f t="shared" si="13"/>
        <v>108575</v>
      </c>
      <c r="L81" s="35">
        <f t="shared" si="13"/>
        <v>100000</v>
      </c>
      <c r="M81" s="35">
        <f t="shared" si="13"/>
        <v>100000</v>
      </c>
      <c r="N81" s="35">
        <f t="shared" si="13"/>
        <v>108575</v>
      </c>
      <c r="O81" s="35">
        <f t="shared" si="13"/>
        <v>100000</v>
      </c>
      <c r="P81" s="35">
        <f t="shared" si="13"/>
        <v>100000</v>
      </c>
      <c r="Q81" s="35">
        <f t="shared" si="13"/>
        <v>108575</v>
      </c>
      <c r="R81" s="35">
        <f t="shared" si="13"/>
        <v>100000</v>
      </c>
      <c r="S81" s="35">
        <f t="shared" si="13"/>
        <v>100000</v>
      </c>
      <c r="T81" s="35">
        <f t="shared" si="13"/>
        <v>108575</v>
      </c>
      <c r="U81" s="35">
        <f t="shared" si="13"/>
        <v>100000</v>
      </c>
      <c r="V81" s="35">
        <f t="shared" si="13"/>
        <v>100000</v>
      </c>
      <c r="W81" s="35">
        <f t="shared" si="13"/>
        <v>86860</v>
      </c>
      <c r="X81" s="35">
        <f t="shared" si="13"/>
        <v>50000</v>
      </c>
      <c r="Y81" s="35">
        <f t="shared" si="13"/>
        <v>10000</v>
      </c>
      <c r="Z81" s="35">
        <f t="shared" si="13"/>
        <v>0</v>
      </c>
    </row>
    <row r="82" spans="1:26" x14ac:dyDescent="0.25">
      <c r="A82" s="9" t="s">
        <v>40</v>
      </c>
      <c r="B82" s="35">
        <f t="shared" si="14"/>
        <v>0</v>
      </c>
      <c r="C82" s="35">
        <f t="shared" si="13"/>
        <v>20000</v>
      </c>
      <c r="D82" s="35">
        <f t="shared" si="13"/>
        <v>50000</v>
      </c>
      <c r="E82" s="35">
        <f t="shared" si="13"/>
        <v>98201.249999999985</v>
      </c>
      <c r="F82" s="35">
        <f t="shared" si="13"/>
        <v>100000</v>
      </c>
      <c r="G82" s="35">
        <f t="shared" si="13"/>
        <v>100000</v>
      </c>
      <c r="H82" s="35">
        <f t="shared" si="13"/>
        <v>109112.49999999999</v>
      </c>
      <c r="I82" s="35">
        <f t="shared" si="13"/>
        <v>100000</v>
      </c>
      <c r="J82" s="35">
        <f t="shared" si="13"/>
        <v>100000</v>
      </c>
      <c r="K82" s="35">
        <f t="shared" si="13"/>
        <v>109112.49999999999</v>
      </c>
      <c r="L82" s="35">
        <f t="shared" si="13"/>
        <v>100000</v>
      </c>
      <c r="M82" s="35">
        <f t="shared" si="13"/>
        <v>100000</v>
      </c>
      <c r="N82" s="35">
        <f t="shared" si="13"/>
        <v>109112.49999999999</v>
      </c>
      <c r="O82" s="35">
        <f t="shared" si="13"/>
        <v>100000</v>
      </c>
      <c r="P82" s="35">
        <f t="shared" si="13"/>
        <v>100000</v>
      </c>
      <c r="Q82" s="35">
        <f t="shared" si="13"/>
        <v>109112.49999999999</v>
      </c>
      <c r="R82" s="35">
        <f t="shared" si="13"/>
        <v>100000</v>
      </c>
      <c r="S82" s="35">
        <f t="shared" si="13"/>
        <v>100000</v>
      </c>
      <c r="T82" s="35">
        <f t="shared" si="13"/>
        <v>109112.49999999999</v>
      </c>
      <c r="U82" s="35">
        <f t="shared" si="13"/>
        <v>100000</v>
      </c>
      <c r="V82" s="35">
        <f t="shared" si="13"/>
        <v>100000</v>
      </c>
      <c r="W82" s="35">
        <f t="shared" si="13"/>
        <v>87289.999999999985</v>
      </c>
      <c r="X82" s="35">
        <f t="shared" si="13"/>
        <v>50000</v>
      </c>
      <c r="Y82" s="35">
        <f t="shared" si="13"/>
        <v>10000</v>
      </c>
      <c r="Z82" s="35">
        <f t="shared" si="13"/>
        <v>0</v>
      </c>
    </row>
    <row r="83" spans="1:26" x14ac:dyDescent="0.25">
      <c r="A83" s="9" t="s">
        <v>15</v>
      </c>
      <c r="B83" s="35">
        <f t="shared" si="14"/>
        <v>0</v>
      </c>
      <c r="C83" s="35">
        <f t="shared" si="13"/>
        <v>4100.6000000000004</v>
      </c>
      <c r="D83" s="35">
        <f t="shared" si="13"/>
        <v>10354.014999999999</v>
      </c>
      <c r="E83" s="35">
        <f t="shared" si="13"/>
        <v>18823.599269999999</v>
      </c>
      <c r="F83" s="35">
        <f t="shared" si="13"/>
        <v>21124.261403</v>
      </c>
      <c r="G83" s="35">
        <f t="shared" si="13"/>
        <v>21335.504017029998</v>
      </c>
      <c r="H83" s="35">
        <f t="shared" si="13"/>
        <v>21548.859057200301</v>
      </c>
      <c r="I83" s="35">
        <f t="shared" si="13"/>
        <v>21764.347647772298</v>
      </c>
      <c r="J83" s="35">
        <f t="shared" si="13"/>
        <v>21981.991124250027</v>
      </c>
      <c r="K83" s="35">
        <f t="shared" si="13"/>
        <v>22201.81103549253</v>
      </c>
      <c r="L83" s="35">
        <f t="shared" si="13"/>
        <v>22423.829145847456</v>
      </c>
      <c r="M83" s="35">
        <f t="shared" si="13"/>
        <v>22648.067437305926</v>
      </c>
      <c r="N83" s="35">
        <f t="shared" si="13"/>
        <v>22874.548111678985</v>
      </c>
      <c r="O83" s="35">
        <f t="shared" si="13"/>
        <v>23103.293592795777</v>
      </c>
      <c r="P83" s="35">
        <f t="shared" si="13"/>
        <v>23334.326528723737</v>
      </c>
      <c r="Q83" s="35">
        <f t="shared" si="13"/>
        <v>23567.66979401097</v>
      </c>
      <c r="R83" s="35">
        <f t="shared" si="13"/>
        <v>23803.346491951084</v>
      </c>
      <c r="S83" s="35">
        <f t="shared" si="13"/>
        <v>24041.379956870598</v>
      </c>
      <c r="T83" s="35">
        <f t="shared" si="13"/>
        <v>24281.793756439303</v>
      </c>
      <c r="U83" s="35">
        <f t="shared" si="13"/>
        <v>24524.611694003692</v>
      </c>
      <c r="V83" s="35">
        <f t="shared" si="13"/>
        <v>24769.857810943729</v>
      </c>
      <c r="W83" s="35">
        <f t="shared" si="13"/>
        <v>20014.045111242533</v>
      </c>
      <c r="X83" s="35">
        <f t="shared" si="13"/>
        <v>12633.865976471852</v>
      </c>
      <c r="Y83" s="35">
        <f t="shared" si="13"/>
        <v>2552.0409272473134</v>
      </c>
      <c r="Z83" s="35">
        <f t="shared" si="13"/>
        <v>0</v>
      </c>
    </row>
    <row r="84" spans="1:26" s="54" customFormat="1" x14ac:dyDescent="0.25">
      <c r="A84" s="56" t="s">
        <v>156</v>
      </c>
      <c r="B84" s="53">
        <f>B51*Assumption_Hatchery!$C33</f>
        <v>0</v>
      </c>
      <c r="C84" s="53">
        <f>C51*Assumption_Hatchery!$C33</f>
        <v>0</v>
      </c>
      <c r="D84" s="53">
        <f>D51*Assumption_Hatchery!$C33</f>
        <v>0</v>
      </c>
      <c r="E84" s="53">
        <f>E51*Assumption_Hatchery!$C33</f>
        <v>0</v>
      </c>
      <c r="F84" s="53">
        <f>F51*Assumption_Hatchery!$C33</f>
        <v>0</v>
      </c>
      <c r="G84" s="53">
        <f>G51*Assumption_Hatchery!$C33</f>
        <v>0</v>
      </c>
      <c r="H84" s="53">
        <f>H51*Assumption_Hatchery!$C33</f>
        <v>0</v>
      </c>
      <c r="I84" s="53">
        <f>I51*Assumption_Hatchery!$C33</f>
        <v>0</v>
      </c>
      <c r="J84" s="53">
        <f>J51*Assumption_Hatchery!$C33</f>
        <v>0</v>
      </c>
      <c r="K84" s="53">
        <f>K51*Assumption_Hatchery!$C33</f>
        <v>0</v>
      </c>
      <c r="L84" s="53">
        <f>L51*Assumption_Hatchery!$C33</f>
        <v>0</v>
      </c>
      <c r="M84" s="53">
        <f>M51*Assumption_Hatchery!$C33</f>
        <v>0</v>
      </c>
      <c r="N84" s="53">
        <f>N51*Assumption_Hatchery!$C33</f>
        <v>0</v>
      </c>
      <c r="O84" s="53">
        <f>O51*Assumption_Hatchery!$C33</f>
        <v>0</v>
      </c>
      <c r="P84" s="53">
        <f>P51*Assumption_Hatchery!$C33</f>
        <v>0</v>
      </c>
      <c r="Q84" s="53">
        <f>Q51*Assumption_Hatchery!$C33</f>
        <v>0</v>
      </c>
      <c r="R84" s="53">
        <f>R51*Assumption_Hatchery!$C33</f>
        <v>0</v>
      </c>
      <c r="S84" s="53">
        <f>S51*Assumption_Hatchery!$C33</f>
        <v>0</v>
      </c>
      <c r="T84" s="53">
        <f>T51*Assumption_Hatchery!$C33</f>
        <v>0</v>
      </c>
      <c r="U84" s="53">
        <f>U51*Assumption_Hatchery!$C33</f>
        <v>0</v>
      </c>
      <c r="V84" s="53">
        <f>V51*Assumption_Hatchery!$C33</f>
        <v>0</v>
      </c>
      <c r="W84" s="53">
        <f>W51*Assumption_Hatchery!$C33</f>
        <v>0</v>
      </c>
      <c r="X84" s="53">
        <f>X51*Assumption_Hatchery!$C33</f>
        <v>0</v>
      </c>
      <c r="Y84" s="53">
        <f>Y51*Assumption_Hatchery!$C33</f>
        <v>0</v>
      </c>
      <c r="Z84" s="53">
        <f>Z51*Assumption_Hatchery!$C33</f>
        <v>0</v>
      </c>
    </row>
    <row r="85" spans="1:26" x14ac:dyDescent="0.25">
      <c r="A85" s="127" t="s">
        <v>59</v>
      </c>
      <c r="B85" s="40">
        <f>SUM(B76:B84)</f>
        <v>0</v>
      </c>
      <c r="C85" s="40">
        <f t="shared" ref="C85:Z85" si="15">SUM(C76:C84)</f>
        <v>165100.6</v>
      </c>
      <c r="D85" s="40">
        <f t="shared" si="15"/>
        <v>317854.01500000001</v>
      </c>
      <c r="E85" s="40">
        <f t="shared" si="15"/>
        <v>536703.22427000001</v>
      </c>
      <c r="F85" s="40">
        <f t="shared" si="15"/>
        <v>411124.26140299998</v>
      </c>
      <c r="G85" s="40">
        <f t="shared" si="15"/>
        <v>373835.50401703001</v>
      </c>
      <c r="H85" s="40">
        <f t="shared" si="15"/>
        <v>410696.35905720032</v>
      </c>
      <c r="I85" s="40">
        <f t="shared" si="15"/>
        <v>376764.34764777229</v>
      </c>
      <c r="J85" s="40">
        <f t="shared" si="15"/>
        <v>376981.99112425005</v>
      </c>
      <c r="K85" s="40">
        <f t="shared" si="15"/>
        <v>411349.31103549252</v>
      </c>
      <c r="L85" s="40">
        <f t="shared" si="15"/>
        <v>377423.82914584747</v>
      </c>
      <c r="M85" s="40">
        <f t="shared" si="15"/>
        <v>377648.06743730593</v>
      </c>
      <c r="N85" s="40">
        <f t="shared" si="15"/>
        <v>412022.04811167897</v>
      </c>
      <c r="O85" s="40">
        <f t="shared" si="15"/>
        <v>378103.29359279579</v>
      </c>
      <c r="P85" s="40">
        <f t="shared" si="15"/>
        <v>378334.32652872376</v>
      </c>
      <c r="Q85" s="40">
        <f t="shared" si="15"/>
        <v>412715.16979401099</v>
      </c>
      <c r="R85" s="40">
        <f t="shared" si="15"/>
        <v>378803.34649195109</v>
      </c>
      <c r="S85" s="40">
        <f t="shared" si="15"/>
        <v>379041.37995687057</v>
      </c>
      <c r="T85" s="40">
        <f t="shared" si="15"/>
        <v>413429.29375643929</v>
      </c>
      <c r="U85" s="40">
        <f t="shared" si="15"/>
        <v>379524.61169400369</v>
      </c>
      <c r="V85" s="40">
        <f t="shared" si="15"/>
        <v>379769.85781094374</v>
      </c>
      <c r="W85" s="40">
        <f t="shared" si="15"/>
        <v>342750.79511124251</v>
      </c>
      <c r="X85" s="40">
        <f t="shared" si="15"/>
        <v>215133.86597647186</v>
      </c>
      <c r="Y85" s="40">
        <f t="shared" si="15"/>
        <v>73052.040927247319</v>
      </c>
      <c r="Z85" s="40">
        <f t="shared" si="15"/>
        <v>28546.874999999996</v>
      </c>
    </row>
    <row r="86" spans="1:26" x14ac:dyDescent="0.25">
      <c r="B86" s="34"/>
      <c r="C86" s="34"/>
      <c r="D86" s="34"/>
      <c r="E86" s="34"/>
      <c r="F86" s="34"/>
      <c r="G86" s="34"/>
      <c r="H86" s="34"/>
      <c r="I86" s="34"/>
      <c r="J86" s="34"/>
      <c r="K86" s="34"/>
      <c r="L86" s="34"/>
    </row>
    <row r="87" spans="1:26" x14ac:dyDescent="0.25">
      <c r="A87" s="24" t="s">
        <v>60</v>
      </c>
      <c r="B87" s="36">
        <f>B73-B85</f>
        <v>0</v>
      </c>
      <c r="C87" s="36">
        <f t="shared" ref="C87:Z87" si="16">C73-C85</f>
        <v>-165100.6</v>
      </c>
      <c r="D87" s="36">
        <f t="shared" si="16"/>
        <v>-96769.014999999985</v>
      </c>
      <c r="E87" s="36">
        <f t="shared" si="16"/>
        <v>-170621.28515750001</v>
      </c>
      <c r="F87" s="36">
        <f t="shared" si="16"/>
        <v>48909.406597000081</v>
      </c>
      <c r="G87" s="36">
        <f t="shared" si="16"/>
        <v>95398.837342970073</v>
      </c>
      <c r="H87" s="36">
        <f t="shared" si="16"/>
        <v>20958.176989130792</v>
      </c>
      <c r="I87" s="36">
        <f t="shared" si="16"/>
        <v>111427.06110317173</v>
      </c>
      <c r="J87" s="36">
        <f t="shared" si="16"/>
        <v>120973.24580171285</v>
      </c>
      <c r="K87" s="36">
        <f t="shared" si="16"/>
        <v>46725.935853162315</v>
      </c>
      <c r="L87" s="36">
        <f t="shared" si="16"/>
        <v>140648.79935192439</v>
      </c>
      <c r="M87" s="36">
        <f t="shared" si="16"/>
        <v>150786.01363042125</v>
      </c>
      <c r="N87" s="36">
        <f t="shared" si="16"/>
        <v>74091.068488536694</v>
      </c>
      <c r="O87" s="36">
        <f t="shared" si="16"/>
        <v>171679.52435006766</v>
      </c>
      <c r="P87" s="36">
        <f t="shared" si="16"/>
        <v>182444.14777299698</v>
      </c>
      <c r="Q87" s="36">
        <f t="shared" si="16"/>
        <v>103151.95844707056</v>
      </c>
      <c r="R87" s="36">
        <f t="shared" si="16"/>
        <v>204630.57817155909</v>
      </c>
      <c r="S87" s="36">
        <f t="shared" si="16"/>
        <v>216061.2231999099</v>
      </c>
      <c r="T87" s="36">
        <f t="shared" si="16"/>
        <v>134013.02967002249</v>
      </c>
      <c r="U87" s="36">
        <f t="shared" si="16"/>
        <v>239620.13663031056</v>
      </c>
      <c r="V87" s="36">
        <f t="shared" si="16"/>
        <v>251757.78547985689</v>
      </c>
      <c r="W87" s="36">
        <f t="shared" si="16"/>
        <v>141009.34341575636</v>
      </c>
      <c r="X87" s="36">
        <f t="shared" si="16"/>
        <v>143386.81406340265</v>
      </c>
      <c r="Y87" s="36">
        <f t="shared" si="16"/>
        <v>33966.177800887061</v>
      </c>
      <c r="Z87" s="36">
        <f t="shared" si="16"/>
        <v>-19046.874999999996</v>
      </c>
    </row>
    <row r="88" spans="1:26" x14ac:dyDescent="0.25">
      <c r="B88" s="34"/>
      <c r="C88" s="34"/>
      <c r="D88" s="34"/>
      <c r="E88" s="34"/>
      <c r="F88" s="34"/>
      <c r="G88" s="34"/>
      <c r="H88" s="34"/>
      <c r="I88" s="34"/>
      <c r="J88" s="34"/>
      <c r="K88" s="34"/>
      <c r="L88" s="34"/>
    </row>
    <row r="89" spans="1:26" s="13" customFormat="1" x14ac:dyDescent="0.25">
      <c r="A89" s="24" t="s">
        <v>61</v>
      </c>
      <c r="B89" s="42">
        <f>B87/(1+Assumption_Hatchery!$C76)^B69</f>
        <v>0</v>
      </c>
      <c r="C89" s="42">
        <f>C87/(1+Assumption_Hatchery!$C76)^C69</f>
        <v>-151468.44036697247</v>
      </c>
      <c r="D89" s="42">
        <f>D87/(1+Assumption_Hatchery!$C76)^D69</f>
        <v>-81448.543893611626</v>
      </c>
      <c r="E89" s="42">
        <f>E87/(1+Assumption_Hatchery!$C76)^E69</f>
        <v>-131750.93774540955</v>
      </c>
      <c r="F89" s="42">
        <f>F87/(1+Assumption_Hatchery!$C76)^F69</f>
        <v>34648.656691553297</v>
      </c>
      <c r="G89" s="42">
        <f>G87/(1+Assumption_Hatchery!$C76)^G69</f>
        <v>62002.698605566889</v>
      </c>
      <c r="H89" s="42">
        <f>H87/(1+Assumption_Hatchery!$C76)^H69</f>
        <v>12496.67616957051</v>
      </c>
      <c r="I89" s="42">
        <f>I87/(1+Assumption_Hatchery!$C76)^I69</f>
        <v>60954.418225683716</v>
      </c>
      <c r="J89" s="42">
        <f>J87/(1+Assumption_Hatchery!$C76)^J69</f>
        <v>60712.392810444944</v>
      </c>
      <c r="K89" s="42">
        <f>K87/(1+Assumption_Hatchery!$C76)^K69</f>
        <v>21513.918890692643</v>
      </c>
      <c r="L89" s="42">
        <f>L87/(1+Assumption_Hatchery!$C76)^L69</f>
        <v>59411.572823156232</v>
      </c>
      <c r="M89" s="42">
        <f>M87/(1+Assumption_Hatchery!$C76)^M69</f>
        <v>58434.533657073938</v>
      </c>
      <c r="N89" s="42">
        <f>N87/(1+Assumption_Hatchery!$C76)^N69</f>
        <v>26341.947667710243</v>
      </c>
      <c r="O89" s="42">
        <f>O87/(1+Assumption_Hatchery!$C76)^O69</f>
        <v>55998.194950213583</v>
      </c>
      <c r="P89" s="42">
        <f>P87/(1+Assumption_Hatchery!$C76)^P69</f>
        <v>54595.766286717175</v>
      </c>
      <c r="Q89" s="42">
        <f>Q87/(1+Assumption_Hatchery!$C76)^Q69</f>
        <v>28319.136629670866</v>
      </c>
      <c r="R89" s="42">
        <f>R87/(1+Assumption_Hatchery!$C76)^R69</f>
        <v>51540.255159624459</v>
      </c>
      <c r="S89" s="42">
        <f>S87/(1+Assumption_Hatchery!$C76)^S69</f>
        <v>49925.953220284166</v>
      </c>
      <c r="T89" s="42">
        <f>T87/(1+Assumption_Hatchery!$C76)^T69</f>
        <v>28409.923388622727</v>
      </c>
      <c r="U89" s="42">
        <f>U87/(1+Assumption_Hatchery!$C76)^U69</f>
        <v>46603.64126567723</v>
      </c>
      <c r="V89" s="42">
        <f>V87/(1+Assumption_Hatchery!$C76)^V69</f>
        <v>44921.365672783977</v>
      </c>
      <c r="W89" s="42">
        <f>W87/(1+Assumption_Hatchery!$C76)^W69</f>
        <v>23082.956525951064</v>
      </c>
      <c r="X89" s="42">
        <f>X87/(1+Assumption_Hatchery!$C76)^X69</f>
        <v>21534.076943335924</v>
      </c>
      <c r="Y89" s="42">
        <f>Y87/(1+Assumption_Hatchery!$C76)^Y69</f>
        <v>4679.9070349119311</v>
      </c>
      <c r="Z89" s="42">
        <f>Z87/(1+Assumption_Hatchery!$C76)^Z69</f>
        <v>-2407.6191059343823</v>
      </c>
    </row>
    <row r="90" spans="1:26" x14ac:dyDescent="0.25">
      <c r="B90" s="34"/>
      <c r="C90" s="34"/>
      <c r="D90" s="34"/>
      <c r="E90" s="34"/>
      <c r="F90" s="34"/>
      <c r="G90" s="34"/>
      <c r="H90" s="34"/>
      <c r="I90" s="34"/>
      <c r="J90" s="34"/>
      <c r="K90" s="34"/>
      <c r="L90" s="34"/>
    </row>
    <row r="91" spans="1:26" s="13" customFormat="1" x14ac:dyDescent="0.25">
      <c r="A91" s="26" t="s">
        <v>62</v>
      </c>
      <c r="B91" s="37">
        <f>NPV(Assumption_Hatchery!C76,C87:Z87)+B87</f>
        <v>439052.45150731731</v>
      </c>
      <c r="C91" s="43"/>
      <c r="D91" s="43"/>
      <c r="E91" s="43"/>
      <c r="F91" s="43"/>
      <c r="G91" s="43"/>
      <c r="H91" s="43"/>
      <c r="I91" s="43"/>
      <c r="J91" s="43"/>
      <c r="K91" s="43"/>
      <c r="L91" s="43"/>
    </row>
    <row r="93" spans="1:26" s="13" customFormat="1" x14ac:dyDescent="0.25">
      <c r="A93" s="26" t="s">
        <v>25</v>
      </c>
      <c r="B93" s="38">
        <f>IRR(B87:Z87)</f>
        <v>0.18408344575573299</v>
      </c>
      <c r="C93" s="4"/>
      <c r="D93" s="4"/>
      <c r="E93" s="4"/>
      <c r="F93" s="4"/>
      <c r="G93" s="4"/>
      <c r="H93" s="4"/>
      <c r="I93" s="4"/>
      <c r="J93" s="4"/>
      <c r="K93" s="4"/>
      <c r="L93" s="4"/>
    </row>
    <row r="95" spans="1:26" s="13" customFormat="1" x14ac:dyDescent="0.25">
      <c r="A95" s="27" t="s">
        <v>63</v>
      </c>
      <c r="B95" s="39">
        <f>B89</f>
        <v>0</v>
      </c>
      <c r="C95" s="39">
        <f>B95+C89</f>
        <v>-151468.44036697247</v>
      </c>
      <c r="D95" s="39">
        <f t="shared" ref="D95:Z95" si="17">C95+D89</f>
        <v>-232916.98426058411</v>
      </c>
      <c r="E95" s="39">
        <f t="shared" si="17"/>
        <v>-364667.92200599366</v>
      </c>
      <c r="F95" s="39">
        <f t="shared" si="17"/>
        <v>-330019.26531444036</v>
      </c>
      <c r="G95" s="39">
        <f t="shared" si="17"/>
        <v>-268016.56670887349</v>
      </c>
      <c r="H95" s="39">
        <f t="shared" si="17"/>
        <v>-255519.89053930299</v>
      </c>
      <c r="I95" s="39">
        <f t="shared" si="17"/>
        <v>-194565.47231361928</v>
      </c>
      <c r="J95" s="39">
        <f t="shared" si="17"/>
        <v>-133853.07950317435</v>
      </c>
      <c r="K95" s="39">
        <f t="shared" si="17"/>
        <v>-112339.1606124817</v>
      </c>
      <c r="L95" s="39">
        <f t="shared" si="17"/>
        <v>-52927.587789325473</v>
      </c>
      <c r="M95" s="39">
        <f t="shared" si="17"/>
        <v>5506.9458677484654</v>
      </c>
      <c r="N95" s="39">
        <f t="shared" si="17"/>
        <v>31848.893535458708</v>
      </c>
      <c r="O95" s="39">
        <f t="shared" si="17"/>
        <v>87847.088485672284</v>
      </c>
      <c r="P95" s="39">
        <f t="shared" si="17"/>
        <v>142442.85477238946</v>
      </c>
      <c r="Q95" s="39">
        <f t="shared" si="17"/>
        <v>170761.99140206032</v>
      </c>
      <c r="R95" s="39">
        <f t="shared" si="17"/>
        <v>222302.24656168476</v>
      </c>
      <c r="S95" s="39">
        <f t="shared" si="17"/>
        <v>272228.19978196896</v>
      </c>
      <c r="T95" s="39">
        <f t="shared" si="17"/>
        <v>300638.12317059166</v>
      </c>
      <c r="U95" s="39">
        <f t="shared" si="17"/>
        <v>347241.76443626889</v>
      </c>
      <c r="V95" s="39">
        <f t="shared" si="17"/>
        <v>392163.13010905287</v>
      </c>
      <c r="W95" s="39">
        <f t="shared" si="17"/>
        <v>415246.08663500391</v>
      </c>
      <c r="X95" s="39">
        <f t="shared" si="17"/>
        <v>436780.16357833985</v>
      </c>
      <c r="Y95" s="39">
        <f t="shared" si="17"/>
        <v>441460.07061325177</v>
      </c>
      <c r="Z95" s="39">
        <f t="shared" si="17"/>
        <v>439052.45150731737</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3:AD165"/>
  <sheetViews>
    <sheetView showGridLines="0" topLeftCell="E118" zoomScale="70" zoomScaleNormal="70" workbookViewId="0">
      <selection activeCell="F142" sqref="F142"/>
    </sheetView>
  </sheetViews>
  <sheetFormatPr defaultRowHeight="15" x14ac:dyDescent="0.25"/>
  <cols>
    <col min="2" max="2" width="50" customWidth="1"/>
    <col min="3" max="3" width="11.85546875" customWidth="1"/>
    <col min="4" max="4" width="19.5703125" customWidth="1"/>
    <col min="5" max="5" width="14.140625" customWidth="1"/>
    <col min="6" max="6" width="13" customWidth="1"/>
    <col min="7" max="7" width="12.7109375" customWidth="1"/>
    <col min="8" max="8" width="12.85546875" customWidth="1"/>
    <col min="9" max="9" width="14.140625" customWidth="1"/>
    <col min="10" max="10" width="12.5703125" customWidth="1"/>
    <col min="11" max="11" width="11.7109375" customWidth="1"/>
    <col min="12" max="12" width="13.85546875" customWidth="1"/>
    <col min="13" max="13" width="12.140625" customWidth="1"/>
    <col min="14" max="14" width="15.28515625" customWidth="1"/>
    <col min="15" max="15" width="12.28515625" customWidth="1"/>
    <col min="16" max="16" width="13.7109375" customWidth="1"/>
    <col min="17" max="17" width="13.28515625" customWidth="1"/>
    <col min="18" max="18" width="13.42578125" customWidth="1"/>
    <col min="19" max="20" width="11.7109375" customWidth="1"/>
    <col min="21" max="21" width="10.7109375" customWidth="1"/>
    <col min="22" max="22" width="12.140625" customWidth="1"/>
    <col min="23" max="23" width="14.85546875" customWidth="1"/>
    <col min="24" max="24" width="16.42578125" customWidth="1"/>
    <col min="25" max="25" width="13.7109375" customWidth="1"/>
    <col min="26" max="27" width="11.42578125" customWidth="1"/>
    <col min="28" max="28" width="15.28515625" customWidth="1"/>
    <col min="29" max="29" width="15.7109375" customWidth="1"/>
  </cols>
  <sheetData>
    <row r="3" spans="1:29" x14ac:dyDescent="0.25">
      <c r="A3" s="70">
        <v>1</v>
      </c>
      <c r="B3" s="286" t="s">
        <v>129</v>
      </c>
      <c r="C3" s="287"/>
      <c r="D3" s="287"/>
      <c r="E3" s="287"/>
    </row>
    <row r="5" spans="1:29" x14ac:dyDescent="0.25">
      <c r="C5" s="8" t="s">
        <v>22</v>
      </c>
      <c r="D5" s="16">
        <v>0</v>
      </c>
      <c r="E5" s="16">
        <v>1</v>
      </c>
      <c r="F5" s="16">
        <v>2</v>
      </c>
      <c r="G5" s="16">
        <v>3</v>
      </c>
      <c r="H5" s="16">
        <v>4</v>
      </c>
      <c r="I5" s="16">
        <v>5</v>
      </c>
      <c r="J5" s="16">
        <v>6</v>
      </c>
      <c r="K5" s="16">
        <v>7</v>
      </c>
      <c r="L5" s="16">
        <v>8</v>
      </c>
      <c r="M5" s="16">
        <v>9</v>
      </c>
      <c r="N5" s="16">
        <v>10</v>
      </c>
      <c r="O5" s="16">
        <v>11</v>
      </c>
      <c r="P5" s="16">
        <v>12</v>
      </c>
      <c r="Q5" s="16">
        <v>13</v>
      </c>
      <c r="R5" s="16">
        <v>14</v>
      </c>
      <c r="S5" s="16">
        <v>15</v>
      </c>
      <c r="T5" s="16">
        <v>16</v>
      </c>
      <c r="U5" s="16">
        <v>17</v>
      </c>
      <c r="V5" s="16">
        <v>18</v>
      </c>
      <c r="W5" s="16">
        <v>19</v>
      </c>
      <c r="X5" s="16">
        <v>20</v>
      </c>
      <c r="Y5" s="16">
        <v>21</v>
      </c>
      <c r="Z5" s="16">
        <v>22</v>
      </c>
      <c r="AA5" s="16">
        <v>23</v>
      </c>
      <c r="AB5" s="16">
        <v>24</v>
      </c>
      <c r="AC5" s="57" t="s">
        <v>133</v>
      </c>
    </row>
    <row r="6" spans="1:29" x14ac:dyDescent="0.25">
      <c r="B6" s="73" t="s">
        <v>132</v>
      </c>
      <c r="C6" s="51"/>
      <c r="D6" s="75">
        <f>Assumption_Hatchery!D6</f>
        <v>0</v>
      </c>
      <c r="E6" s="75">
        <f>Assumption_Hatchery!E6</f>
        <v>10</v>
      </c>
      <c r="F6" s="75">
        <f>Assumption_Hatchery!F6</f>
        <v>15</v>
      </c>
      <c r="G6" s="75">
        <f>Assumption_Hatchery!G6</f>
        <v>20</v>
      </c>
      <c r="H6" s="75">
        <f>Assumption_Hatchery!H6</f>
        <v>5</v>
      </c>
      <c r="I6" s="75">
        <f>Assumption_Hatchery!I6</f>
        <v>0</v>
      </c>
      <c r="J6" s="75">
        <f>Assumption_Hatchery!J6</f>
        <v>0</v>
      </c>
      <c r="K6" s="75">
        <f>Assumption_Hatchery!K6</f>
        <v>0</v>
      </c>
      <c r="L6" s="75">
        <f>Assumption_Hatchery!L6</f>
        <v>0</v>
      </c>
      <c r="M6" s="75">
        <f>Assumption_Hatchery!M6</f>
        <v>0</v>
      </c>
      <c r="N6" s="75">
        <f>Assumption_Hatchery!N6</f>
        <v>0</v>
      </c>
      <c r="O6" s="75">
        <f>Assumption_Hatchery!O6</f>
        <v>0</v>
      </c>
      <c r="P6" s="75">
        <f>Assumption_Hatchery!P6</f>
        <v>0</v>
      </c>
      <c r="Q6" s="75">
        <f>Assumption_Hatchery!Q6</f>
        <v>0</v>
      </c>
      <c r="R6" s="75">
        <f>Assumption_Hatchery!R6</f>
        <v>0</v>
      </c>
      <c r="S6" s="75">
        <f>Assumption_Hatchery!S6</f>
        <v>0</v>
      </c>
      <c r="T6" s="75">
        <f>Assumption_Hatchery!T6</f>
        <v>0</v>
      </c>
      <c r="U6" s="75">
        <f>Assumption_Hatchery!U6</f>
        <v>0</v>
      </c>
      <c r="V6" s="75">
        <f>Assumption_Hatchery!V6</f>
        <v>0</v>
      </c>
      <c r="W6" s="75">
        <f>Assumption_Hatchery!W6</f>
        <v>0</v>
      </c>
      <c r="X6" s="75">
        <f>Assumption_Hatchery!X6</f>
        <v>0</v>
      </c>
      <c r="Y6" s="75">
        <f>Assumption_Hatchery!Y6</f>
        <v>0</v>
      </c>
      <c r="Z6" s="75">
        <f>Assumption_Hatchery!Z6</f>
        <v>0</v>
      </c>
      <c r="AA6" s="75">
        <f>Assumption_Hatchery!AA6</f>
        <v>0</v>
      </c>
      <c r="AB6" s="75">
        <f>Assumption_Hatchery!AB6</f>
        <v>0</v>
      </c>
      <c r="AC6" s="57">
        <f>SUM(D6:AB6)</f>
        <v>50</v>
      </c>
    </row>
    <row r="7" spans="1:29" x14ac:dyDescent="0.25">
      <c r="B7" s="73" t="s">
        <v>131</v>
      </c>
      <c r="C7" s="51"/>
      <c r="D7" s="75">
        <f>Assumption_Hatchery!D7</f>
        <v>0</v>
      </c>
      <c r="E7" s="75">
        <f>Assumption_Hatchery!E7</f>
        <v>100</v>
      </c>
      <c r="F7" s="75">
        <f>Assumption_Hatchery!F7</f>
        <v>150</v>
      </c>
      <c r="G7" s="75">
        <f>Assumption_Hatchery!G7</f>
        <v>150</v>
      </c>
      <c r="H7" s="75">
        <f>Assumption_Hatchery!H7</f>
        <v>100</v>
      </c>
      <c r="I7" s="75">
        <f>Assumption_Hatchery!I7</f>
        <v>0</v>
      </c>
      <c r="J7" s="75">
        <f>Assumption_Hatchery!J7</f>
        <v>0</v>
      </c>
      <c r="K7" s="75">
        <f>Assumption_Hatchery!K7</f>
        <v>0</v>
      </c>
      <c r="L7" s="75">
        <f>Assumption_Hatchery!L7</f>
        <v>0</v>
      </c>
      <c r="M7" s="75">
        <f>Assumption_Hatchery!M7</f>
        <v>0</v>
      </c>
      <c r="N7" s="75">
        <f>Assumption_Hatchery!N7</f>
        <v>0</v>
      </c>
      <c r="O7" s="75">
        <f>Assumption_Hatchery!O7</f>
        <v>0</v>
      </c>
      <c r="P7" s="75">
        <f>Assumption_Hatchery!P7</f>
        <v>0</v>
      </c>
      <c r="Q7" s="75">
        <f>Assumption_Hatchery!Q7</f>
        <v>0</v>
      </c>
      <c r="R7" s="75">
        <f>Assumption_Hatchery!R7</f>
        <v>0</v>
      </c>
      <c r="S7" s="75">
        <f>Assumption_Hatchery!S7</f>
        <v>0</v>
      </c>
      <c r="T7" s="75">
        <f>Assumption_Hatchery!T7</f>
        <v>0</v>
      </c>
      <c r="U7" s="75">
        <f>Assumption_Hatchery!U7</f>
        <v>0</v>
      </c>
      <c r="V7" s="75">
        <f>Assumption_Hatchery!V7</f>
        <v>0</v>
      </c>
      <c r="W7" s="75">
        <f>Assumption_Hatchery!W7</f>
        <v>0</v>
      </c>
      <c r="X7" s="75">
        <f>Assumption_Hatchery!X7</f>
        <v>0</v>
      </c>
      <c r="Y7" s="75">
        <f>Assumption_Hatchery!Y7</f>
        <v>0</v>
      </c>
      <c r="Z7" s="75">
        <f>Assumption_Hatchery!Z7</f>
        <v>0</v>
      </c>
      <c r="AA7" s="75">
        <f>Assumption_Hatchery!AA7</f>
        <v>0</v>
      </c>
      <c r="AB7" s="75">
        <f>Assumption_Hatchery!AB7</f>
        <v>0</v>
      </c>
      <c r="AC7" s="57">
        <f>SUM(D7:AB7)</f>
        <v>500</v>
      </c>
    </row>
    <row r="8" spans="1:29" x14ac:dyDescent="0.25">
      <c r="B8" s="73" t="s">
        <v>130</v>
      </c>
      <c r="C8" s="51"/>
      <c r="D8" s="75">
        <f>Assumption_Hatchery!D8</f>
        <v>0</v>
      </c>
      <c r="E8" s="75">
        <f>Assumption_Hatchery!E8</f>
        <v>3000</v>
      </c>
      <c r="F8" s="75">
        <f>Assumption_Hatchery!F8</f>
        <v>7000</v>
      </c>
      <c r="G8" s="75">
        <f>Assumption_Hatchery!G8</f>
        <v>7000</v>
      </c>
      <c r="H8" s="75">
        <f>Assumption_Hatchery!H8</f>
        <v>2000</v>
      </c>
      <c r="I8" s="75">
        <f>Assumption_Hatchery!I8</f>
        <v>1000</v>
      </c>
      <c r="J8" s="75">
        <f>Assumption_Hatchery!J8</f>
        <v>0</v>
      </c>
      <c r="K8" s="75">
        <f>Assumption_Hatchery!K8</f>
        <v>0</v>
      </c>
      <c r="L8" s="75">
        <f>Assumption_Hatchery!L8</f>
        <v>0</v>
      </c>
      <c r="M8" s="75">
        <f>Assumption_Hatchery!M8</f>
        <v>0</v>
      </c>
      <c r="N8" s="75">
        <f>Assumption_Hatchery!N8</f>
        <v>0</v>
      </c>
      <c r="O8" s="75">
        <f>Assumption_Hatchery!O8</f>
        <v>0</v>
      </c>
      <c r="P8" s="75">
        <f>Assumption_Hatchery!P8</f>
        <v>0</v>
      </c>
      <c r="Q8" s="75">
        <f>Assumption_Hatchery!Q8</f>
        <v>0</v>
      </c>
      <c r="R8" s="75">
        <f>Assumption_Hatchery!R8</f>
        <v>0</v>
      </c>
      <c r="S8" s="75">
        <f>Assumption_Hatchery!S8</f>
        <v>0</v>
      </c>
      <c r="T8" s="75">
        <f>Assumption_Hatchery!T8</f>
        <v>0</v>
      </c>
      <c r="U8" s="75">
        <f>Assumption_Hatchery!U8</f>
        <v>0</v>
      </c>
      <c r="V8" s="75">
        <f>Assumption_Hatchery!V8</f>
        <v>0</v>
      </c>
      <c r="W8" s="75">
        <f>Assumption_Hatchery!W8</f>
        <v>0</v>
      </c>
      <c r="X8" s="75">
        <f>Assumption_Hatchery!X8</f>
        <v>0</v>
      </c>
      <c r="Y8" s="75">
        <f>Assumption_Hatchery!Y8</f>
        <v>0</v>
      </c>
      <c r="Z8" s="75">
        <f>Assumption_Hatchery!Z8</f>
        <v>0</v>
      </c>
      <c r="AA8" s="75">
        <f>Assumption_Hatchery!AA8</f>
        <v>0</v>
      </c>
      <c r="AB8" s="75">
        <f>Assumption_Hatchery!AB8</f>
        <v>0</v>
      </c>
      <c r="AC8" s="57">
        <f>SUM(D8:AB8)</f>
        <v>20000</v>
      </c>
    </row>
    <row r="9" spans="1:29" x14ac:dyDescent="0.25">
      <c r="D9" s="114"/>
      <c r="E9" s="114"/>
      <c r="F9" s="114"/>
      <c r="G9" s="114"/>
      <c r="H9" s="114"/>
      <c r="I9" s="114"/>
      <c r="J9" s="114"/>
      <c r="K9" s="114"/>
      <c r="L9" s="114"/>
      <c r="M9" s="114"/>
      <c r="N9" s="114"/>
      <c r="O9" s="114"/>
      <c r="P9" s="114"/>
      <c r="Q9" s="114"/>
      <c r="R9" s="114"/>
      <c r="S9" s="114"/>
      <c r="T9" s="114"/>
      <c r="U9" s="114"/>
      <c r="V9" s="114"/>
      <c r="W9" s="114"/>
      <c r="X9" s="114"/>
      <c r="Y9" s="114"/>
      <c r="Z9" s="114"/>
      <c r="AA9" s="114"/>
      <c r="AB9" s="114"/>
    </row>
    <row r="10" spans="1:29" x14ac:dyDescent="0.25">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row>
    <row r="11" spans="1:29" x14ac:dyDescent="0.25">
      <c r="A11" s="70">
        <v>2</v>
      </c>
      <c r="B11" s="47" t="s">
        <v>224</v>
      </c>
    </row>
    <row r="13" spans="1:29" x14ac:dyDescent="0.25">
      <c r="B13" s="73" t="s">
        <v>131</v>
      </c>
      <c r="C13" s="75">
        <f>SUM(D16:S16)</f>
        <v>500</v>
      </c>
      <c r="D13" t="s">
        <v>125</v>
      </c>
    </row>
    <row r="15" spans="1:29" x14ac:dyDescent="0.25">
      <c r="C15" s="8" t="s">
        <v>22</v>
      </c>
      <c r="D15" s="16">
        <v>0</v>
      </c>
      <c r="E15" s="16">
        <v>1</v>
      </c>
      <c r="F15" s="16">
        <v>2</v>
      </c>
      <c r="G15" s="16">
        <v>3</v>
      </c>
      <c r="H15" s="16">
        <v>4</v>
      </c>
      <c r="I15" s="16">
        <v>5</v>
      </c>
      <c r="J15" s="16">
        <v>6</v>
      </c>
      <c r="K15" s="16">
        <v>7</v>
      </c>
      <c r="L15" s="16">
        <v>8</v>
      </c>
      <c r="M15" s="16">
        <v>9</v>
      </c>
      <c r="N15" s="16">
        <v>10</v>
      </c>
      <c r="O15" s="16">
        <v>11</v>
      </c>
      <c r="P15" s="16">
        <v>12</v>
      </c>
      <c r="Q15" s="16">
        <v>13</v>
      </c>
      <c r="R15" s="16">
        <v>14</v>
      </c>
      <c r="S15" s="16">
        <v>15</v>
      </c>
      <c r="T15" s="16">
        <v>16</v>
      </c>
      <c r="U15" s="16">
        <v>17</v>
      </c>
      <c r="V15" s="16">
        <v>18</v>
      </c>
      <c r="W15" s="16">
        <v>19</v>
      </c>
      <c r="X15" s="16">
        <v>20</v>
      </c>
      <c r="Y15" s="16">
        <v>21</v>
      </c>
      <c r="Z15" s="16">
        <v>22</v>
      </c>
      <c r="AA15" s="16">
        <v>23</v>
      </c>
      <c r="AB15" s="16">
        <v>24</v>
      </c>
      <c r="AC15" s="104" t="s">
        <v>133</v>
      </c>
    </row>
    <row r="16" spans="1:29" x14ac:dyDescent="0.25">
      <c r="B16" s="73" t="s">
        <v>160</v>
      </c>
      <c r="C16" s="51"/>
      <c r="D16" s="103">
        <f>D7</f>
        <v>0</v>
      </c>
      <c r="E16" s="103">
        <f t="shared" ref="E16:AB16" si="0">E7</f>
        <v>100</v>
      </c>
      <c r="F16" s="103">
        <f t="shared" si="0"/>
        <v>150</v>
      </c>
      <c r="G16" s="103">
        <f t="shared" si="0"/>
        <v>150</v>
      </c>
      <c r="H16" s="103">
        <f t="shared" si="0"/>
        <v>100</v>
      </c>
      <c r="I16" s="103">
        <f t="shared" si="0"/>
        <v>0</v>
      </c>
      <c r="J16" s="103">
        <f t="shared" si="0"/>
        <v>0</v>
      </c>
      <c r="K16" s="103">
        <f t="shared" si="0"/>
        <v>0</v>
      </c>
      <c r="L16" s="103">
        <f t="shared" si="0"/>
        <v>0</v>
      </c>
      <c r="M16" s="103">
        <f t="shared" si="0"/>
        <v>0</v>
      </c>
      <c r="N16" s="103">
        <f t="shared" si="0"/>
        <v>0</v>
      </c>
      <c r="O16" s="103">
        <f t="shared" si="0"/>
        <v>0</v>
      </c>
      <c r="P16" s="103">
        <f t="shared" si="0"/>
        <v>0</v>
      </c>
      <c r="Q16" s="103">
        <f t="shared" si="0"/>
        <v>0</v>
      </c>
      <c r="R16" s="103">
        <f t="shared" si="0"/>
        <v>0</v>
      </c>
      <c r="S16" s="103">
        <f t="shared" si="0"/>
        <v>0</v>
      </c>
      <c r="T16" s="103">
        <f t="shared" si="0"/>
        <v>0</v>
      </c>
      <c r="U16" s="103">
        <f t="shared" si="0"/>
        <v>0</v>
      </c>
      <c r="V16" s="103">
        <f t="shared" si="0"/>
        <v>0</v>
      </c>
      <c r="W16" s="103">
        <f t="shared" si="0"/>
        <v>0</v>
      </c>
      <c r="X16" s="103">
        <f t="shared" si="0"/>
        <v>0</v>
      </c>
      <c r="Y16" s="103">
        <f t="shared" si="0"/>
        <v>0</v>
      </c>
      <c r="Z16" s="103">
        <f t="shared" si="0"/>
        <v>0</v>
      </c>
      <c r="AA16" s="103">
        <f t="shared" si="0"/>
        <v>0</v>
      </c>
      <c r="AB16" s="103">
        <f t="shared" si="0"/>
        <v>0</v>
      </c>
      <c r="AC16" s="57">
        <f>SUM(D16:AB16)</f>
        <v>500</v>
      </c>
    </row>
    <row r="17" spans="1:29" x14ac:dyDescent="0.25">
      <c r="B17" s="73" t="s">
        <v>161</v>
      </c>
      <c r="C17" s="51"/>
      <c r="D17" s="103"/>
      <c r="E17" s="103"/>
      <c r="F17" s="103"/>
      <c r="G17" s="103"/>
      <c r="H17" s="103"/>
      <c r="I17" s="103"/>
      <c r="J17" s="103"/>
      <c r="K17" s="103"/>
      <c r="L17" s="103"/>
      <c r="M17" s="103"/>
      <c r="N17" s="103"/>
      <c r="O17" s="103"/>
      <c r="P17" s="103"/>
      <c r="Q17" s="103"/>
      <c r="R17" s="103"/>
      <c r="S17" s="103"/>
      <c r="T17" s="103"/>
      <c r="U17" s="103"/>
      <c r="V17" s="103"/>
      <c r="W17" s="103"/>
      <c r="X17" s="103"/>
      <c r="Y17" s="103">
        <f>E16</f>
        <v>100</v>
      </c>
      <c r="Z17" s="103">
        <f t="shared" ref="Z17:AB17" si="1">F16</f>
        <v>150</v>
      </c>
      <c r="AA17" s="103">
        <f t="shared" si="1"/>
        <v>150</v>
      </c>
      <c r="AB17" s="103">
        <f t="shared" si="1"/>
        <v>100</v>
      </c>
      <c r="AC17" s="57">
        <f>SUM(D17:AB17)</f>
        <v>500</v>
      </c>
    </row>
    <row r="18" spans="1:29" ht="19.149999999999999" customHeight="1" x14ac:dyDescent="0.25">
      <c r="B18" s="73" t="s">
        <v>162</v>
      </c>
      <c r="C18" s="51"/>
      <c r="D18" s="70"/>
      <c r="E18" s="70">
        <f>E16</f>
        <v>100</v>
      </c>
      <c r="F18" s="70">
        <f t="shared" ref="F18:AB18" si="2">F16+E18-F17</f>
        <v>250</v>
      </c>
      <c r="G18" s="70">
        <f t="shared" si="2"/>
        <v>400</v>
      </c>
      <c r="H18" s="70">
        <f t="shared" si="2"/>
        <v>500</v>
      </c>
      <c r="I18" s="70">
        <f t="shared" si="2"/>
        <v>500</v>
      </c>
      <c r="J18" s="70">
        <f t="shared" si="2"/>
        <v>500</v>
      </c>
      <c r="K18" s="70">
        <f t="shared" si="2"/>
        <v>500</v>
      </c>
      <c r="L18" s="70">
        <f t="shared" si="2"/>
        <v>500</v>
      </c>
      <c r="M18" s="70">
        <f t="shared" si="2"/>
        <v>500</v>
      </c>
      <c r="N18" s="70">
        <f t="shared" si="2"/>
        <v>500</v>
      </c>
      <c r="O18" s="70">
        <f t="shared" si="2"/>
        <v>500</v>
      </c>
      <c r="P18" s="70">
        <f t="shared" si="2"/>
        <v>500</v>
      </c>
      <c r="Q18" s="70">
        <f t="shared" si="2"/>
        <v>500</v>
      </c>
      <c r="R18" s="70">
        <f t="shared" si="2"/>
        <v>500</v>
      </c>
      <c r="S18" s="70">
        <f t="shared" si="2"/>
        <v>500</v>
      </c>
      <c r="T18" s="70">
        <f t="shared" si="2"/>
        <v>500</v>
      </c>
      <c r="U18" s="70">
        <f t="shared" si="2"/>
        <v>500</v>
      </c>
      <c r="V18" s="70">
        <f t="shared" si="2"/>
        <v>500</v>
      </c>
      <c r="W18" s="70">
        <f t="shared" si="2"/>
        <v>500</v>
      </c>
      <c r="X18" s="70">
        <f t="shared" si="2"/>
        <v>500</v>
      </c>
      <c r="Y18" s="70">
        <f t="shared" si="2"/>
        <v>400</v>
      </c>
      <c r="Z18" s="70">
        <f t="shared" si="2"/>
        <v>250</v>
      </c>
      <c r="AA18" s="70">
        <f t="shared" si="2"/>
        <v>100</v>
      </c>
      <c r="AB18" s="70">
        <f t="shared" si="2"/>
        <v>0</v>
      </c>
      <c r="AC18" s="57"/>
    </row>
    <row r="19" spans="1:29" ht="19.149999999999999" customHeight="1" x14ac:dyDescent="0.25">
      <c r="B19" s="67"/>
      <c r="AC19" s="92"/>
    </row>
    <row r="20" spans="1:29" ht="19.149999999999999" customHeight="1" x14ac:dyDescent="0.25">
      <c r="B20" s="105" t="s">
        <v>137</v>
      </c>
      <c r="AC20" s="92"/>
    </row>
    <row r="21" spans="1:29" ht="19.149999999999999" customHeight="1" x14ac:dyDescent="0.25">
      <c r="B21" t="s">
        <v>139</v>
      </c>
      <c r="AC21" s="92"/>
    </row>
    <row r="22" spans="1:29" ht="19.149999999999999" customHeight="1" x14ac:dyDescent="0.25">
      <c r="B22" s="263" t="s">
        <v>171</v>
      </c>
      <c r="C22" s="263"/>
      <c r="D22" s="263"/>
      <c r="E22" s="263"/>
      <c r="F22" s="263"/>
      <c r="G22" s="263"/>
      <c r="H22" s="263"/>
      <c r="AC22" s="92"/>
    </row>
    <row r="23" spans="1:29" ht="19.149999999999999" customHeight="1" x14ac:dyDescent="0.25">
      <c r="B23" s="263" t="s">
        <v>163</v>
      </c>
      <c r="C23" s="263"/>
      <c r="D23" s="263"/>
      <c r="E23" s="263"/>
      <c r="F23" s="263"/>
      <c r="G23" s="263"/>
      <c r="H23" s="263"/>
      <c r="I23" s="263"/>
      <c r="J23" s="263"/>
      <c r="AC23" s="92"/>
    </row>
    <row r="25" spans="1:29" x14ac:dyDescent="0.25">
      <c r="A25" s="70">
        <v>3</v>
      </c>
      <c r="B25" t="s">
        <v>146</v>
      </c>
      <c r="C25" s="107">
        <v>1</v>
      </c>
      <c r="D25" t="s">
        <v>90</v>
      </c>
    </row>
    <row r="26" spans="1:29" x14ac:dyDescent="0.25">
      <c r="B26" t="s">
        <v>91</v>
      </c>
      <c r="C26" s="107">
        <v>0</v>
      </c>
      <c r="D26" t="s">
        <v>90</v>
      </c>
    </row>
    <row r="27" spans="1:29" x14ac:dyDescent="0.25">
      <c r="B27" t="s">
        <v>147</v>
      </c>
      <c r="C27" s="75">
        <f>C25-C26</f>
        <v>1</v>
      </c>
    </row>
    <row r="28" spans="1:29" x14ac:dyDescent="0.25">
      <c r="C28" s="84"/>
    </row>
    <row r="29" spans="1:29" x14ac:dyDescent="0.25">
      <c r="B29" t="s">
        <v>164</v>
      </c>
      <c r="C29" s="107">
        <v>200</v>
      </c>
      <c r="D29" t="s">
        <v>12</v>
      </c>
      <c r="E29" t="s">
        <v>232</v>
      </c>
    </row>
    <row r="30" spans="1:29" x14ac:dyDescent="0.25">
      <c r="B30" t="s">
        <v>165</v>
      </c>
      <c r="C30" s="107">
        <v>400</v>
      </c>
      <c r="D30" t="s">
        <v>12</v>
      </c>
      <c r="E30" t="s">
        <v>220</v>
      </c>
    </row>
    <row r="31" spans="1:29" x14ac:dyDescent="0.25">
      <c r="C31" s="84"/>
    </row>
    <row r="32" spans="1:29" ht="17.45" customHeight="1" x14ac:dyDescent="0.25">
      <c r="C32" s="130" t="s">
        <v>21</v>
      </c>
      <c r="E32" s="68"/>
      <c r="F32" s="68"/>
      <c r="G32" s="68"/>
      <c r="H32" s="68"/>
      <c r="I32" s="68"/>
      <c r="J32" s="68"/>
      <c r="K32" s="68"/>
      <c r="L32" s="68"/>
    </row>
    <row r="33" spans="2:29" ht="17.45" customHeight="1" x14ac:dyDescent="0.25">
      <c r="B33" s="6" t="s">
        <v>111</v>
      </c>
      <c r="C33" s="111">
        <v>0</v>
      </c>
      <c r="E33" s="101"/>
      <c r="F33" s="101"/>
      <c r="G33" s="101"/>
      <c r="H33" s="101"/>
      <c r="I33" s="101"/>
      <c r="J33" s="101"/>
      <c r="K33" s="101"/>
      <c r="L33" s="101"/>
    </row>
    <row r="35" spans="2:29" x14ac:dyDescent="0.25">
      <c r="C35" s="78"/>
    </row>
    <row r="36" spans="2:29" x14ac:dyDescent="0.25">
      <c r="C36" s="78"/>
    </row>
    <row r="37" spans="2:29" x14ac:dyDescent="0.25">
      <c r="C37" s="78"/>
    </row>
    <row r="38" spans="2:29" x14ac:dyDescent="0.25">
      <c r="B38" s="108" t="s">
        <v>106</v>
      </c>
      <c r="C38" s="8" t="s">
        <v>22</v>
      </c>
      <c r="D38" s="16">
        <v>0</v>
      </c>
      <c r="E38" s="16">
        <v>1</v>
      </c>
      <c r="F38" s="16">
        <v>2</v>
      </c>
      <c r="G38" s="16">
        <v>3</v>
      </c>
      <c r="H38" s="16">
        <v>4</v>
      </c>
      <c r="I38" s="16">
        <v>5</v>
      </c>
      <c r="J38" s="16">
        <v>6</v>
      </c>
      <c r="K38" s="16">
        <v>7</v>
      </c>
      <c r="L38" s="16">
        <v>8</v>
      </c>
      <c r="M38" s="16">
        <v>9</v>
      </c>
      <c r="N38" s="16">
        <v>10</v>
      </c>
      <c r="O38" s="16">
        <v>11</v>
      </c>
      <c r="P38" s="16">
        <v>12</v>
      </c>
      <c r="Q38" s="16">
        <v>13</v>
      </c>
      <c r="R38" s="16">
        <v>14</v>
      </c>
      <c r="S38" s="16">
        <v>15</v>
      </c>
      <c r="T38" s="16">
        <v>16</v>
      </c>
      <c r="U38" s="16">
        <v>17</v>
      </c>
      <c r="V38" s="16">
        <v>18</v>
      </c>
      <c r="W38" s="16">
        <v>19</v>
      </c>
      <c r="X38" s="16">
        <v>20</v>
      </c>
      <c r="Y38" s="16">
        <v>21</v>
      </c>
      <c r="Z38" s="16">
        <v>22</v>
      </c>
      <c r="AA38" s="16">
        <v>23</v>
      </c>
      <c r="AB38" s="16">
        <v>24</v>
      </c>
      <c r="AC38" t="s">
        <v>133</v>
      </c>
    </row>
    <row r="39" spans="2:29" x14ac:dyDescent="0.25">
      <c r="B39" s="51" t="s">
        <v>95</v>
      </c>
      <c r="C39" s="51"/>
      <c r="D39" s="82"/>
      <c r="E39" s="82">
        <f>D44</f>
        <v>0</v>
      </c>
      <c r="F39" s="82">
        <f t="shared" ref="F39:AB39" si="3">E44</f>
        <v>0</v>
      </c>
      <c r="G39" s="82">
        <f t="shared" si="3"/>
        <v>0</v>
      </c>
      <c r="H39" s="82">
        <f t="shared" si="3"/>
        <v>0</v>
      </c>
      <c r="I39" s="82">
        <f t="shared" si="3"/>
        <v>0</v>
      </c>
      <c r="J39" s="112">
        <f t="shared" si="3"/>
        <v>0</v>
      </c>
      <c r="K39" s="82">
        <f t="shared" si="3"/>
        <v>0</v>
      </c>
      <c r="L39" s="82">
        <f t="shared" si="3"/>
        <v>0</v>
      </c>
      <c r="M39" s="82">
        <f t="shared" si="3"/>
        <v>0</v>
      </c>
      <c r="N39" s="82">
        <f t="shared" si="3"/>
        <v>0</v>
      </c>
      <c r="O39" s="82">
        <f t="shared" si="3"/>
        <v>0</v>
      </c>
      <c r="P39" s="82">
        <f t="shared" si="3"/>
        <v>0</v>
      </c>
      <c r="Q39" s="82">
        <f t="shared" si="3"/>
        <v>0</v>
      </c>
      <c r="R39" s="82">
        <f t="shared" si="3"/>
        <v>0</v>
      </c>
      <c r="S39" s="82">
        <f t="shared" si="3"/>
        <v>0</v>
      </c>
      <c r="T39" s="82">
        <f t="shared" si="3"/>
        <v>0</v>
      </c>
      <c r="U39" s="82">
        <f t="shared" si="3"/>
        <v>0</v>
      </c>
      <c r="V39" s="82">
        <f t="shared" si="3"/>
        <v>0</v>
      </c>
      <c r="W39" s="82">
        <f t="shared" si="3"/>
        <v>0</v>
      </c>
      <c r="X39" s="82">
        <f t="shared" si="3"/>
        <v>0</v>
      </c>
      <c r="Y39" s="82">
        <f t="shared" si="3"/>
        <v>0</v>
      </c>
      <c r="Z39" s="82">
        <f t="shared" si="3"/>
        <v>0</v>
      </c>
      <c r="AA39" s="82">
        <f t="shared" si="3"/>
        <v>0</v>
      </c>
      <c r="AB39" s="82">
        <f t="shared" si="3"/>
        <v>0</v>
      </c>
      <c r="AC39" s="98"/>
    </row>
    <row r="40" spans="2:29" x14ac:dyDescent="0.25">
      <c r="B40" s="74" t="s">
        <v>96</v>
      </c>
      <c r="C40" s="51"/>
      <c r="D40" s="81">
        <f t="shared" ref="D40:AB40" si="4">($C29+$C30)*D16</f>
        <v>0</v>
      </c>
      <c r="E40" s="81">
        <f t="shared" si="4"/>
        <v>60000</v>
      </c>
      <c r="F40" s="81">
        <f t="shared" si="4"/>
        <v>90000</v>
      </c>
      <c r="G40" s="81">
        <f t="shared" si="4"/>
        <v>90000</v>
      </c>
      <c r="H40" s="81">
        <f t="shared" si="4"/>
        <v>60000</v>
      </c>
      <c r="I40" s="81">
        <f t="shared" si="4"/>
        <v>0</v>
      </c>
      <c r="J40" s="81">
        <f t="shared" si="4"/>
        <v>0</v>
      </c>
      <c r="K40" s="81">
        <f t="shared" si="4"/>
        <v>0</v>
      </c>
      <c r="L40" s="81">
        <f t="shared" si="4"/>
        <v>0</v>
      </c>
      <c r="M40" s="81">
        <f t="shared" si="4"/>
        <v>0</v>
      </c>
      <c r="N40" s="81">
        <f t="shared" si="4"/>
        <v>0</v>
      </c>
      <c r="O40" s="81">
        <f t="shared" si="4"/>
        <v>0</v>
      </c>
      <c r="P40" s="81">
        <f t="shared" si="4"/>
        <v>0</v>
      </c>
      <c r="Q40" s="81">
        <f t="shared" si="4"/>
        <v>0</v>
      </c>
      <c r="R40" s="81">
        <f t="shared" si="4"/>
        <v>0</v>
      </c>
      <c r="S40" s="81">
        <f t="shared" si="4"/>
        <v>0</v>
      </c>
      <c r="T40" s="81">
        <f t="shared" si="4"/>
        <v>0</v>
      </c>
      <c r="U40" s="81">
        <f t="shared" si="4"/>
        <v>0</v>
      </c>
      <c r="V40" s="81">
        <f t="shared" si="4"/>
        <v>0</v>
      </c>
      <c r="W40" s="81">
        <f t="shared" si="4"/>
        <v>0</v>
      </c>
      <c r="X40" s="81">
        <f t="shared" si="4"/>
        <v>0</v>
      </c>
      <c r="Y40" s="81">
        <f t="shared" si="4"/>
        <v>0</v>
      </c>
      <c r="Z40" s="81">
        <f t="shared" si="4"/>
        <v>0</v>
      </c>
      <c r="AA40" s="81">
        <f t="shared" si="4"/>
        <v>0</v>
      </c>
      <c r="AB40" s="81">
        <f t="shared" si="4"/>
        <v>0</v>
      </c>
      <c r="AC40" s="98">
        <f>SUM(D40:AB40)</f>
        <v>300000</v>
      </c>
    </row>
    <row r="41" spans="2:29" x14ac:dyDescent="0.25">
      <c r="B41" s="51" t="s">
        <v>97</v>
      </c>
      <c r="C41" s="51"/>
      <c r="D41" s="82">
        <f t="shared" ref="D41" si="5">D39*$C134</f>
        <v>0</v>
      </c>
      <c r="E41" s="82">
        <f>(E39+E40)*$C134</f>
        <v>14400</v>
      </c>
      <c r="F41" s="82">
        <f t="shared" ref="F41:AB41" si="6">(F39+F40)*$C134</f>
        <v>21600</v>
      </c>
      <c r="G41" s="82">
        <f t="shared" si="6"/>
        <v>21600</v>
      </c>
      <c r="H41" s="82">
        <f t="shared" si="6"/>
        <v>14400</v>
      </c>
      <c r="I41" s="82">
        <f t="shared" si="6"/>
        <v>0</v>
      </c>
      <c r="J41" s="82">
        <f t="shared" si="6"/>
        <v>0</v>
      </c>
      <c r="K41" s="82">
        <f t="shared" si="6"/>
        <v>0</v>
      </c>
      <c r="L41" s="82">
        <f t="shared" si="6"/>
        <v>0</v>
      </c>
      <c r="M41" s="82">
        <f t="shared" si="6"/>
        <v>0</v>
      </c>
      <c r="N41" s="82">
        <f t="shared" si="6"/>
        <v>0</v>
      </c>
      <c r="O41" s="82">
        <f t="shared" si="6"/>
        <v>0</v>
      </c>
      <c r="P41" s="82">
        <f t="shared" si="6"/>
        <v>0</v>
      </c>
      <c r="Q41" s="82">
        <f t="shared" si="6"/>
        <v>0</v>
      </c>
      <c r="R41" s="82">
        <f t="shared" si="6"/>
        <v>0</v>
      </c>
      <c r="S41" s="82">
        <f t="shared" si="6"/>
        <v>0</v>
      </c>
      <c r="T41" s="82">
        <f t="shared" si="6"/>
        <v>0</v>
      </c>
      <c r="U41" s="82">
        <f t="shared" si="6"/>
        <v>0</v>
      </c>
      <c r="V41" s="82">
        <f t="shared" si="6"/>
        <v>0</v>
      </c>
      <c r="W41" s="82">
        <f t="shared" si="6"/>
        <v>0</v>
      </c>
      <c r="X41" s="82">
        <f t="shared" si="6"/>
        <v>0</v>
      </c>
      <c r="Y41" s="82">
        <f t="shared" si="6"/>
        <v>0</v>
      </c>
      <c r="Z41" s="82">
        <f t="shared" si="6"/>
        <v>0</v>
      </c>
      <c r="AA41" s="82">
        <f t="shared" si="6"/>
        <v>0</v>
      </c>
      <c r="AB41" s="82">
        <f t="shared" si="6"/>
        <v>0</v>
      </c>
      <c r="AC41" s="98">
        <f>SUM(D41:AB41)</f>
        <v>72000</v>
      </c>
    </row>
    <row r="42" spans="2:29" x14ac:dyDescent="0.25">
      <c r="B42" s="51" t="s">
        <v>99</v>
      </c>
      <c r="C42" s="51"/>
      <c r="D42" s="82">
        <v>0</v>
      </c>
      <c r="E42" s="82">
        <f>E40*$C27</f>
        <v>60000</v>
      </c>
      <c r="F42" s="82">
        <f t="shared" ref="F42:AB42" si="7">F40*$C27</f>
        <v>90000</v>
      </c>
      <c r="G42" s="82">
        <f t="shared" si="7"/>
        <v>90000</v>
      </c>
      <c r="H42" s="82">
        <f t="shared" si="7"/>
        <v>60000</v>
      </c>
      <c r="I42" s="82">
        <f t="shared" si="7"/>
        <v>0</v>
      </c>
      <c r="J42" s="82">
        <f t="shared" si="7"/>
        <v>0</v>
      </c>
      <c r="K42" s="82">
        <f t="shared" si="7"/>
        <v>0</v>
      </c>
      <c r="L42" s="82">
        <f t="shared" si="7"/>
        <v>0</v>
      </c>
      <c r="M42" s="82">
        <f t="shared" si="7"/>
        <v>0</v>
      </c>
      <c r="N42" s="82">
        <f t="shared" si="7"/>
        <v>0</v>
      </c>
      <c r="O42" s="82">
        <f t="shared" si="7"/>
        <v>0</v>
      </c>
      <c r="P42" s="82">
        <f t="shared" si="7"/>
        <v>0</v>
      </c>
      <c r="Q42" s="82">
        <f t="shared" si="7"/>
        <v>0</v>
      </c>
      <c r="R42" s="82">
        <f t="shared" si="7"/>
        <v>0</v>
      </c>
      <c r="S42" s="82">
        <f t="shared" si="7"/>
        <v>0</v>
      </c>
      <c r="T42" s="82">
        <f t="shared" si="7"/>
        <v>0</v>
      </c>
      <c r="U42" s="82">
        <f t="shared" si="7"/>
        <v>0</v>
      </c>
      <c r="V42" s="82">
        <f t="shared" si="7"/>
        <v>0</v>
      </c>
      <c r="W42" s="82">
        <f t="shared" si="7"/>
        <v>0</v>
      </c>
      <c r="X42" s="82">
        <f t="shared" si="7"/>
        <v>0</v>
      </c>
      <c r="Y42" s="82">
        <f t="shared" si="7"/>
        <v>0</v>
      </c>
      <c r="Z42" s="82">
        <f t="shared" si="7"/>
        <v>0</v>
      </c>
      <c r="AA42" s="82">
        <f t="shared" si="7"/>
        <v>0</v>
      </c>
      <c r="AB42" s="82">
        <f t="shared" si="7"/>
        <v>0</v>
      </c>
      <c r="AC42" s="98">
        <f>SUM(D42:AB42)</f>
        <v>300000</v>
      </c>
    </row>
    <row r="43" spans="2:29" x14ac:dyDescent="0.25">
      <c r="B43" s="51" t="s">
        <v>145</v>
      </c>
      <c r="C43" s="51"/>
      <c r="D43" s="82">
        <f>D41+D42</f>
        <v>0</v>
      </c>
      <c r="E43" s="82">
        <f>E41+E42</f>
        <v>74400</v>
      </c>
      <c r="F43" s="82">
        <f t="shared" ref="F43:AB43" si="8">F41+F42</f>
        <v>111600</v>
      </c>
      <c r="G43" s="82">
        <f t="shared" si="8"/>
        <v>111600</v>
      </c>
      <c r="H43" s="82">
        <f t="shared" si="8"/>
        <v>74400</v>
      </c>
      <c r="I43" s="82">
        <f t="shared" si="8"/>
        <v>0</v>
      </c>
      <c r="J43" s="112">
        <f t="shared" si="8"/>
        <v>0</v>
      </c>
      <c r="K43" s="82">
        <f t="shared" si="8"/>
        <v>0</v>
      </c>
      <c r="L43" s="82">
        <f t="shared" si="8"/>
        <v>0</v>
      </c>
      <c r="M43" s="82">
        <f t="shared" si="8"/>
        <v>0</v>
      </c>
      <c r="N43" s="82">
        <f t="shared" si="8"/>
        <v>0</v>
      </c>
      <c r="O43" s="82">
        <f t="shared" si="8"/>
        <v>0</v>
      </c>
      <c r="P43" s="82">
        <f t="shared" si="8"/>
        <v>0</v>
      </c>
      <c r="Q43" s="82">
        <f t="shared" si="8"/>
        <v>0</v>
      </c>
      <c r="R43" s="82">
        <f t="shared" si="8"/>
        <v>0</v>
      </c>
      <c r="S43" s="82">
        <f t="shared" si="8"/>
        <v>0</v>
      </c>
      <c r="T43" s="82">
        <f t="shared" si="8"/>
        <v>0</v>
      </c>
      <c r="U43" s="82">
        <f t="shared" si="8"/>
        <v>0</v>
      </c>
      <c r="V43" s="82">
        <f t="shared" si="8"/>
        <v>0</v>
      </c>
      <c r="W43" s="82">
        <f t="shared" si="8"/>
        <v>0</v>
      </c>
      <c r="X43" s="82">
        <f t="shared" si="8"/>
        <v>0</v>
      </c>
      <c r="Y43" s="82">
        <f t="shared" si="8"/>
        <v>0</v>
      </c>
      <c r="Z43" s="82">
        <f t="shared" si="8"/>
        <v>0</v>
      </c>
      <c r="AA43" s="82">
        <f t="shared" si="8"/>
        <v>0</v>
      </c>
      <c r="AB43" s="82">
        <f t="shared" si="8"/>
        <v>0</v>
      </c>
      <c r="AC43" s="98">
        <f>SUM(D43:AB43)</f>
        <v>372000</v>
      </c>
    </row>
    <row r="44" spans="2:29" x14ac:dyDescent="0.25">
      <c r="B44" s="51" t="s">
        <v>98</v>
      </c>
      <c r="C44" s="51"/>
      <c r="D44" s="82">
        <f>D39+D40-D43</f>
        <v>0</v>
      </c>
      <c r="E44" s="82">
        <f>E39+E40-E43+E41</f>
        <v>0</v>
      </c>
      <c r="F44" s="82">
        <f t="shared" ref="F44:AB44" si="9">F39+F40-F43+F41</f>
        <v>0</v>
      </c>
      <c r="G44" s="82">
        <f t="shared" si="9"/>
        <v>0</v>
      </c>
      <c r="H44" s="82">
        <f t="shared" si="9"/>
        <v>0</v>
      </c>
      <c r="I44" s="82">
        <f t="shared" si="9"/>
        <v>0</v>
      </c>
      <c r="J44" s="112">
        <f t="shared" si="9"/>
        <v>0</v>
      </c>
      <c r="K44" s="82">
        <f t="shared" si="9"/>
        <v>0</v>
      </c>
      <c r="L44" s="82">
        <f t="shared" si="9"/>
        <v>0</v>
      </c>
      <c r="M44" s="82">
        <f t="shared" si="9"/>
        <v>0</v>
      </c>
      <c r="N44" s="82">
        <f t="shared" si="9"/>
        <v>0</v>
      </c>
      <c r="O44" s="82">
        <f t="shared" si="9"/>
        <v>0</v>
      </c>
      <c r="P44" s="82">
        <f t="shared" si="9"/>
        <v>0</v>
      </c>
      <c r="Q44" s="82">
        <f t="shared" si="9"/>
        <v>0</v>
      </c>
      <c r="R44" s="82">
        <f t="shared" si="9"/>
        <v>0</v>
      </c>
      <c r="S44" s="82">
        <f t="shared" si="9"/>
        <v>0</v>
      </c>
      <c r="T44" s="82">
        <f t="shared" si="9"/>
        <v>0</v>
      </c>
      <c r="U44" s="82">
        <f t="shared" si="9"/>
        <v>0</v>
      </c>
      <c r="V44" s="82">
        <f t="shared" si="9"/>
        <v>0</v>
      </c>
      <c r="W44" s="82">
        <f t="shared" si="9"/>
        <v>0</v>
      </c>
      <c r="X44" s="82">
        <f t="shared" si="9"/>
        <v>0</v>
      </c>
      <c r="Y44" s="82">
        <f t="shared" si="9"/>
        <v>0</v>
      </c>
      <c r="Z44" s="82">
        <f t="shared" si="9"/>
        <v>0</v>
      </c>
      <c r="AA44" s="82">
        <f t="shared" si="9"/>
        <v>0</v>
      </c>
      <c r="AB44" s="82">
        <f t="shared" si="9"/>
        <v>0</v>
      </c>
      <c r="AC44" s="98"/>
    </row>
    <row r="45" spans="2:29" x14ac:dyDescent="0.25">
      <c r="C45" s="78"/>
    </row>
    <row r="46" spans="2:29" x14ac:dyDescent="0.25">
      <c r="B46" s="47"/>
      <c r="C46" s="78"/>
    </row>
    <row r="47" spans="2:29" x14ac:dyDescent="0.25">
      <c r="B47" s="47"/>
      <c r="C47" s="78"/>
    </row>
    <row r="48" spans="2:29" x14ac:dyDescent="0.25">
      <c r="B48" s="108" t="s">
        <v>105</v>
      </c>
      <c r="C48" s="8" t="s">
        <v>22</v>
      </c>
      <c r="D48" s="16">
        <v>0</v>
      </c>
      <c r="E48" s="16">
        <v>1</v>
      </c>
      <c r="F48" s="16">
        <v>2</v>
      </c>
      <c r="G48" s="16">
        <v>3</v>
      </c>
      <c r="H48" s="16">
        <v>4</v>
      </c>
      <c r="I48" s="16">
        <v>5</v>
      </c>
      <c r="J48" s="16">
        <v>6</v>
      </c>
      <c r="K48" s="16">
        <v>7</v>
      </c>
      <c r="L48" s="16">
        <v>8</v>
      </c>
      <c r="M48" s="16">
        <v>9</v>
      </c>
      <c r="N48" s="16">
        <v>10</v>
      </c>
      <c r="O48" s="16">
        <v>11</v>
      </c>
      <c r="P48" s="16">
        <v>12</v>
      </c>
      <c r="Q48" s="16">
        <v>13</v>
      </c>
      <c r="R48" s="16">
        <v>14</v>
      </c>
      <c r="S48" s="16">
        <v>15</v>
      </c>
      <c r="T48" s="16">
        <v>16</v>
      </c>
      <c r="U48" s="16">
        <v>17</v>
      </c>
      <c r="V48" s="16">
        <v>18</v>
      </c>
      <c r="W48" s="16">
        <v>19</v>
      </c>
      <c r="X48" s="16">
        <v>20</v>
      </c>
      <c r="Y48" s="16">
        <v>21</v>
      </c>
      <c r="Z48" s="16">
        <v>22</v>
      </c>
      <c r="AA48" s="16">
        <v>23</v>
      </c>
      <c r="AB48" s="16">
        <v>24</v>
      </c>
      <c r="AC48" t="s">
        <v>133</v>
      </c>
    </row>
    <row r="49" spans="2:29" x14ac:dyDescent="0.25">
      <c r="B49" s="51" t="s">
        <v>95</v>
      </c>
      <c r="C49" s="51"/>
      <c r="D49" s="82"/>
      <c r="E49" s="82">
        <f>D54</f>
        <v>0</v>
      </c>
      <c r="F49" s="82">
        <f t="shared" ref="F49:AB49" si="10">E54</f>
        <v>0</v>
      </c>
      <c r="G49" s="82">
        <f t="shared" si="10"/>
        <v>0</v>
      </c>
      <c r="H49" s="82">
        <f t="shared" si="10"/>
        <v>0</v>
      </c>
      <c r="I49" s="82">
        <f t="shared" si="10"/>
        <v>0</v>
      </c>
      <c r="J49" s="112">
        <f t="shared" si="10"/>
        <v>0</v>
      </c>
      <c r="K49" s="82">
        <f t="shared" si="10"/>
        <v>0</v>
      </c>
      <c r="L49" s="82">
        <f t="shared" si="10"/>
        <v>0</v>
      </c>
      <c r="M49" s="82">
        <f t="shared" si="10"/>
        <v>0</v>
      </c>
      <c r="N49" s="82">
        <f t="shared" si="10"/>
        <v>0</v>
      </c>
      <c r="O49" s="82">
        <f t="shared" si="10"/>
        <v>0</v>
      </c>
      <c r="P49" s="82">
        <f t="shared" si="10"/>
        <v>0</v>
      </c>
      <c r="Q49" s="82">
        <f t="shared" si="10"/>
        <v>0</v>
      </c>
      <c r="R49" s="82">
        <f t="shared" si="10"/>
        <v>0</v>
      </c>
      <c r="S49" s="82">
        <f t="shared" si="10"/>
        <v>0</v>
      </c>
      <c r="T49" s="82">
        <f t="shared" si="10"/>
        <v>0</v>
      </c>
      <c r="U49" s="82">
        <f t="shared" si="10"/>
        <v>0</v>
      </c>
      <c r="V49" s="82">
        <f t="shared" si="10"/>
        <v>0</v>
      </c>
      <c r="W49" s="82">
        <f t="shared" si="10"/>
        <v>0</v>
      </c>
      <c r="X49" s="82">
        <f t="shared" si="10"/>
        <v>0</v>
      </c>
      <c r="Y49" s="82">
        <f t="shared" si="10"/>
        <v>0</v>
      </c>
      <c r="Z49" s="82">
        <f t="shared" si="10"/>
        <v>0</v>
      </c>
      <c r="AA49" s="82">
        <f t="shared" si="10"/>
        <v>0</v>
      </c>
      <c r="AB49" s="82">
        <f t="shared" si="10"/>
        <v>0</v>
      </c>
      <c r="AC49" s="98"/>
    </row>
    <row r="50" spans="2:29" x14ac:dyDescent="0.25">
      <c r="B50" s="74" t="s">
        <v>96</v>
      </c>
      <c r="C50" s="51"/>
      <c r="D50" s="81">
        <f t="shared" ref="D50:AB50" si="11">$C29*D16</f>
        <v>0</v>
      </c>
      <c r="E50" s="81">
        <f t="shared" si="11"/>
        <v>20000</v>
      </c>
      <c r="F50" s="81">
        <f t="shared" si="11"/>
        <v>30000</v>
      </c>
      <c r="G50" s="81">
        <f t="shared" si="11"/>
        <v>30000</v>
      </c>
      <c r="H50" s="81">
        <f t="shared" si="11"/>
        <v>20000</v>
      </c>
      <c r="I50" s="81">
        <f t="shared" si="11"/>
        <v>0</v>
      </c>
      <c r="J50" s="81">
        <f t="shared" si="11"/>
        <v>0</v>
      </c>
      <c r="K50" s="81">
        <f t="shared" si="11"/>
        <v>0</v>
      </c>
      <c r="L50" s="81">
        <f t="shared" si="11"/>
        <v>0</v>
      </c>
      <c r="M50" s="81">
        <f t="shared" si="11"/>
        <v>0</v>
      </c>
      <c r="N50" s="81">
        <f t="shared" si="11"/>
        <v>0</v>
      </c>
      <c r="O50" s="81">
        <f t="shared" si="11"/>
        <v>0</v>
      </c>
      <c r="P50" s="81">
        <f t="shared" si="11"/>
        <v>0</v>
      </c>
      <c r="Q50" s="81">
        <f t="shared" si="11"/>
        <v>0</v>
      </c>
      <c r="R50" s="81">
        <f t="shared" si="11"/>
        <v>0</v>
      </c>
      <c r="S50" s="81">
        <f t="shared" si="11"/>
        <v>0</v>
      </c>
      <c r="T50" s="81">
        <f t="shared" si="11"/>
        <v>0</v>
      </c>
      <c r="U50" s="81">
        <f t="shared" si="11"/>
        <v>0</v>
      </c>
      <c r="V50" s="81">
        <f t="shared" si="11"/>
        <v>0</v>
      </c>
      <c r="W50" s="81">
        <f t="shared" si="11"/>
        <v>0</v>
      </c>
      <c r="X50" s="81">
        <f t="shared" si="11"/>
        <v>0</v>
      </c>
      <c r="Y50" s="81">
        <f t="shared" si="11"/>
        <v>0</v>
      </c>
      <c r="Z50" s="81">
        <f t="shared" si="11"/>
        <v>0</v>
      </c>
      <c r="AA50" s="81">
        <f t="shared" si="11"/>
        <v>0</v>
      </c>
      <c r="AB50" s="81">
        <f t="shared" si="11"/>
        <v>0</v>
      </c>
      <c r="AC50" s="98">
        <f>SUM(D50:AB50)</f>
        <v>100000</v>
      </c>
    </row>
    <row r="51" spans="2:29" x14ac:dyDescent="0.25">
      <c r="B51" s="51" t="s">
        <v>97</v>
      </c>
      <c r="C51" s="51"/>
      <c r="D51" s="82">
        <v>0</v>
      </c>
      <c r="E51" s="82">
        <f>(E49+E50)*$C134</f>
        <v>4800</v>
      </c>
      <c r="F51" s="82">
        <f t="shared" ref="F51:AB51" si="12">(F49+F50)*$C134</f>
        <v>7200</v>
      </c>
      <c r="G51" s="82">
        <f t="shared" si="12"/>
        <v>7200</v>
      </c>
      <c r="H51" s="82">
        <f t="shared" si="12"/>
        <v>4800</v>
      </c>
      <c r="I51" s="82">
        <f t="shared" si="12"/>
        <v>0</v>
      </c>
      <c r="J51" s="82">
        <f t="shared" si="12"/>
        <v>0</v>
      </c>
      <c r="K51" s="82">
        <f t="shared" si="12"/>
        <v>0</v>
      </c>
      <c r="L51" s="82">
        <f t="shared" si="12"/>
        <v>0</v>
      </c>
      <c r="M51" s="82">
        <f t="shared" si="12"/>
        <v>0</v>
      </c>
      <c r="N51" s="82">
        <f t="shared" si="12"/>
        <v>0</v>
      </c>
      <c r="O51" s="82">
        <f t="shared" si="12"/>
        <v>0</v>
      </c>
      <c r="P51" s="82">
        <f t="shared" si="12"/>
        <v>0</v>
      </c>
      <c r="Q51" s="82">
        <f t="shared" si="12"/>
        <v>0</v>
      </c>
      <c r="R51" s="82">
        <f t="shared" si="12"/>
        <v>0</v>
      </c>
      <c r="S51" s="82">
        <f t="shared" si="12"/>
        <v>0</v>
      </c>
      <c r="T51" s="82">
        <f t="shared" si="12"/>
        <v>0</v>
      </c>
      <c r="U51" s="82">
        <f t="shared" si="12"/>
        <v>0</v>
      </c>
      <c r="V51" s="82">
        <f t="shared" si="12"/>
        <v>0</v>
      </c>
      <c r="W51" s="82">
        <f t="shared" si="12"/>
        <v>0</v>
      </c>
      <c r="X51" s="82">
        <f t="shared" si="12"/>
        <v>0</v>
      </c>
      <c r="Y51" s="82">
        <f t="shared" si="12"/>
        <v>0</v>
      </c>
      <c r="Z51" s="82">
        <f t="shared" si="12"/>
        <v>0</v>
      </c>
      <c r="AA51" s="82">
        <f t="shared" si="12"/>
        <v>0</v>
      </c>
      <c r="AB51" s="82">
        <f t="shared" si="12"/>
        <v>0</v>
      </c>
      <c r="AC51" s="98">
        <f>SUM(D51:AB51)</f>
        <v>24000</v>
      </c>
    </row>
    <row r="52" spans="2:29" x14ac:dyDescent="0.25">
      <c r="B52" s="51" t="s">
        <v>99</v>
      </c>
      <c r="C52" s="51"/>
      <c r="D52" s="82">
        <v>0</v>
      </c>
      <c r="E52" s="82">
        <f>E50*$C27</f>
        <v>20000</v>
      </c>
      <c r="F52" s="82">
        <f t="shared" ref="F52:AB52" si="13">F50*$C27</f>
        <v>30000</v>
      </c>
      <c r="G52" s="82">
        <f t="shared" si="13"/>
        <v>30000</v>
      </c>
      <c r="H52" s="82">
        <f t="shared" si="13"/>
        <v>20000</v>
      </c>
      <c r="I52" s="82">
        <f t="shared" si="13"/>
        <v>0</v>
      </c>
      <c r="J52" s="82">
        <f t="shared" si="13"/>
        <v>0</v>
      </c>
      <c r="K52" s="82">
        <f t="shared" si="13"/>
        <v>0</v>
      </c>
      <c r="L52" s="82">
        <f t="shared" si="13"/>
        <v>0</v>
      </c>
      <c r="M52" s="82">
        <f t="shared" si="13"/>
        <v>0</v>
      </c>
      <c r="N52" s="82">
        <f t="shared" si="13"/>
        <v>0</v>
      </c>
      <c r="O52" s="82">
        <f t="shared" si="13"/>
        <v>0</v>
      </c>
      <c r="P52" s="82">
        <f t="shared" si="13"/>
        <v>0</v>
      </c>
      <c r="Q52" s="82">
        <f t="shared" si="13"/>
        <v>0</v>
      </c>
      <c r="R52" s="82">
        <f t="shared" si="13"/>
        <v>0</v>
      </c>
      <c r="S52" s="82">
        <f t="shared" si="13"/>
        <v>0</v>
      </c>
      <c r="T52" s="82">
        <f t="shared" si="13"/>
        <v>0</v>
      </c>
      <c r="U52" s="82">
        <f t="shared" si="13"/>
        <v>0</v>
      </c>
      <c r="V52" s="82">
        <f t="shared" si="13"/>
        <v>0</v>
      </c>
      <c r="W52" s="82">
        <f t="shared" si="13"/>
        <v>0</v>
      </c>
      <c r="X52" s="82">
        <f t="shared" si="13"/>
        <v>0</v>
      </c>
      <c r="Y52" s="82">
        <f t="shared" si="13"/>
        <v>0</v>
      </c>
      <c r="Z52" s="82">
        <f t="shared" si="13"/>
        <v>0</v>
      </c>
      <c r="AA52" s="82">
        <f t="shared" si="13"/>
        <v>0</v>
      </c>
      <c r="AB52" s="82">
        <f t="shared" si="13"/>
        <v>0</v>
      </c>
      <c r="AC52" s="98">
        <f>SUM(D52:AB52)</f>
        <v>100000</v>
      </c>
    </row>
    <row r="53" spans="2:29" x14ac:dyDescent="0.25">
      <c r="B53" s="51" t="s">
        <v>145</v>
      </c>
      <c r="C53" s="51"/>
      <c r="D53" s="82">
        <f>D51+D52</f>
        <v>0</v>
      </c>
      <c r="E53" s="82">
        <f t="shared" ref="E53:AB53" si="14">E51+E52</f>
        <v>24800</v>
      </c>
      <c r="F53" s="82">
        <f t="shared" si="14"/>
        <v>37200</v>
      </c>
      <c r="G53" s="82">
        <f t="shared" si="14"/>
        <v>37200</v>
      </c>
      <c r="H53" s="82">
        <f t="shared" si="14"/>
        <v>24800</v>
      </c>
      <c r="I53" s="82">
        <f t="shared" si="14"/>
        <v>0</v>
      </c>
      <c r="J53" s="112">
        <f t="shared" si="14"/>
        <v>0</v>
      </c>
      <c r="K53" s="82">
        <f t="shared" si="14"/>
        <v>0</v>
      </c>
      <c r="L53" s="82">
        <f t="shared" si="14"/>
        <v>0</v>
      </c>
      <c r="M53" s="82">
        <f t="shared" si="14"/>
        <v>0</v>
      </c>
      <c r="N53" s="82">
        <f t="shared" si="14"/>
        <v>0</v>
      </c>
      <c r="O53" s="82">
        <f t="shared" si="14"/>
        <v>0</v>
      </c>
      <c r="P53" s="82">
        <f t="shared" si="14"/>
        <v>0</v>
      </c>
      <c r="Q53" s="82">
        <f t="shared" si="14"/>
        <v>0</v>
      </c>
      <c r="R53" s="82">
        <f t="shared" si="14"/>
        <v>0</v>
      </c>
      <c r="S53" s="82">
        <f t="shared" si="14"/>
        <v>0</v>
      </c>
      <c r="T53" s="82">
        <f t="shared" si="14"/>
        <v>0</v>
      </c>
      <c r="U53" s="82">
        <f t="shared" si="14"/>
        <v>0</v>
      </c>
      <c r="V53" s="82">
        <f t="shared" si="14"/>
        <v>0</v>
      </c>
      <c r="W53" s="82">
        <f t="shared" si="14"/>
        <v>0</v>
      </c>
      <c r="X53" s="82">
        <f t="shared" si="14"/>
        <v>0</v>
      </c>
      <c r="Y53" s="82">
        <f t="shared" si="14"/>
        <v>0</v>
      </c>
      <c r="Z53" s="82">
        <f t="shared" si="14"/>
        <v>0</v>
      </c>
      <c r="AA53" s="82">
        <f t="shared" si="14"/>
        <v>0</v>
      </c>
      <c r="AB53" s="82">
        <f t="shared" si="14"/>
        <v>0</v>
      </c>
      <c r="AC53" s="98">
        <f>SUM(D53:AB53)</f>
        <v>124000</v>
      </c>
    </row>
    <row r="54" spans="2:29" x14ac:dyDescent="0.25">
      <c r="B54" s="51" t="s">
        <v>98</v>
      </c>
      <c r="C54" s="51"/>
      <c r="D54" s="82">
        <f>D49+D50-D53</f>
        <v>0</v>
      </c>
      <c r="E54" s="82">
        <f>E49+E50-E53+E51</f>
        <v>0</v>
      </c>
      <c r="F54" s="82">
        <f t="shared" ref="F54:AB54" si="15">F49+F50-F53+F51</f>
        <v>0</v>
      </c>
      <c r="G54" s="82">
        <f t="shared" si="15"/>
        <v>0</v>
      </c>
      <c r="H54" s="82">
        <f t="shared" si="15"/>
        <v>0</v>
      </c>
      <c r="I54" s="82">
        <f t="shared" si="15"/>
        <v>0</v>
      </c>
      <c r="J54" s="112">
        <f t="shared" si="15"/>
        <v>0</v>
      </c>
      <c r="K54" s="82">
        <f t="shared" si="15"/>
        <v>0</v>
      </c>
      <c r="L54" s="82">
        <f t="shared" si="15"/>
        <v>0</v>
      </c>
      <c r="M54" s="82">
        <f t="shared" si="15"/>
        <v>0</v>
      </c>
      <c r="N54" s="82">
        <f t="shared" si="15"/>
        <v>0</v>
      </c>
      <c r="O54" s="82">
        <f t="shared" si="15"/>
        <v>0</v>
      </c>
      <c r="P54" s="82">
        <f t="shared" si="15"/>
        <v>0</v>
      </c>
      <c r="Q54" s="82">
        <f t="shared" si="15"/>
        <v>0</v>
      </c>
      <c r="R54" s="82">
        <f t="shared" si="15"/>
        <v>0</v>
      </c>
      <c r="S54" s="82">
        <f t="shared" si="15"/>
        <v>0</v>
      </c>
      <c r="T54" s="82">
        <f t="shared" si="15"/>
        <v>0</v>
      </c>
      <c r="U54" s="82">
        <f t="shared" si="15"/>
        <v>0</v>
      </c>
      <c r="V54" s="82">
        <f t="shared" si="15"/>
        <v>0</v>
      </c>
      <c r="W54" s="82">
        <f t="shared" si="15"/>
        <v>0</v>
      </c>
      <c r="X54" s="82">
        <f t="shared" si="15"/>
        <v>0</v>
      </c>
      <c r="Y54" s="82">
        <f t="shared" si="15"/>
        <v>0</v>
      </c>
      <c r="Z54" s="82">
        <f t="shared" si="15"/>
        <v>0</v>
      </c>
      <c r="AA54" s="82">
        <f t="shared" si="15"/>
        <v>0</v>
      </c>
      <c r="AB54" s="82">
        <f t="shared" si="15"/>
        <v>0</v>
      </c>
      <c r="AC54" s="98"/>
    </row>
    <row r="55" spans="2:29" x14ac:dyDescent="0.25">
      <c r="C55" s="79"/>
      <c r="D55" s="80"/>
      <c r="E55" s="80"/>
      <c r="F55" s="80"/>
      <c r="G55" s="80"/>
      <c r="H55" s="80"/>
      <c r="I55" s="80"/>
      <c r="J55" s="80"/>
      <c r="K55" s="80"/>
      <c r="L55" s="80"/>
      <c r="M55" s="80"/>
      <c r="N55" s="80"/>
      <c r="O55" s="80"/>
      <c r="P55" s="80"/>
      <c r="Q55" s="80"/>
      <c r="R55" s="80"/>
      <c r="S55" s="80"/>
      <c r="T55" s="80"/>
      <c r="U55" s="80"/>
      <c r="V55" s="80"/>
      <c r="W55" s="80"/>
    </row>
    <row r="56" spans="2:29" hidden="1" x14ac:dyDescent="0.25">
      <c r="B56" s="47" t="s">
        <v>100</v>
      </c>
      <c r="C56" s="78"/>
      <c r="T56" s="80"/>
      <c r="U56" s="80"/>
      <c r="V56" s="80"/>
      <c r="W56" s="80"/>
    </row>
    <row r="57" spans="2:29" hidden="1" x14ac:dyDescent="0.25">
      <c r="B57" s="47"/>
      <c r="C57" s="78"/>
      <c r="T57" s="80"/>
      <c r="U57" s="80"/>
      <c r="V57" s="80"/>
      <c r="W57" s="80"/>
    </row>
    <row r="58" spans="2:29" hidden="1" x14ac:dyDescent="0.25">
      <c r="B58" s="108" t="s">
        <v>105</v>
      </c>
      <c r="C58" s="8" t="s">
        <v>22</v>
      </c>
      <c r="D58" s="16">
        <v>0</v>
      </c>
      <c r="E58" s="16">
        <v>1</v>
      </c>
      <c r="F58" s="16">
        <v>2</v>
      </c>
      <c r="G58" s="16">
        <v>3</v>
      </c>
      <c r="H58" s="16">
        <v>4</v>
      </c>
      <c r="I58" s="16">
        <v>5</v>
      </c>
      <c r="J58" s="16">
        <v>6</v>
      </c>
      <c r="K58" s="16">
        <v>7</v>
      </c>
      <c r="L58" s="16">
        <v>8</v>
      </c>
      <c r="M58" s="16">
        <v>9</v>
      </c>
      <c r="N58" s="16">
        <v>10</v>
      </c>
      <c r="O58" s="16">
        <v>11</v>
      </c>
      <c r="P58" s="16">
        <v>12</v>
      </c>
      <c r="Q58" s="16">
        <v>13</v>
      </c>
      <c r="R58" s="16">
        <v>14</v>
      </c>
      <c r="S58" s="16">
        <v>15</v>
      </c>
      <c r="T58" s="16">
        <v>16</v>
      </c>
      <c r="U58" s="16">
        <v>17</v>
      </c>
      <c r="V58" s="16">
        <v>18</v>
      </c>
      <c r="W58" s="16">
        <v>19</v>
      </c>
      <c r="X58" s="16">
        <v>20</v>
      </c>
      <c r="Y58" s="16">
        <v>21</v>
      </c>
      <c r="Z58" s="16">
        <v>22</v>
      </c>
      <c r="AA58" s="16">
        <v>23</v>
      </c>
      <c r="AB58" s="16">
        <v>24</v>
      </c>
    </row>
    <row r="59" spans="2:29" hidden="1" x14ac:dyDescent="0.25">
      <c r="B59" s="51" t="s">
        <v>95</v>
      </c>
      <c r="C59" s="51"/>
      <c r="D59" s="82"/>
      <c r="E59" s="82">
        <f>D64</f>
        <v>0</v>
      </c>
      <c r="F59" s="82">
        <f t="shared" ref="F59:AB59" si="16">E64</f>
        <v>-18000</v>
      </c>
      <c r="G59" s="82">
        <f t="shared" si="16"/>
        <v>-45000</v>
      </c>
      <c r="H59" s="82">
        <f t="shared" si="16"/>
        <v>-71000</v>
      </c>
      <c r="I59" s="82">
        <f t="shared" si="16"/>
        <v>-90000</v>
      </c>
      <c r="J59" s="112">
        <f t="shared" si="16"/>
        <v>-90000</v>
      </c>
      <c r="K59" s="82">
        <f t="shared" si="16"/>
        <v>-90000</v>
      </c>
      <c r="L59" s="82">
        <f t="shared" si="16"/>
        <v>-90000</v>
      </c>
      <c r="M59" s="82">
        <f t="shared" si="16"/>
        <v>-90000</v>
      </c>
      <c r="N59" s="82">
        <f t="shared" si="16"/>
        <v>-90000</v>
      </c>
      <c r="O59" s="82">
        <f t="shared" si="16"/>
        <v>-90000</v>
      </c>
      <c r="P59" s="82">
        <f t="shared" si="16"/>
        <v>-90000</v>
      </c>
      <c r="Q59" s="82">
        <f t="shared" si="16"/>
        <v>-90000</v>
      </c>
      <c r="R59" s="82">
        <f t="shared" si="16"/>
        <v>-90000</v>
      </c>
      <c r="S59" s="82">
        <f t="shared" si="16"/>
        <v>-90000</v>
      </c>
      <c r="T59" s="82">
        <f t="shared" si="16"/>
        <v>-90000</v>
      </c>
      <c r="U59" s="82">
        <f t="shared" si="16"/>
        <v>-90000</v>
      </c>
      <c r="V59" s="82">
        <f t="shared" si="16"/>
        <v>-90000</v>
      </c>
      <c r="W59" s="82">
        <f t="shared" si="16"/>
        <v>-90000</v>
      </c>
      <c r="X59" s="82">
        <f t="shared" si="16"/>
        <v>-90000</v>
      </c>
      <c r="Y59" s="82">
        <f t="shared" si="16"/>
        <v>-90000</v>
      </c>
      <c r="Z59" s="82">
        <f t="shared" si="16"/>
        <v>-90000</v>
      </c>
      <c r="AA59" s="82">
        <f t="shared" si="16"/>
        <v>-90000</v>
      </c>
      <c r="AB59" s="82">
        <f t="shared" si="16"/>
        <v>-90000</v>
      </c>
      <c r="AC59" s="98"/>
    </row>
    <row r="60" spans="2:29" hidden="1" x14ac:dyDescent="0.25">
      <c r="B60" s="74" t="s">
        <v>96</v>
      </c>
      <c r="C60" s="51"/>
      <c r="D60" s="81">
        <f t="shared" ref="D60:AB60" si="17">$C29*D6</f>
        <v>0</v>
      </c>
      <c r="E60" s="81">
        <f t="shared" si="17"/>
        <v>2000</v>
      </c>
      <c r="F60" s="81">
        <f t="shared" si="17"/>
        <v>3000</v>
      </c>
      <c r="G60" s="81">
        <f t="shared" si="17"/>
        <v>4000</v>
      </c>
      <c r="H60" s="81">
        <f t="shared" si="17"/>
        <v>1000</v>
      </c>
      <c r="I60" s="81">
        <f t="shared" si="17"/>
        <v>0</v>
      </c>
      <c r="J60" s="81">
        <f t="shared" si="17"/>
        <v>0</v>
      </c>
      <c r="K60" s="81">
        <f t="shared" si="17"/>
        <v>0</v>
      </c>
      <c r="L60" s="81">
        <f t="shared" si="17"/>
        <v>0</v>
      </c>
      <c r="M60" s="81">
        <f t="shared" si="17"/>
        <v>0</v>
      </c>
      <c r="N60" s="81">
        <f t="shared" si="17"/>
        <v>0</v>
      </c>
      <c r="O60" s="81">
        <f t="shared" si="17"/>
        <v>0</v>
      </c>
      <c r="P60" s="81">
        <f t="shared" si="17"/>
        <v>0</v>
      </c>
      <c r="Q60" s="81">
        <f t="shared" si="17"/>
        <v>0</v>
      </c>
      <c r="R60" s="81">
        <f t="shared" si="17"/>
        <v>0</v>
      </c>
      <c r="S60" s="81">
        <f t="shared" si="17"/>
        <v>0</v>
      </c>
      <c r="T60" s="81">
        <f t="shared" si="17"/>
        <v>0</v>
      </c>
      <c r="U60" s="81">
        <f t="shared" si="17"/>
        <v>0</v>
      </c>
      <c r="V60" s="81">
        <f t="shared" si="17"/>
        <v>0</v>
      </c>
      <c r="W60" s="81">
        <f t="shared" si="17"/>
        <v>0</v>
      </c>
      <c r="X60" s="81">
        <f t="shared" si="17"/>
        <v>0</v>
      </c>
      <c r="Y60" s="81">
        <f t="shared" si="17"/>
        <v>0</v>
      </c>
      <c r="Z60" s="81">
        <f t="shared" si="17"/>
        <v>0</v>
      </c>
      <c r="AA60" s="81">
        <f t="shared" si="17"/>
        <v>0</v>
      </c>
      <c r="AB60" s="81">
        <f t="shared" si="17"/>
        <v>0</v>
      </c>
      <c r="AC60" s="98">
        <f>SUM(D60:AB60)</f>
        <v>10000</v>
      </c>
    </row>
    <row r="61" spans="2:29" hidden="1" x14ac:dyDescent="0.25">
      <c r="B61" s="51" t="s">
        <v>97</v>
      </c>
      <c r="C61" s="51"/>
      <c r="D61" s="82">
        <v>0</v>
      </c>
      <c r="E61" s="82">
        <f t="shared" ref="E61:AB61" si="18">E59*$C134</f>
        <v>0</v>
      </c>
      <c r="F61" s="82">
        <f t="shared" si="18"/>
        <v>-4320</v>
      </c>
      <c r="G61" s="82">
        <f t="shared" si="18"/>
        <v>-10800</v>
      </c>
      <c r="H61" s="82">
        <f t="shared" si="18"/>
        <v>-17040</v>
      </c>
      <c r="I61" s="82">
        <f t="shared" si="18"/>
        <v>-21600</v>
      </c>
      <c r="J61" s="82">
        <f t="shared" si="18"/>
        <v>-21600</v>
      </c>
      <c r="K61" s="82">
        <f t="shared" si="18"/>
        <v>-21600</v>
      </c>
      <c r="L61" s="82">
        <f t="shared" si="18"/>
        <v>-21600</v>
      </c>
      <c r="M61" s="82">
        <f t="shared" si="18"/>
        <v>-21600</v>
      </c>
      <c r="N61" s="82">
        <f t="shared" si="18"/>
        <v>-21600</v>
      </c>
      <c r="O61" s="82">
        <f t="shared" si="18"/>
        <v>-21600</v>
      </c>
      <c r="P61" s="82">
        <f t="shared" si="18"/>
        <v>-21600</v>
      </c>
      <c r="Q61" s="82">
        <f t="shared" si="18"/>
        <v>-21600</v>
      </c>
      <c r="R61" s="82">
        <f t="shared" si="18"/>
        <v>-21600</v>
      </c>
      <c r="S61" s="82">
        <f t="shared" si="18"/>
        <v>-21600</v>
      </c>
      <c r="T61" s="82">
        <f t="shared" si="18"/>
        <v>-21600</v>
      </c>
      <c r="U61" s="82">
        <f t="shared" si="18"/>
        <v>-21600</v>
      </c>
      <c r="V61" s="82">
        <f t="shared" si="18"/>
        <v>-21600</v>
      </c>
      <c r="W61" s="82">
        <f t="shared" si="18"/>
        <v>-21600</v>
      </c>
      <c r="X61" s="82">
        <f t="shared" si="18"/>
        <v>-21600</v>
      </c>
      <c r="Y61" s="82">
        <f t="shared" si="18"/>
        <v>-21600</v>
      </c>
      <c r="Z61" s="82">
        <f t="shared" si="18"/>
        <v>-21600</v>
      </c>
      <c r="AA61" s="82">
        <f t="shared" si="18"/>
        <v>-21600</v>
      </c>
      <c r="AB61" s="82">
        <f t="shared" si="18"/>
        <v>-21600</v>
      </c>
      <c r="AC61" s="98">
        <f>SUM(D61:AB61)</f>
        <v>-464160</v>
      </c>
    </row>
    <row r="62" spans="2:29" hidden="1" x14ac:dyDescent="0.25">
      <c r="B62" s="51" t="s">
        <v>99</v>
      </c>
      <c r="C62" s="51"/>
      <c r="D62" s="82">
        <f>D52</f>
        <v>0</v>
      </c>
      <c r="E62" s="82">
        <f t="shared" ref="E62:AB62" si="19">E52</f>
        <v>20000</v>
      </c>
      <c r="F62" s="82">
        <f t="shared" si="19"/>
        <v>30000</v>
      </c>
      <c r="G62" s="82">
        <f t="shared" si="19"/>
        <v>30000</v>
      </c>
      <c r="H62" s="82">
        <f t="shared" si="19"/>
        <v>20000</v>
      </c>
      <c r="I62" s="82">
        <f t="shared" si="19"/>
        <v>0</v>
      </c>
      <c r="J62" s="82">
        <f t="shared" si="19"/>
        <v>0</v>
      </c>
      <c r="K62" s="82">
        <f t="shared" si="19"/>
        <v>0</v>
      </c>
      <c r="L62" s="82">
        <f t="shared" si="19"/>
        <v>0</v>
      </c>
      <c r="M62" s="82">
        <f t="shared" si="19"/>
        <v>0</v>
      </c>
      <c r="N62" s="82">
        <f t="shared" si="19"/>
        <v>0</v>
      </c>
      <c r="O62" s="82">
        <f t="shared" si="19"/>
        <v>0</v>
      </c>
      <c r="P62" s="82">
        <f t="shared" si="19"/>
        <v>0</v>
      </c>
      <c r="Q62" s="82">
        <f t="shared" si="19"/>
        <v>0</v>
      </c>
      <c r="R62" s="82">
        <f t="shared" si="19"/>
        <v>0</v>
      </c>
      <c r="S62" s="82">
        <f t="shared" si="19"/>
        <v>0</v>
      </c>
      <c r="T62" s="82">
        <f t="shared" si="19"/>
        <v>0</v>
      </c>
      <c r="U62" s="82">
        <f t="shared" si="19"/>
        <v>0</v>
      </c>
      <c r="V62" s="82">
        <f t="shared" si="19"/>
        <v>0</v>
      </c>
      <c r="W62" s="82">
        <f t="shared" si="19"/>
        <v>0</v>
      </c>
      <c r="X62" s="82">
        <f t="shared" si="19"/>
        <v>0</v>
      </c>
      <c r="Y62" s="82">
        <f t="shared" si="19"/>
        <v>0</v>
      </c>
      <c r="Z62" s="82">
        <f t="shared" si="19"/>
        <v>0</v>
      </c>
      <c r="AA62" s="82">
        <f t="shared" si="19"/>
        <v>0</v>
      </c>
      <c r="AB62" s="82">
        <f t="shared" si="19"/>
        <v>0</v>
      </c>
      <c r="AC62" s="98">
        <f>SUM(D62:AB62)</f>
        <v>100000</v>
      </c>
    </row>
    <row r="63" spans="2:29" hidden="1" x14ac:dyDescent="0.25">
      <c r="B63" s="51" t="s">
        <v>145</v>
      </c>
      <c r="C63" s="51"/>
      <c r="D63" s="82">
        <f>D61+D62</f>
        <v>0</v>
      </c>
      <c r="E63" s="82">
        <f t="shared" ref="E63:AB63" si="20">E61+E62</f>
        <v>20000</v>
      </c>
      <c r="F63" s="82">
        <f t="shared" si="20"/>
        <v>25680</v>
      </c>
      <c r="G63" s="82">
        <f t="shared" si="20"/>
        <v>19200</v>
      </c>
      <c r="H63" s="82">
        <f t="shared" si="20"/>
        <v>2960</v>
      </c>
      <c r="I63" s="82">
        <f t="shared" si="20"/>
        <v>-21600</v>
      </c>
      <c r="J63" s="112">
        <f t="shared" si="20"/>
        <v>-21600</v>
      </c>
      <c r="K63" s="82">
        <f t="shared" si="20"/>
        <v>-21600</v>
      </c>
      <c r="L63" s="82">
        <f t="shared" si="20"/>
        <v>-21600</v>
      </c>
      <c r="M63" s="82">
        <f t="shared" si="20"/>
        <v>-21600</v>
      </c>
      <c r="N63" s="82">
        <f t="shared" si="20"/>
        <v>-21600</v>
      </c>
      <c r="O63" s="82">
        <f t="shared" si="20"/>
        <v>-21600</v>
      </c>
      <c r="P63" s="82">
        <f t="shared" si="20"/>
        <v>-21600</v>
      </c>
      <c r="Q63" s="82">
        <f t="shared" si="20"/>
        <v>-21600</v>
      </c>
      <c r="R63" s="82">
        <f t="shared" si="20"/>
        <v>-21600</v>
      </c>
      <c r="S63" s="82">
        <f t="shared" si="20"/>
        <v>-21600</v>
      </c>
      <c r="T63" s="82">
        <f t="shared" si="20"/>
        <v>-21600</v>
      </c>
      <c r="U63" s="82">
        <f t="shared" si="20"/>
        <v>-21600</v>
      </c>
      <c r="V63" s="82">
        <f t="shared" si="20"/>
        <v>-21600</v>
      </c>
      <c r="W63" s="82">
        <f t="shared" si="20"/>
        <v>-21600</v>
      </c>
      <c r="X63" s="82">
        <f t="shared" si="20"/>
        <v>-21600</v>
      </c>
      <c r="Y63" s="82">
        <f t="shared" si="20"/>
        <v>-21600</v>
      </c>
      <c r="Z63" s="82">
        <f t="shared" si="20"/>
        <v>-21600</v>
      </c>
      <c r="AA63" s="82">
        <f t="shared" si="20"/>
        <v>-21600</v>
      </c>
      <c r="AB63" s="82">
        <f t="shared" si="20"/>
        <v>-21600</v>
      </c>
      <c r="AC63" s="98">
        <f>SUM(D63:AB63)</f>
        <v>-364160</v>
      </c>
    </row>
    <row r="64" spans="2:29" hidden="1" x14ac:dyDescent="0.25">
      <c r="B64" s="51" t="s">
        <v>98</v>
      </c>
      <c r="C64" s="51"/>
      <c r="D64" s="82">
        <f>D59+D60-D63</f>
        <v>0</v>
      </c>
      <c r="E64" s="82">
        <f>E59+E60-E63+E61</f>
        <v>-18000</v>
      </c>
      <c r="F64" s="82">
        <f t="shared" ref="F64:AB64" si="21">F59+F60-F63+F61</f>
        <v>-45000</v>
      </c>
      <c r="G64" s="82">
        <f t="shared" si="21"/>
        <v>-71000</v>
      </c>
      <c r="H64" s="82">
        <f t="shared" si="21"/>
        <v>-90000</v>
      </c>
      <c r="I64" s="82">
        <f t="shared" si="21"/>
        <v>-90000</v>
      </c>
      <c r="J64" s="112">
        <f t="shared" si="21"/>
        <v>-90000</v>
      </c>
      <c r="K64" s="82">
        <f t="shared" si="21"/>
        <v>-90000</v>
      </c>
      <c r="L64" s="82">
        <f t="shared" si="21"/>
        <v>-90000</v>
      </c>
      <c r="M64" s="82">
        <f t="shared" si="21"/>
        <v>-90000</v>
      </c>
      <c r="N64" s="82">
        <f t="shared" si="21"/>
        <v>-90000</v>
      </c>
      <c r="O64" s="82">
        <f t="shared" si="21"/>
        <v>-90000</v>
      </c>
      <c r="P64" s="82">
        <f t="shared" si="21"/>
        <v>-90000</v>
      </c>
      <c r="Q64" s="82">
        <f t="shared" si="21"/>
        <v>-90000</v>
      </c>
      <c r="R64" s="82">
        <f t="shared" si="21"/>
        <v>-90000</v>
      </c>
      <c r="S64" s="82">
        <f t="shared" si="21"/>
        <v>-90000</v>
      </c>
      <c r="T64" s="82">
        <f t="shared" si="21"/>
        <v>-90000</v>
      </c>
      <c r="U64" s="82">
        <f t="shared" si="21"/>
        <v>-90000</v>
      </c>
      <c r="V64" s="82">
        <f t="shared" si="21"/>
        <v>-90000</v>
      </c>
      <c r="W64" s="82">
        <f t="shared" si="21"/>
        <v>-90000</v>
      </c>
      <c r="X64" s="82">
        <f t="shared" si="21"/>
        <v>-90000</v>
      </c>
      <c r="Y64" s="82">
        <f t="shared" si="21"/>
        <v>-90000</v>
      </c>
      <c r="Z64" s="82">
        <f t="shared" si="21"/>
        <v>-90000</v>
      </c>
      <c r="AA64" s="82">
        <f t="shared" si="21"/>
        <v>-90000</v>
      </c>
      <c r="AB64" s="82">
        <f t="shared" si="21"/>
        <v>-90000</v>
      </c>
      <c r="AC64" s="98"/>
    </row>
    <row r="65" spans="1:29" hidden="1" x14ac:dyDescent="0.25">
      <c r="B65" s="108"/>
      <c r="C65" s="8"/>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9" hidden="1" x14ac:dyDescent="0.25">
      <c r="B66" s="47" t="s">
        <v>101</v>
      </c>
      <c r="C66" s="78"/>
      <c r="T66" s="80"/>
      <c r="U66" s="80"/>
      <c r="V66" s="80"/>
      <c r="W66" s="80"/>
    </row>
    <row r="67" spans="1:29" hidden="1" x14ac:dyDescent="0.25">
      <c r="B67" s="108" t="s">
        <v>105</v>
      </c>
      <c r="C67" s="78"/>
      <c r="T67" s="80"/>
      <c r="U67" s="80"/>
      <c r="V67" s="80"/>
      <c r="W67" s="80"/>
    </row>
    <row r="68" spans="1:29" hidden="1" x14ac:dyDescent="0.25">
      <c r="B68" s="51" t="s">
        <v>95</v>
      </c>
      <c r="C68" s="51"/>
      <c r="D68" s="82"/>
      <c r="E68" s="82">
        <f>D73</f>
        <v>0</v>
      </c>
      <c r="F68" s="82">
        <f t="shared" ref="F68:AB68" si="22">E73</f>
        <v>-18000</v>
      </c>
      <c r="G68" s="82">
        <f t="shared" si="22"/>
        <v>-45000</v>
      </c>
      <c r="H68" s="82">
        <f t="shared" si="22"/>
        <v>-71000</v>
      </c>
      <c r="I68" s="82">
        <f t="shared" si="22"/>
        <v>-90000</v>
      </c>
      <c r="J68" s="112">
        <f t="shared" si="22"/>
        <v>-90000</v>
      </c>
      <c r="K68" s="82">
        <f t="shared" si="22"/>
        <v>-90000</v>
      </c>
      <c r="L68" s="82">
        <f t="shared" si="22"/>
        <v>-90000</v>
      </c>
      <c r="M68" s="82">
        <f t="shared" si="22"/>
        <v>-90000</v>
      </c>
      <c r="N68" s="82">
        <f t="shared" si="22"/>
        <v>-90000</v>
      </c>
      <c r="O68" s="82">
        <f t="shared" si="22"/>
        <v>-90000</v>
      </c>
      <c r="P68" s="82">
        <f t="shared" si="22"/>
        <v>-90000</v>
      </c>
      <c r="Q68" s="82">
        <f t="shared" si="22"/>
        <v>-90000</v>
      </c>
      <c r="R68" s="82">
        <f t="shared" si="22"/>
        <v>-90000</v>
      </c>
      <c r="S68" s="82">
        <f t="shared" si="22"/>
        <v>-90000</v>
      </c>
      <c r="T68" s="82">
        <f t="shared" si="22"/>
        <v>-90000</v>
      </c>
      <c r="U68" s="82">
        <f t="shared" si="22"/>
        <v>-90000</v>
      </c>
      <c r="V68" s="82">
        <f t="shared" si="22"/>
        <v>-90000</v>
      </c>
      <c r="W68" s="82">
        <f t="shared" si="22"/>
        <v>-90000</v>
      </c>
      <c r="X68" s="82">
        <f t="shared" si="22"/>
        <v>-90000</v>
      </c>
      <c r="Y68" s="82">
        <f t="shared" si="22"/>
        <v>-90000</v>
      </c>
      <c r="Z68" s="82">
        <f t="shared" si="22"/>
        <v>-90000</v>
      </c>
      <c r="AA68" s="82">
        <f t="shared" si="22"/>
        <v>-90000</v>
      </c>
      <c r="AB68" s="82">
        <f t="shared" si="22"/>
        <v>-90000</v>
      </c>
      <c r="AC68" s="98"/>
    </row>
    <row r="69" spans="1:29" hidden="1" x14ac:dyDescent="0.25">
      <c r="B69" s="74" t="s">
        <v>96</v>
      </c>
      <c r="C69" s="51"/>
      <c r="D69" s="81">
        <f>$C60*D47</f>
        <v>0</v>
      </c>
      <c r="E69" s="81">
        <f t="shared" ref="E69:AB69" si="23">$C29*E6</f>
        <v>2000</v>
      </c>
      <c r="F69" s="81">
        <f t="shared" si="23"/>
        <v>3000</v>
      </c>
      <c r="G69" s="81">
        <f t="shared" si="23"/>
        <v>4000</v>
      </c>
      <c r="H69" s="81">
        <f t="shared" si="23"/>
        <v>1000</v>
      </c>
      <c r="I69" s="81">
        <f t="shared" si="23"/>
        <v>0</v>
      </c>
      <c r="J69" s="81">
        <f t="shared" si="23"/>
        <v>0</v>
      </c>
      <c r="K69" s="81">
        <f t="shared" si="23"/>
        <v>0</v>
      </c>
      <c r="L69" s="81">
        <f t="shared" si="23"/>
        <v>0</v>
      </c>
      <c r="M69" s="81">
        <f t="shared" si="23"/>
        <v>0</v>
      </c>
      <c r="N69" s="81">
        <f t="shared" si="23"/>
        <v>0</v>
      </c>
      <c r="O69" s="81">
        <f t="shared" si="23"/>
        <v>0</v>
      </c>
      <c r="P69" s="81">
        <f t="shared" si="23"/>
        <v>0</v>
      </c>
      <c r="Q69" s="81">
        <f t="shared" si="23"/>
        <v>0</v>
      </c>
      <c r="R69" s="81">
        <f t="shared" si="23"/>
        <v>0</v>
      </c>
      <c r="S69" s="81">
        <f t="shared" si="23"/>
        <v>0</v>
      </c>
      <c r="T69" s="81">
        <f t="shared" si="23"/>
        <v>0</v>
      </c>
      <c r="U69" s="81">
        <f t="shared" si="23"/>
        <v>0</v>
      </c>
      <c r="V69" s="81">
        <f t="shared" si="23"/>
        <v>0</v>
      </c>
      <c r="W69" s="81">
        <f t="shared" si="23"/>
        <v>0</v>
      </c>
      <c r="X69" s="81">
        <f t="shared" si="23"/>
        <v>0</v>
      </c>
      <c r="Y69" s="81">
        <f t="shared" si="23"/>
        <v>0</v>
      </c>
      <c r="Z69" s="81">
        <f t="shared" si="23"/>
        <v>0</v>
      </c>
      <c r="AA69" s="81">
        <f t="shared" si="23"/>
        <v>0</v>
      </c>
      <c r="AB69" s="81">
        <f t="shared" si="23"/>
        <v>0</v>
      </c>
      <c r="AC69" s="98">
        <f>SUM(D69:AB69)</f>
        <v>10000</v>
      </c>
    </row>
    <row r="70" spans="1:29" hidden="1" x14ac:dyDescent="0.25">
      <c r="B70" s="51" t="s">
        <v>97</v>
      </c>
      <c r="C70" s="51"/>
      <c r="D70" s="82">
        <v>0</v>
      </c>
      <c r="E70" s="82">
        <f t="shared" ref="E70:AB70" si="24">E68*$C134</f>
        <v>0</v>
      </c>
      <c r="F70" s="82">
        <f t="shared" si="24"/>
        <v>-4320</v>
      </c>
      <c r="G70" s="82">
        <f t="shared" si="24"/>
        <v>-10800</v>
      </c>
      <c r="H70" s="82">
        <f t="shared" si="24"/>
        <v>-17040</v>
      </c>
      <c r="I70" s="82">
        <f t="shared" si="24"/>
        <v>-21600</v>
      </c>
      <c r="J70" s="82">
        <f t="shared" si="24"/>
        <v>-21600</v>
      </c>
      <c r="K70" s="82">
        <f t="shared" si="24"/>
        <v>-21600</v>
      </c>
      <c r="L70" s="82">
        <f t="shared" si="24"/>
        <v>-21600</v>
      </c>
      <c r="M70" s="82">
        <f t="shared" si="24"/>
        <v>-21600</v>
      </c>
      <c r="N70" s="82">
        <f t="shared" si="24"/>
        <v>-21600</v>
      </c>
      <c r="O70" s="82">
        <f t="shared" si="24"/>
        <v>-21600</v>
      </c>
      <c r="P70" s="82">
        <f t="shared" si="24"/>
        <v>-21600</v>
      </c>
      <c r="Q70" s="82">
        <f t="shared" si="24"/>
        <v>-21600</v>
      </c>
      <c r="R70" s="82">
        <f t="shared" si="24"/>
        <v>-21600</v>
      </c>
      <c r="S70" s="82">
        <f t="shared" si="24"/>
        <v>-21600</v>
      </c>
      <c r="T70" s="82">
        <f t="shared" si="24"/>
        <v>-21600</v>
      </c>
      <c r="U70" s="82">
        <f t="shared" si="24"/>
        <v>-21600</v>
      </c>
      <c r="V70" s="82">
        <f t="shared" si="24"/>
        <v>-21600</v>
      </c>
      <c r="W70" s="82">
        <f t="shared" si="24"/>
        <v>-21600</v>
      </c>
      <c r="X70" s="82">
        <f t="shared" si="24"/>
        <v>-21600</v>
      </c>
      <c r="Y70" s="82">
        <f t="shared" si="24"/>
        <v>-21600</v>
      </c>
      <c r="Z70" s="82">
        <f t="shared" si="24"/>
        <v>-21600</v>
      </c>
      <c r="AA70" s="82">
        <f t="shared" si="24"/>
        <v>-21600</v>
      </c>
      <c r="AB70" s="82">
        <f t="shared" si="24"/>
        <v>-21600</v>
      </c>
      <c r="AC70" s="98">
        <f>SUM(D70:AB70)</f>
        <v>-464160</v>
      </c>
    </row>
    <row r="71" spans="1:29" hidden="1" x14ac:dyDescent="0.25">
      <c r="B71" s="51" t="s">
        <v>99</v>
      </c>
      <c r="C71" s="51"/>
      <c r="D71" s="82">
        <v>0</v>
      </c>
      <c r="E71" s="82">
        <f>E62</f>
        <v>20000</v>
      </c>
      <c r="F71" s="82">
        <f t="shared" ref="F71:AB71" si="25">F62</f>
        <v>30000</v>
      </c>
      <c r="G71" s="82">
        <f t="shared" si="25"/>
        <v>30000</v>
      </c>
      <c r="H71" s="82">
        <f t="shared" si="25"/>
        <v>20000</v>
      </c>
      <c r="I71" s="82">
        <f t="shared" si="25"/>
        <v>0</v>
      </c>
      <c r="J71" s="82">
        <f t="shared" si="25"/>
        <v>0</v>
      </c>
      <c r="K71" s="82">
        <f t="shared" si="25"/>
        <v>0</v>
      </c>
      <c r="L71" s="82">
        <f t="shared" si="25"/>
        <v>0</v>
      </c>
      <c r="M71" s="82">
        <f t="shared" si="25"/>
        <v>0</v>
      </c>
      <c r="N71" s="82">
        <f t="shared" si="25"/>
        <v>0</v>
      </c>
      <c r="O71" s="82">
        <f t="shared" si="25"/>
        <v>0</v>
      </c>
      <c r="P71" s="82">
        <f t="shared" si="25"/>
        <v>0</v>
      </c>
      <c r="Q71" s="82">
        <f t="shared" si="25"/>
        <v>0</v>
      </c>
      <c r="R71" s="82">
        <f t="shared" si="25"/>
        <v>0</v>
      </c>
      <c r="S71" s="82">
        <f t="shared" si="25"/>
        <v>0</v>
      </c>
      <c r="T71" s="82">
        <f t="shared" si="25"/>
        <v>0</v>
      </c>
      <c r="U71" s="82">
        <f t="shared" si="25"/>
        <v>0</v>
      </c>
      <c r="V71" s="82">
        <f t="shared" si="25"/>
        <v>0</v>
      </c>
      <c r="W71" s="82">
        <f t="shared" si="25"/>
        <v>0</v>
      </c>
      <c r="X71" s="82">
        <f t="shared" si="25"/>
        <v>0</v>
      </c>
      <c r="Y71" s="82">
        <f t="shared" si="25"/>
        <v>0</v>
      </c>
      <c r="Z71" s="82">
        <f t="shared" si="25"/>
        <v>0</v>
      </c>
      <c r="AA71" s="82">
        <f t="shared" si="25"/>
        <v>0</v>
      </c>
      <c r="AB71" s="82">
        <f t="shared" si="25"/>
        <v>0</v>
      </c>
      <c r="AC71" s="98">
        <f>SUM(D71:AB71)</f>
        <v>100000</v>
      </c>
    </row>
    <row r="72" spans="1:29" hidden="1" x14ac:dyDescent="0.25">
      <c r="B72" s="51" t="s">
        <v>145</v>
      </c>
      <c r="C72" s="51"/>
      <c r="D72" s="82">
        <f>D70+D71</f>
        <v>0</v>
      </c>
      <c r="E72" s="82">
        <f t="shared" ref="E72:AB72" si="26">E70+E71</f>
        <v>20000</v>
      </c>
      <c r="F72" s="82">
        <f t="shared" si="26"/>
        <v>25680</v>
      </c>
      <c r="G72" s="82">
        <f t="shared" si="26"/>
        <v>19200</v>
      </c>
      <c r="H72" s="82">
        <f t="shared" si="26"/>
        <v>2960</v>
      </c>
      <c r="I72" s="82">
        <f t="shared" si="26"/>
        <v>-21600</v>
      </c>
      <c r="J72" s="112">
        <f t="shared" si="26"/>
        <v>-21600</v>
      </c>
      <c r="K72" s="82">
        <f t="shared" si="26"/>
        <v>-21600</v>
      </c>
      <c r="L72" s="82">
        <f t="shared" si="26"/>
        <v>-21600</v>
      </c>
      <c r="M72" s="82">
        <f t="shared" si="26"/>
        <v>-21600</v>
      </c>
      <c r="N72" s="82">
        <f t="shared" si="26"/>
        <v>-21600</v>
      </c>
      <c r="O72" s="82">
        <f t="shared" si="26"/>
        <v>-21600</v>
      </c>
      <c r="P72" s="82">
        <f t="shared" si="26"/>
        <v>-21600</v>
      </c>
      <c r="Q72" s="82">
        <f t="shared" si="26"/>
        <v>-21600</v>
      </c>
      <c r="R72" s="82">
        <f t="shared" si="26"/>
        <v>-21600</v>
      </c>
      <c r="S72" s="82">
        <f t="shared" si="26"/>
        <v>-21600</v>
      </c>
      <c r="T72" s="82">
        <f t="shared" si="26"/>
        <v>-21600</v>
      </c>
      <c r="U72" s="82">
        <f t="shared" si="26"/>
        <v>-21600</v>
      </c>
      <c r="V72" s="82">
        <f t="shared" si="26"/>
        <v>-21600</v>
      </c>
      <c r="W72" s="82">
        <f t="shared" si="26"/>
        <v>-21600</v>
      </c>
      <c r="X72" s="82">
        <f t="shared" si="26"/>
        <v>-21600</v>
      </c>
      <c r="Y72" s="82">
        <f t="shared" si="26"/>
        <v>-21600</v>
      </c>
      <c r="Z72" s="82">
        <f t="shared" si="26"/>
        <v>-21600</v>
      </c>
      <c r="AA72" s="82">
        <f t="shared" si="26"/>
        <v>-21600</v>
      </c>
      <c r="AB72" s="82">
        <f t="shared" si="26"/>
        <v>-21600</v>
      </c>
      <c r="AC72" s="98">
        <f>SUM(D72:AB72)</f>
        <v>-364160</v>
      </c>
    </row>
    <row r="73" spans="1:29" hidden="1" x14ac:dyDescent="0.25">
      <c r="B73" s="51" t="s">
        <v>98</v>
      </c>
      <c r="C73" s="51"/>
      <c r="D73" s="82">
        <f>D68+D69-D72</f>
        <v>0</v>
      </c>
      <c r="E73" s="82">
        <f>E68+E69-E72+E70</f>
        <v>-18000</v>
      </c>
      <c r="F73" s="82">
        <f t="shared" ref="F73:AB73" si="27">F68+F69-F72+F70</f>
        <v>-45000</v>
      </c>
      <c r="G73" s="82">
        <f t="shared" si="27"/>
        <v>-71000</v>
      </c>
      <c r="H73" s="82">
        <f t="shared" si="27"/>
        <v>-90000</v>
      </c>
      <c r="I73" s="82">
        <f t="shared" si="27"/>
        <v>-90000</v>
      </c>
      <c r="J73" s="112">
        <f t="shared" si="27"/>
        <v>-90000</v>
      </c>
      <c r="K73" s="82">
        <f t="shared" si="27"/>
        <v>-90000</v>
      </c>
      <c r="L73" s="82">
        <f t="shared" si="27"/>
        <v>-90000</v>
      </c>
      <c r="M73" s="82">
        <f t="shared" si="27"/>
        <v>-90000</v>
      </c>
      <c r="N73" s="82">
        <f t="shared" si="27"/>
        <v>-90000</v>
      </c>
      <c r="O73" s="82">
        <f t="shared" si="27"/>
        <v>-90000</v>
      </c>
      <c r="P73" s="82">
        <f t="shared" si="27"/>
        <v>-90000</v>
      </c>
      <c r="Q73" s="82">
        <f t="shared" si="27"/>
        <v>-90000</v>
      </c>
      <c r="R73" s="82">
        <f t="shared" si="27"/>
        <v>-90000</v>
      </c>
      <c r="S73" s="82">
        <f t="shared" si="27"/>
        <v>-90000</v>
      </c>
      <c r="T73" s="82">
        <f t="shared" si="27"/>
        <v>-90000</v>
      </c>
      <c r="U73" s="82">
        <f t="shared" si="27"/>
        <v>-90000</v>
      </c>
      <c r="V73" s="82">
        <f t="shared" si="27"/>
        <v>-90000</v>
      </c>
      <c r="W73" s="82">
        <f t="shared" si="27"/>
        <v>-90000</v>
      </c>
      <c r="X73" s="82">
        <f t="shared" si="27"/>
        <v>-90000</v>
      </c>
      <c r="Y73" s="82">
        <f t="shared" si="27"/>
        <v>-90000</v>
      </c>
      <c r="Z73" s="82">
        <f t="shared" si="27"/>
        <v>-90000</v>
      </c>
      <c r="AA73" s="82">
        <f t="shared" si="27"/>
        <v>-90000</v>
      </c>
      <c r="AB73" s="82">
        <f t="shared" si="27"/>
        <v>-90000</v>
      </c>
      <c r="AC73" s="98"/>
    </row>
    <row r="74" spans="1:29" x14ac:dyDescent="0.25">
      <c r="B74" s="47"/>
      <c r="C74" s="78"/>
      <c r="T74" s="80"/>
      <c r="U74" s="80"/>
      <c r="V74" s="80"/>
      <c r="W74" s="80"/>
    </row>
    <row r="75" spans="1:29" x14ac:dyDescent="0.25">
      <c r="D75" s="80"/>
      <c r="E75" s="80"/>
      <c r="F75" s="80"/>
      <c r="G75" s="80"/>
      <c r="H75" s="80"/>
      <c r="I75" s="80"/>
      <c r="J75" s="80"/>
      <c r="K75" s="80"/>
      <c r="L75" s="80"/>
      <c r="M75" s="80"/>
      <c r="N75" s="80"/>
      <c r="O75" s="80"/>
      <c r="P75" s="80"/>
      <c r="Q75" s="80"/>
      <c r="R75" s="80"/>
      <c r="S75" s="80"/>
      <c r="T75" s="80"/>
      <c r="U75" s="80"/>
      <c r="V75" s="80"/>
      <c r="W75" s="80"/>
    </row>
    <row r="76" spans="1:29" x14ac:dyDescent="0.25">
      <c r="A76" s="70">
        <v>4</v>
      </c>
      <c r="B76" s="47" t="s">
        <v>142</v>
      </c>
      <c r="C76" s="151">
        <f>Assumption_Hatchery!C76</f>
        <v>0.09</v>
      </c>
      <c r="D76" s="80"/>
      <c r="E76" s="80"/>
      <c r="F76" s="80"/>
      <c r="G76" s="80"/>
      <c r="H76" s="80"/>
      <c r="I76" s="80"/>
      <c r="J76" s="80"/>
      <c r="K76" s="80"/>
      <c r="L76" s="80"/>
      <c r="M76" s="80"/>
      <c r="N76" s="80"/>
      <c r="O76" s="80"/>
      <c r="P76" s="80"/>
      <c r="Q76" s="80"/>
      <c r="R76" s="80"/>
      <c r="S76" s="80"/>
      <c r="T76" s="80"/>
      <c r="U76" s="80"/>
      <c r="V76" s="80"/>
      <c r="W76" s="80"/>
    </row>
    <row r="77" spans="1:29" x14ac:dyDescent="0.25">
      <c r="A77" s="100"/>
      <c r="C77" s="78"/>
      <c r="D77" s="80"/>
      <c r="E77" s="80"/>
      <c r="F77" s="80"/>
      <c r="G77" s="80"/>
      <c r="H77" s="80"/>
      <c r="I77" s="80"/>
      <c r="J77" s="80"/>
      <c r="K77" s="80"/>
      <c r="L77" s="80"/>
      <c r="M77" s="80"/>
      <c r="N77" s="80"/>
      <c r="O77" s="80"/>
      <c r="P77" s="80"/>
      <c r="Q77" s="80"/>
      <c r="R77" s="80"/>
      <c r="S77" s="80"/>
      <c r="T77" s="80"/>
      <c r="U77" s="80"/>
      <c r="V77" s="80"/>
      <c r="W77" s="80"/>
    </row>
    <row r="78" spans="1:29" x14ac:dyDescent="0.25">
      <c r="A78" s="70">
        <v>5</v>
      </c>
      <c r="B78" s="47" t="s">
        <v>148</v>
      </c>
      <c r="C78" s="78"/>
      <c r="D78" s="80"/>
      <c r="E78" s="80"/>
      <c r="F78" s="80"/>
      <c r="G78" s="80"/>
      <c r="H78" s="80"/>
      <c r="I78" s="80"/>
      <c r="J78" s="80"/>
      <c r="K78" s="80"/>
      <c r="L78" s="80"/>
      <c r="M78" s="80"/>
      <c r="N78" s="80"/>
      <c r="O78" s="80"/>
      <c r="P78" s="80"/>
      <c r="Q78" s="80"/>
      <c r="R78" s="80"/>
      <c r="S78" s="80"/>
      <c r="T78" s="80"/>
      <c r="U78" s="80"/>
      <c r="V78" s="80"/>
      <c r="W78" s="80"/>
    </row>
    <row r="79" spans="1:29" ht="48" customHeight="1" x14ac:dyDescent="0.25">
      <c r="B79" t="s">
        <v>149</v>
      </c>
      <c r="C79" s="274" t="s">
        <v>153</v>
      </c>
      <c r="D79" s="274"/>
      <c r="E79" s="274"/>
      <c r="F79" s="274"/>
      <c r="G79" s="80"/>
      <c r="H79" s="80"/>
      <c r="I79" s="80"/>
      <c r="J79" s="80"/>
      <c r="K79" s="80"/>
      <c r="L79" s="80"/>
      <c r="M79" s="80"/>
      <c r="N79" s="80"/>
      <c r="O79" s="80"/>
      <c r="P79" s="80"/>
      <c r="Q79" s="80"/>
      <c r="R79" s="80"/>
      <c r="S79" s="80"/>
      <c r="T79" s="80"/>
      <c r="U79" s="80"/>
      <c r="V79" s="80"/>
      <c r="W79" s="80"/>
    </row>
    <row r="80" spans="1:29" x14ac:dyDescent="0.25">
      <c r="B80" s="72"/>
      <c r="C80" s="17" t="s">
        <v>22</v>
      </c>
      <c r="D80" s="17">
        <v>1</v>
      </c>
      <c r="E80" s="17">
        <v>2</v>
      </c>
      <c r="F80" s="17">
        <v>3</v>
      </c>
      <c r="G80" s="80"/>
      <c r="H80" s="80"/>
      <c r="I80" s="80"/>
      <c r="J80" s="80"/>
      <c r="K80" s="80"/>
      <c r="L80" s="80"/>
      <c r="M80" s="80"/>
      <c r="N80" s="80"/>
      <c r="O80" s="80"/>
      <c r="P80" s="80"/>
      <c r="Q80" s="80"/>
      <c r="R80" s="80"/>
      <c r="S80" s="80"/>
      <c r="T80" s="80"/>
      <c r="U80" s="80"/>
      <c r="V80" s="80"/>
      <c r="W80" s="80"/>
    </row>
    <row r="81" spans="2:30" x14ac:dyDescent="0.25">
      <c r="B81" t="s">
        <v>92</v>
      </c>
      <c r="C81" s="70"/>
      <c r="D81" s="75">
        <f>Assumption_Hatchery!D81</f>
        <v>0</v>
      </c>
      <c r="E81" s="75">
        <f>Assumption_Hatchery!E81</f>
        <v>0</v>
      </c>
      <c r="F81" s="75">
        <f>Assumption_Hatchery!F81</f>
        <v>1</v>
      </c>
      <c r="G81" s="80"/>
      <c r="H81" s="80"/>
      <c r="I81" s="80"/>
      <c r="J81" s="80"/>
      <c r="K81" s="80"/>
      <c r="L81" s="80"/>
      <c r="M81" s="80"/>
      <c r="N81" s="80"/>
      <c r="O81" s="80"/>
      <c r="P81" s="80"/>
      <c r="Q81" s="80"/>
      <c r="R81" s="80"/>
      <c r="S81" s="80"/>
      <c r="T81" s="80"/>
      <c r="U81" s="80"/>
      <c r="V81" s="80"/>
      <c r="W81" s="80"/>
    </row>
    <row r="82" spans="2:30" x14ac:dyDescent="0.25">
      <c r="B82" t="s">
        <v>94</v>
      </c>
      <c r="C82" s="70"/>
      <c r="D82" s="151">
        <f>Assumption_Hatchery!D82</f>
        <v>0</v>
      </c>
      <c r="E82" s="151">
        <f>Assumption_Hatchery!E82</f>
        <v>0</v>
      </c>
      <c r="F82" s="151">
        <f>Assumption_Hatchery!F82</f>
        <v>0.5</v>
      </c>
      <c r="G82" s="80"/>
      <c r="H82" s="80"/>
      <c r="I82" s="80"/>
      <c r="J82" s="80"/>
      <c r="K82" s="80"/>
      <c r="L82" s="80"/>
      <c r="M82" s="80"/>
      <c r="N82" s="80"/>
      <c r="O82" s="80"/>
      <c r="P82" s="80"/>
      <c r="Q82" s="80"/>
      <c r="R82" s="80"/>
      <c r="S82" s="80"/>
      <c r="T82" s="80"/>
      <c r="U82" s="80"/>
      <c r="V82" s="80"/>
      <c r="W82" s="80"/>
    </row>
    <row r="83" spans="2:30" x14ac:dyDescent="0.25">
      <c r="C83" s="100"/>
      <c r="D83" s="78"/>
      <c r="E83" s="78"/>
      <c r="F83" s="78"/>
      <c r="G83" s="80"/>
      <c r="H83" s="80"/>
      <c r="I83" s="80"/>
      <c r="J83" s="80"/>
      <c r="K83" s="80"/>
      <c r="L83" s="80"/>
      <c r="M83" s="80"/>
      <c r="N83" s="80"/>
      <c r="O83" s="80"/>
      <c r="P83" s="80"/>
      <c r="Q83" s="80"/>
      <c r="R83" s="80"/>
      <c r="S83" s="80"/>
      <c r="T83" s="80"/>
      <c r="U83" s="80"/>
      <c r="V83" s="80"/>
      <c r="W83" s="80"/>
    </row>
    <row r="85" spans="2:30" x14ac:dyDescent="0.25">
      <c r="B85" s="72"/>
      <c r="C85" s="17" t="s">
        <v>22</v>
      </c>
      <c r="D85" s="17">
        <v>0</v>
      </c>
      <c r="E85" s="17">
        <v>1</v>
      </c>
      <c r="F85" s="17">
        <v>2</v>
      </c>
      <c r="G85" s="17">
        <v>3</v>
      </c>
      <c r="H85" s="17">
        <v>4</v>
      </c>
      <c r="I85" s="17">
        <v>5</v>
      </c>
      <c r="J85" s="17">
        <v>6</v>
      </c>
      <c r="K85" s="17">
        <v>7</v>
      </c>
      <c r="L85" s="17">
        <v>8</v>
      </c>
      <c r="M85" s="17">
        <v>9</v>
      </c>
      <c r="N85" s="17">
        <v>10</v>
      </c>
      <c r="O85" s="17">
        <v>11</v>
      </c>
      <c r="P85" s="17">
        <v>12</v>
      </c>
      <c r="Q85" s="17">
        <v>13</v>
      </c>
      <c r="R85" s="17">
        <v>14</v>
      </c>
      <c r="S85" s="17">
        <v>15</v>
      </c>
      <c r="T85" s="17">
        <v>16</v>
      </c>
      <c r="U85" s="17">
        <v>17</v>
      </c>
      <c r="V85" s="17">
        <v>18</v>
      </c>
      <c r="W85" s="17">
        <v>19</v>
      </c>
      <c r="X85" s="17">
        <v>20</v>
      </c>
      <c r="Y85" s="17">
        <v>21</v>
      </c>
      <c r="Z85" s="17">
        <v>22</v>
      </c>
      <c r="AA85" s="17">
        <v>23</v>
      </c>
      <c r="AB85" s="17">
        <v>24</v>
      </c>
    </row>
    <row r="86" spans="2:30" x14ac:dyDescent="0.25">
      <c r="B86" t="s">
        <v>92</v>
      </c>
      <c r="C86" s="70"/>
      <c r="D86" s="70"/>
      <c r="E86" s="70">
        <f>D81</f>
        <v>0</v>
      </c>
      <c r="F86" s="70">
        <f>E81</f>
        <v>0</v>
      </c>
      <c r="G86" s="70">
        <f>F81</f>
        <v>1</v>
      </c>
      <c r="H86" s="70">
        <f>D81</f>
        <v>0</v>
      </c>
      <c r="I86" s="70">
        <f t="shared" ref="I86:J86" si="28">E81</f>
        <v>0</v>
      </c>
      <c r="J86" s="70">
        <f t="shared" si="28"/>
        <v>1</v>
      </c>
      <c r="K86" s="70">
        <f>D81</f>
        <v>0</v>
      </c>
      <c r="L86" s="70">
        <f t="shared" ref="L86:M86" si="29">E81</f>
        <v>0</v>
      </c>
      <c r="M86" s="70">
        <f t="shared" si="29"/>
        <v>1</v>
      </c>
      <c r="N86" s="70">
        <f>D81</f>
        <v>0</v>
      </c>
      <c r="O86" s="70">
        <f t="shared" ref="O86:P86" si="30">E81</f>
        <v>0</v>
      </c>
      <c r="P86" s="70">
        <f t="shared" si="30"/>
        <v>1</v>
      </c>
      <c r="Q86" s="70">
        <f>D81</f>
        <v>0</v>
      </c>
      <c r="R86" s="70">
        <f t="shared" ref="R86:S86" si="31">E81</f>
        <v>0</v>
      </c>
      <c r="S86" s="70">
        <f t="shared" si="31"/>
        <v>1</v>
      </c>
      <c r="T86" s="70">
        <f>D81</f>
        <v>0</v>
      </c>
      <c r="U86" s="70">
        <f t="shared" ref="U86:V86" si="32">E81</f>
        <v>0</v>
      </c>
      <c r="V86" s="70">
        <f t="shared" si="32"/>
        <v>1</v>
      </c>
      <c r="W86" s="70">
        <f>D81</f>
        <v>0</v>
      </c>
      <c r="X86" s="70">
        <f t="shared" ref="X86:Y86" si="33">E81</f>
        <v>0</v>
      </c>
      <c r="Y86" s="70">
        <f t="shared" si="33"/>
        <v>1</v>
      </c>
      <c r="Z86" s="70">
        <f>D81</f>
        <v>0</v>
      </c>
      <c r="AA86" s="70">
        <f t="shared" ref="AA86:AB86" si="34">E81</f>
        <v>0</v>
      </c>
      <c r="AB86" s="70">
        <f t="shared" si="34"/>
        <v>1</v>
      </c>
    </row>
    <row r="87" spans="2:30" x14ac:dyDescent="0.25">
      <c r="B87" t="s">
        <v>94</v>
      </c>
      <c r="C87" s="70"/>
      <c r="D87" s="75"/>
      <c r="E87" s="63">
        <f>$D82</f>
        <v>0</v>
      </c>
      <c r="F87" s="115">
        <f>$E82</f>
        <v>0</v>
      </c>
      <c r="G87" s="115">
        <f>$F82</f>
        <v>0.5</v>
      </c>
      <c r="H87" s="63">
        <f>$D82</f>
        <v>0</v>
      </c>
      <c r="I87" s="115">
        <f>$E82</f>
        <v>0</v>
      </c>
      <c r="J87" s="115">
        <f>$F82</f>
        <v>0.5</v>
      </c>
      <c r="K87" s="63">
        <f>$D82</f>
        <v>0</v>
      </c>
      <c r="L87" s="115">
        <f>$E82</f>
        <v>0</v>
      </c>
      <c r="M87" s="115">
        <f>$F82</f>
        <v>0.5</v>
      </c>
      <c r="N87" s="63">
        <f>$D82</f>
        <v>0</v>
      </c>
      <c r="O87" s="115">
        <f>$E82</f>
        <v>0</v>
      </c>
      <c r="P87" s="115">
        <f>$F82</f>
        <v>0.5</v>
      </c>
      <c r="Q87" s="63">
        <f>$D82</f>
        <v>0</v>
      </c>
      <c r="R87" s="115">
        <f>$E82</f>
        <v>0</v>
      </c>
      <c r="S87" s="115">
        <f>$F82</f>
        <v>0.5</v>
      </c>
      <c r="T87" s="63">
        <f>$D82</f>
        <v>0</v>
      </c>
      <c r="U87" s="115">
        <f>$E82</f>
        <v>0</v>
      </c>
      <c r="V87" s="115">
        <f>$F82</f>
        <v>0.5</v>
      </c>
      <c r="W87" s="63">
        <f>$D82</f>
        <v>0</v>
      </c>
      <c r="X87" s="115">
        <f>$E82</f>
        <v>0</v>
      </c>
      <c r="Y87" s="115">
        <f>$F82</f>
        <v>0.5</v>
      </c>
      <c r="Z87" s="63">
        <f>$D82</f>
        <v>0</v>
      </c>
      <c r="AA87" s="115">
        <f>$E82</f>
        <v>0</v>
      </c>
      <c r="AB87" s="115">
        <f>$F82</f>
        <v>0.5</v>
      </c>
      <c r="AC87" s="116"/>
      <c r="AD87" s="116"/>
    </row>
    <row r="88" spans="2:30" x14ac:dyDescent="0.25">
      <c r="C88" s="100"/>
      <c r="D88" s="78"/>
      <c r="E88" s="78"/>
      <c r="F88" s="78"/>
      <c r="G88" s="78"/>
      <c r="H88" s="78"/>
      <c r="I88" s="78"/>
      <c r="J88" s="78"/>
      <c r="K88" s="78"/>
      <c r="L88" s="78"/>
      <c r="M88" s="78"/>
      <c r="N88" s="78"/>
      <c r="O88" s="78"/>
      <c r="P88" s="78"/>
      <c r="Q88" s="78"/>
      <c r="R88" s="78"/>
      <c r="S88" s="78"/>
      <c r="T88" s="78"/>
      <c r="U88" s="78"/>
      <c r="V88" s="78"/>
      <c r="W88" s="78"/>
      <c r="X88" s="78"/>
      <c r="Y88" s="114"/>
      <c r="Z88" s="114"/>
      <c r="AA88" s="114"/>
      <c r="AB88" s="114"/>
      <c r="AC88" s="114"/>
    </row>
    <row r="89" spans="2:30" x14ac:dyDescent="0.25">
      <c r="C89" s="100"/>
      <c r="D89" s="113"/>
      <c r="E89" s="113"/>
      <c r="F89" s="113"/>
      <c r="G89" s="113"/>
      <c r="H89" s="113"/>
      <c r="I89" s="113"/>
      <c r="J89" s="113"/>
      <c r="K89" s="113"/>
      <c r="L89" s="113"/>
      <c r="M89" s="113"/>
      <c r="N89" s="113"/>
      <c r="O89" s="113"/>
      <c r="P89" s="113"/>
      <c r="Q89" s="113"/>
      <c r="R89" s="113"/>
      <c r="S89" s="113"/>
      <c r="T89" s="113"/>
      <c r="U89" s="113"/>
      <c r="V89" s="113"/>
      <c r="W89" s="113"/>
      <c r="X89" s="113"/>
    </row>
    <row r="90" spans="2:30" x14ac:dyDescent="0.25">
      <c r="C90" s="100"/>
      <c r="D90" s="113"/>
      <c r="E90" s="113"/>
      <c r="F90" s="113"/>
      <c r="G90" s="113"/>
      <c r="H90" s="113"/>
      <c r="I90" s="113"/>
      <c r="J90" s="113"/>
      <c r="K90" s="113"/>
      <c r="L90" s="113"/>
      <c r="M90" s="113"/>
      <c r="N90" s="113"/>
      <c r="O90" s="113"/>
      <c r="P90" s="113"/>
      <c r="Q90" s="113"/>
      <c r="R90" s="113"/>
      <c r="S90" s="113"/>
      <c r="T90" s="113"/>
      <c r="U90" s="113"/>
      <c r="V90" s="113"/>
      <c r="W90" s="113"/>
      <c r="X90" s="113"/>
    </row>
    <row r="91" spans="2:30" x14ac:dyDescent="0.25">
      <c r="B91" s="47" t="s">
        <v>150</v>
      </c>
      <c r="C91" s="100"/>
      <c r="D91" s="113"/>
      <c r="E91" s="113"/>
      <c r="F91" s="113"/>
      <c r="G91" s="113"/>
      <c r="H91" s="113"/>
      <c r="I91" s="113"/>
      <c r="J91" s="113"/>
      <c r="K91" s="113"/>
      <c r="L91" s="113"/>
      <c r="M91" s="113"/>
      <c r="N91" s="113"/>
      <c r="O91" s="113"/>
      <c r="P91" s="113"/>
      <c r="Q91" s="113"/>
      <c r="R91" s="113"/>
      <c r="S91" s="113"/>
      <c r="T91" s="113"/>
      <c r="U91" s="113"/>
      <c r="V91" s="113"/>
      <c r="W91" s="113"/>
      <c r="X91" s="113"/>
    </row>
    <row r="92" spans="2:30" x14ac:dyDescent="0.25">
      <c r="C92" s="100"/>
      <c r="D92" s="113"/>
      <c r="E92" s="113"/>
      <c r="F92" s="113"/>
      <c r="G92" s="113"/>
      <c r="H92" s="113"/>
      <c r="I92" s="113"/>
      <c r="J92" s="113"/>
      <c r="K92" s="113"/>
      <c r="L92" s="113"/>
      <c r="M92" s="113"/>
      <c r="N92" s="113"/>
      <c r="O92" s="113"/>
      <c r="P92" s="113"/>
      <c r="Q92" s="113"/>
      <c r="R92" s="113"/>
      <c r="S92" s="113"/>
      <c r="T92" s="113"/>
      <c r="U92" s="113"/>
      <c r="V92" s="113"/>
      <c r="W92" s="113"/>
      <c r="X92" s="113"/>
    </row>
    <row r="93" spans="2:30" ht="38.450000000000003" customHeight="1" x14ac:dyDescent="0.25">
      <c r="B93" t="s">
        <v>149</v>
      </c>
      <c r="C93" s="274" t="s">
        <v>152</v>
      </c>
      <c r="D93" s="274"/>
      <c r="E93" s="274"/>
      <c r="F93" s="274"/>
      <c r="G93" s="80"/>
      <c r="H93" s="80"/>
      <c r="I93" s="80"/>
      <c r="J93" s="80"/>
      <c r="K93" s="80"/>
      <c r="L93" s="80"/>
      <c r="M93" s="80"/>
      <c r="N93" s="80"/>
      <c r="O93" s="80"/>
      <c r="P93" s="80"/>
      <c r="Q93" s="80"/>
      <c r="R93" s="80"/>
      <c r="S93" s="80"/>
      <c r="T93" s="80"/>
      <c r="U93" s="80"/>
      <c r="V93" s="80"/>
      <c r="W93" s="80"/>
    </row>
    <row r="94" spans="2:30" x14ac:dyDescent="0.25">
      <c r="B94" s="72"/>
      <c r="C94" s="17" t="s">
        <v>22</v>
      </c>
      <c r="D94" s="17">
        <v>1</v>
      </c>
      <c r="E94" s="17">
        <v>2</v>
      </c>
      <c r="F94" s="17">
        <v>3</v>
      </c>
      <c r="G94" s="80"/>
      <c r="H94" s="80"/>
      <c r="I94" s="80"/>
      <c r="J94" s="80"/>
      <c r="K94" s="80"/>
      <c r="L94" s="80"/>
      <c r="M94" s="80"/>
      <c r="N94" s="80"/>
      <c r="O94" s="80"/>
      <c r="P94" s="80"/>
      <c r="Q94" s="80"/>
      <c r="R94" s="80"/>
      <c r="S94" s="80"/>
      <c r="T94" s="80"/>
      <c r="U94" s="80"/>
      <c r="V94" s="80"/>
      <c r="W94" s="80"/>
    </row>
    <row r="95" spans="2:30" x14ac:dyDescent="0.25">
      <c r="B95" t="s">
        <v>92</v>
      </c>
      <c r="C95" s="70"/>
      <c r="D95" s="75">
        <f>Assumption_Hatchery!D95</f>
        <v>0</v>
      </c>
      <c r="E95" s="75">
        <f>Assumption_Hatchery!E95</f>
        <v>0</v>
      </c>
      <c r="F95" s="75">
        <f>Assumption_Hatchery!F95</f>
        <v>1</v>
      </c>
      <c r="G95" s="80"/>
      <c r="H95" s="80"/>
      <c r="I95" s="80"/>
      <c r="J95" s="80"/>
      <c r="K95" s="80"/>
      <c r="L95" s="80"/>
      <c r="M95" s="80"/>
      <c r="N95" s="80"/>
      <c r="O95" s="80"/>
      <c r="P95" s="80"/>
      <c r="Q95" s="80"/>
      <c r="R95" s="80"/>
      <c r="S95" s="80"/>
      <c r="T95" s="80"/>
      <c r="U95" s="80"/>
      <c r="V95" s="80"/>
      <c r="W95" s="80"/>
    </row>
    <row r="96" spans="2:30" x14ac:dyDescent="0.25">
      <c r="B96" t="s">
        <v>94</v>
      </c>
      <c r="C96" s="70"/>
      <c r="D96" s="151">
        <f>Assumption_Hatchery!D96</f>
        <v>0</v>
      </c>
      <c r="E96" s="151">
        <f>Assumption_Hatchery!E96</f>
        <v>0</v>
      </c>
      <c r="F96" s="151">
        <f>Assumption_Hatchery!F96</f>
        <v>0.5</v>
      </c>
      <c r="G96" s="80"/>
      <c r="H96" s="80"/>
      <c r="I96" s="80"/>
      <c r="J96" s="80"/>
      <c r="K96" s="80"/>
      <c r="L96" s="80"/>
      <c r="M96" s="80"/>
      <c r="N96" s="80"/>
      <c r="O96" s="80"/>
      <c r="P96" s="80"/>
      <c r="Q96" s="80"/>
      <c r="R96" s="80"/>
      <c r="S96" s="80"/>
      <c r="T96" s="80"/>
      <c r="U96" s="80"/>
      <c r="V96" s="80"/>
      <c r="W96" s="80"/>
    </row>
    <row r="97" spans="2:30" x14ac:dyDescent="0.25">
      <c r="C97" s="100"/>
      <c r="D97" s="78"/>
      <c r="E97" s="78"/>
      <c r="F97" s="78"/>
      <c r="G97" s="80"/>
      <c r="H97" s="80"/>
      <c r="I97" s="80"/>
      <c r="J97" s="80"/>
      <c r="K97" s="80"/>
      <c r="L97" s="80"/>
      <c r="M97" s="80"/>
      <c r="N97" s="80"/>
      <c r="O97" s="80"/>
      <c r="P97" s="80"/>
      <c r="Q97" s="80"/>
      <c r="R97" s="80"/>
      <c r="S97" s="80"/>
      <c r="T97" s="80"/>
      <c r="U97" s="80"/>
      <c r="V97" s="80"/>
      <c r="W97" s="80"/>
    </row>
    <row r="99" spans="2:30" x14ac:dyDescent="0.25">
      <c r="B99" s="72"/>
      <c r="C99" s="17" t="s">
        <v>22</v>
      </c>
      <c r="D99" s="17">
        <v>0</v>
      </c>
      <c r="E99" s="17">
        <v>1</v>
      </c>
      <c r="F99" s="17">
        <v>2</v>
      </c>
      <c r="G99" s="17">
        <v>3</v>
      </c>
      <c r="H99" s="17">
        <v>4</v>
      </c>
      <c r="I99" s="17">
        <v>5</v>
      </c>
      <c r="J99" s="17">
        <v>6</v>
      </c>
      <c r="K99" s="17">
        <v>7</v>
      </c>
      <c r="L99" s="17">
        <v>8</v>
      </c>
      <c r="M99" s="17">
        <v>9</v>
      </c>
      <c r="N99" s="17">
        <v>10</v>
      </c>
      <c r="O99" s="17">
        <v>11</v>
      </c>
      <c r="P99" s="17">
        <v>12</v>
      </c>
      <c r="Q99" s="17">
        <v>13</v>
      </c>
      <c r="R99" s="17">
        <v>14</v>
      </c>
      <c r="S99" s="17">
        <v>15</v>
      </c>
      <c r="T99" s="17">
        <v>16</v>
      </c>
      <c r="U99" s="17">
        <v>17</v>
      </c>
      <c r="V99" s="17">
        <v>18</v>
      </c>
      <c r="W99" s="17">
        <v>19</v>
      </c>
      <c r="X99" s="17">
        <v>20</v>
      </c>
      <c r="Y99" s="17">
        <v>21</v>
      </c>
      <c r="Z99" s="17">
        <v>22</v>
      </c>
      <c r="AA99" s="17">
        <v>23</v>
      </c>
      <c r="AB99" s="17">
        <v>24</v>
      </c>
    </row>
    <row r="100" spans="2:30" x14ac:dyDescent="0.25">
      <c r="B100" t="s">
        <v>92</v>
      </c>
      <c r="C100" s="70"/>
      <c r="D100" s="70"/>
      <c r="E100" s="70">
        <f>D95</f>
        <v>0</v>
      </c>
      <c r="F100" s="70">
        <f>E95</f>
        <v>0</v>
      </c>
      <c r="G100" s="70">
        <f>F95</f>
        <v>1</v>
      </c>
      <c r="H100" s="70">
        <f>D95</f>
        <v>0</v>
      </c>
      <c r="I100" s="70">
        <f t="shared" ref="I100:J100" si="35">E95</f>
        <v>0</v>
      </c>
      <c r="J100" s="70">
        <f t="shared" si="35"/>
        <v>1</v>
      </c>
      <c r="K100" s="70">
        <f>D95</f>
        <v>0</v>
      </c>
      <c r="L100" s="70">
        <f t="shared" ref="L100:M100" si="36">E95</f>
        <v>0</v>
      </c>
      <c r="M100" s="70">
        <f t="shared" si="36"/>
        <v>1</v>
      </c>
      <c r="N100" s="70">
        <f>D95</f>
        <v>0</v>
      </c>
      <c r="O100" s="70">
        <f t="shared" ref="O100:P100" si="37">E95</f>
        <v>0</v>
      </c>
      <c r="P100" s="70">
        <f t="shared" si="37"/>
        <v>1</v>
      </c>
      <c r="Q100" s="70">
        <f>D95</f>
        <v>0</v>
      </c>
      <c r="R100" s="70">
        <f t="shared" ref="R100:S100" si="38">E95</f>
        <v>0</v>
      </c>
      <c r="S100" s="70">
        <f t="shared" si="38"/>
        <v>1</v>
      </c>
      <c r="T100" s="70">
        <f>D95</f>
        <v>0</v>
      </c>
      <c r="U100" s="70">
        <f t="shared" ref="U100:V100" si="39">E95</f>
        <v>0</v>
      </c>
      <c r="V100" s="70">
        <f t="shared" si="39"/>
        <v>1</v>
      </c>
      <c r="W100" s="70">
        <f>D95</f>
        <v>0</v>
      </c>
      <c r="X100" s="70">
        <f t="shared" ref="X100:Y100" si="40">E95</f>
        <v>0</v>
      </c>
      <c r="Y100" s="70">
        <f t="shared" si="40"/>
        <v>1</v>
      </c>
      <c r="Z100" s="70">
        <f>D95</f>
        <v>0</v>
      </c>
      <c r="AA100" s="70">
        <f t="shared" ref="AA100:AB100" si="41">E95</f>
        <v>0</v>
      </c>
      <c r="AB100" s="70">
        <f t="shared" si="41"/>
        <v>1</v>
      </c>
    </row>
    <row r="101" spans="2:30" x14ac:dyDescent="0.25">
      <c r="B101" t="s">
        <v>94</v>
      </c>
      <c r="C101" s="70"/>
      <c r="D101" s="75"/>
      <c r="E101" s="63">
        <f>$D96</f>
        <v>0</v>
      </c>
      <c r="F101" s="115">
        <f>$E96</f>
        <v>0</v>
      </c>
      <c r="G101" s="115">
        <f>$F96</f>
        <v>0.5</v>
      </c>
      <c r="H101" s="63">
        <f>$D96</f>
        <v>0</v>
      </c>
      <c r="I101" s="115">
        <f>$E96</f>
        <v>0</v>
      </c>
      <c r="J101" s="115">
        <f>$F96</f>
        <v>0.5</v>
      </c>
      <c r="K101" s="63">
        <f>$D96</f>
        <v>0</v>
      </c>
      <c r="L101" s="115">
        <f>$E96</f>
        <v>0</v>
      </c>
      <c r="M101" s="115">
        <f>$F96</f>
        <v>0.5</v>
      </c>
      <c r="N101" s="63">
        <f>$D96</f>
        <v>0</v>
      </c>
      <c r="O101" s="115">
        <f>$E96</f>
        <v>0</v>
      </c>
      <c r="P101" s="115">
        <f>$F96</f>
        <v>0.5</v>
      </c>
      <c r="Q101" s="63">
        <f>$D96</f>
        <v>0</v>
      </c>
      <c r="R101" s="115">
        <f>$E96</f>
        <v>0</v>
      </c>
      <c r="S101" s="115">
        <f>$F96</f>
        <v>0.5</v>
      </c>
      <c r="T101" s="63">
        <f>$D96</f>
        <v>0</v>
      </c>
      <c r="U101" s="115">
        <f>$E96</f>
        <v>0</v>
      </c>
      <c r="V101" s="115">
        <f>$F96</f>
        <v>0.5</v>
      </c>
      <c r="W101" s="63">
        <f>$D96</f>
        <v>0</v>
      </c>
      <c r="X101" s="115">
        <f>$E96</f>
        <v>0</v>
      </c>
      <c r="Y101" s="115">
        <f>$F96</f>
        <v>0.5</v>
      </c>
      <c r="Z101" s="63">
        <f>$D96</f>
        <v>0</v>
      </c>
      <c r="AA101" s="115">
        <f>$E96</f>
        <v>0</v>
      </c>
      <c r="AB101" s="115">
        <f>$F96</f>
        <v>0.5</v>
      </c>
      <c r="AC101" s="116"/>
      <c r="AD101" s="116"/>
    </row>
    <row r="102" spans="2:30" x14ac:dyDescent="0.25">
      <c r="C102" s="100"/>
      <c r="D102" s="113"/>
      <c r="E102" s="113"/>
      <c r="F102" s="113"/>
      <c r="G102" s="113"/>
      <c r="H102" s="113"/>
      <c r="I102" s="113"/>
      <c r="J102" s="113"/>
      <c r="K102" s="113"/>
      <c r="L102" s="113"/>
      <c r="M102" s="113"/>
      <c r="N102" s="113"/>
      <c r="O102" s="113"/>
      <c r="P102" s="113"/>
      <c r="Q102" s="113"/>
      <c r="R102" s="113"/>
      <c r="S102" s="113"/>
      <c r="T102" s="113"/>
      <c r="U102" s="113"/>
      <c r="V102" s="113"/>
      <c r="W102" s="113"/>
      <c r="X102" s="113"/>
    </row>
    <row r="103" spans="2:30" x14ac:dyDescent="0.25">
      <c r="B103" s="47" t="s">
        <v>151</v>
      </c>
      <c r="C103" s="100"/>
      <c r="D103" s="113"/>
      <c r="E103" s="113"/>
      <c r="F103" s="113"/>
      <c r="G103" s="113"/>
      <c r="H103" s="113"/>
      <c r="I103" s="113"/>
      <c r="J103" s="113"/>
      <c r="K103" s="113"/>
      <c r="L103" s="113"/>
      <c r="M103" s="113"/>
      <c r="N103" s="113"/>
      <c r="O103" s="113"/>
      <c r="P103" s="113"/>
      <c r="Q103" s="113"/>
      <c r="R103" s="113"/>
      <c r="S103" s="113"/>
      <c r="T103" s="113"/>
      <c r="U103" s="113"/>
      <c r="V103" s="113"/>
      <c r="W103" s="113"/>
      <c r="X103" s="113"/>
    </row>
    <row r="104" spans="2:30" x14ac:dyDescent="0.25">
      <c r="C104" s="100"/>
      <c r="D104" s="113"/>
      <c r="E104" s="113"/>
      <c r="F104" s="113"/>
      <c r="G104" s="113"/>
      <c r="H104" s="113"/>
      <c r="I104" s="113"/>
      <c r="J104" s="113"/>
      <c r="K104" s="113"/>
      <c r="L104" s="113"/>
      <c r="M104" s="113"/>
      <c r="N104" s="113"/>
      <c r="O104" s="113"/>
      <c r="P104" s="113"/>
      <c r="Q104" s="113"/>
      <c r="R104" s="113"/>
      <c r="S104" s="113"/>
      <c r="T104" s="113"/>
      <c r="U104" s="113"/>
      <c r="V104" s="113"/>
      <c r="W104" s="113"/>
      <c r="X104" s="113"/>
    </row>
    <row r="105" spans="2:30" ht="28.15" customHeight="1" x14ac:dyDescent="0.25">
      <c r="B105" t="s">
        <v>149</v>
      </c>
      <c r="C105" s="274" t="s">
        <v>152</v>
      </c>
      <c r="D105" s="274"/>
      <c r="E105" s="274"/>
      <c r="F105" s="274"/>
      <c r="G105" s="80"/>
      <c r="H105" s="80"/>
      <c r="I105" s="80"/>
      <c r="J105" s="80"/>
      <c r="K105" s="80"/>
      <c r="L105" s="80"/>
      <c r="M105" s="80"/>
      <c r="N105" s="80"/>
      <c r="O105" s="80"/>
      <c r="P105" s="80"/>
      <c r="Q105" s="80"/>
      <c r="R105" s="80"/>
      <c r="S105" s="80"/>
      <c r="T105" s="80"/>
      <c r="U105" s="80"/>
      <c r="V105" s="80"/>
      <c r="W105" s="80"/>
    </row>
    <row r="106" spans="2:30" x14ac:dyDescent="0.25">
      <c r="B106" s="72"/>
      <c r="C106" s="17" t="s">
        <v>22</v>
      </c>
      <c r="D106" s="17">
        <v>1</v>
      </c>
      <c r="E106" s="17">
        <v>2</v>
      </c>
      <c r="F106" s="17">
        <v>3</v>
      </c>
      <c r="G106" s="80"/>
      <c r="H106" s="80"/>
      <c r="I106" s="80"/>
      <c r="J106" s="80"/>
      <c r="K106" s="80"/>
      <c r="L106" s="80"/>
      <c r="M106" s="80"/>
      <c r="N106" s="80"/>
      <c r="O106" s="80"/>
      <c r="P106" s="80"/>
      <c r="Q106" s="80"/>
      <c r="R106" s="80"/>
      <c r="S106" s="80"/>
      <c r="T106" s="80"/>
      <c r="U106" s="80"/>
      <c r="V106" s="80"/>
      <c r="W106" s="80"/>
    </row>
    <row r="107" spans="2:30" x14ac:dyDescent="0.25">
      <c r="B107" t="s">
        <v>92</v>
      </c>
      <c r="C107" s="70"/>
      <c r="D107" s="75">
        <f>Assumption_Hatchery!D107</f>
        <v>0</v>
      </c>
      <c r="E107" s="75">
        <f>Assumption_Hatchery!E107</f>
        <v>0</v>
      </c>
      <c r="F107" s="75">
        <f>Assumption_Hatchery!F107</f>
        <v>1</v>
      </c>
      <c r="G107" s="80"/>
      <c r="H107" s="80"/>
      <c r="I107" s="80"/>
      <c r="J107" s="80"/>
      <c r="K107" s="80"/>
      <c r="L107" s="80"/>
      <c r="M107" s="80"/>
      <c r="N107" s="80"/>
      <c r="O107" s="80"/>
      <c r="P107" s="80"/>
      <c r="Q107" s="80"/>
      <c r="R107" s="80"/>
      <c r="S107" s="80"/>
      <c r="T107" s="80"/>
      <c r="U107" s="80"/>
      <c r="V107" s="80"/>
      <c r="W107" s="80"/>
    </row>
    <row r="108" spans="2:30" x14ac:dyDescent="0.25">
      <c r="B108" t="s">
        <v>94</v>
      </c>
      <c r="C108" s="70"/>
      <c r="D108" s="151">
        <f>Assumption_Hatchery!D108</f>
        <v>0</v>
      </c>
      <c r="E108" s="151">
        <f>Assumption_Hatchery!E108</f>
        <v>0</v>
      </c>
      <c r="F108" s="151">
        <f>Assumption_Hatchery!F108</f>
        <v>0.5</v>
      </c>
      <c r="G108" s="80"/>
      <c r="H108" s="80"/>
      <c r="I108" s="80"/>
      <c r="J108" s="80"/>
      <c r="K108" s="80"/>
      <c r="L108" s="80"/>
      <c r="M108" s="80"/>
      <c r="N108" s="80"/>
      <c r="O108" s="80"/>
      <c r="P108" s="80"/>
      <c r="Q108" s="80"/>
      <c r="R108" s="80"/>
      <c r="S108" s="80"/>
      <c r="T108" s="80"/>
      <c r="U108" s="80"/>
      <c r="V108" s="80"/>
      <c r="W108" s="80"/>
    </row>
    <row r="109" spans="2:30" x14ac:dyDescent="0.25">
      <c r="C109" s="100"/>
      <c r="D109" s="78"/>
      <c r="E109" s="78"/>
      <c r="F109" s="78"/>
      <c r="G109" s="80"/>
      <c r="H109" s="80"/>
      <c r="I109" s="80"/>
      <c r="J109" s="80"/>
      <c r="K109" s="80"/>
      <c r="L109" s="80"/>
      <c r="M109" s="80"/>
      <c r="N109" s="80"/>
      <c r="O109" s="80"/>
      <c r="P109" s="80"/>
      <c r="Q109" s="80"/>
      <c r="R109" s="80"/>
      <c r="S109" s="80"/>
      <c r="T109" s="80"/>
      <c r="U109" s="80"/>
      <c r="V109" s="80"/>
      <c r="W109" s="80"/>
    </row>
    <row r="111" spans="2:30" x14ac:dyDescent="0.25">
      <c r="B111" s="72"/>
      <c r="C111" s="17" t="s">
        <v>22</v>
      </c>
      <c r="D111" s="17">
        <v>0</v>
      </c>
      <c r="E111" s="17">
        <v>1</v>
      </c>
      <c r="F111" s="17">
        <v>2</v>
      </c>
      <c r="G111" s="17">
        <v>3</v>
      </c>
      <c r="H111" s="17">
        <v>4</v>
      </c>
      <c r="I111" s="17">
        <v>5</v>
      </c>
      <c r="J111" s="17">
        <v>6</v>
      </c>
      <c r="K111" s="17">
        <v>7</v>
      </c>
      <c r="L111" s="17">
        <v>8</v>
      </c>
      <c r="M111" s="17">
        <v>9</v>
      </c>
      <c r="N111" s="17">
        <v>10</v>
      </c>
      <c r="O111" s="17">
        <v>11</v>
      </c>
      <c r="P111" s="17">
        <v>12</v>
      </c>
      <c r="Q111" s="17">
        <v>13</v>
      </c>
      <c r="R111" s="17">
        <v>14</v>
      </c>
      <c r="S111" s="17">
        <v>15</v>
      </c>
      <c r="T111" s="17">
        <v>16</v>
      </c>
      <c r="U111" s="17">
        <v>17</v>
      </c>
      <c r="V111" s="17">
        <v>18</v>
      </c>
      <c r="W111" s="17">
        <v>19</v>
      </c>
      <c r="X111" s="17">
        <v>20</v>
      </c>
      <c r="Y111" s="17">
        <v>21</v>
      </c>
      <c r="Z111" s="17">
        <v>22</v>
      </c>
      <c r="AA111" s="17">
        <v>23</v>
      </c>
      <c r="AB111" s="17">
        <v>24</v>
      </c>
    </row>
    <row r="112" spans="2:30" x14ac:dyDescent="0.25">
      <c r="B112" t="s">
        <v>92</v>
      </c>
      <c r="C112" s="70"/>
      <c r="D112" s="70"/>
      <c r="E112" s="70">
        <f>D107</f>
        <v>0</v>
      </c>
      <c r="F112" s="70">
        <f>E107</f>
        <v>0</v>
      </c>
      <c r="G112" s="70">
        <f>F107</f>
        <v>1</v>
      </c>
      <c r="H112" s="70">
        <f>D107</f>
        <v>0</v>
      </c>
      <c r="I112" s="70">
        <f t="shared" ref="I112:J112" si="42">E107</f>
        <v>0</v>
      </c>
      <c r="J112" s="70">
        <f t="shared" si="42"/>
        <v>1</v>
      </c>
      <c r="K112" s="70">
        <f>D107</f>
        <v>0</v>
      </c>
      <c r="L112" s="70">
        <f t="shared" ref="L112:M112" si="43">E107</f>
        <v>0</v>
      </c>
      <c r="M112" s="70">
        <f t="shared" si="43"/>
        <v>1</v>
      </c>
      <c r="N112" s="70">
        <f>D107</f>
        <v>0</v>
      </c>
      <c r="O112" s="70">
        <f t="shared" ref="O112:P112" si="44">E107</f>
        <v>0</v>
      </c>
      <c r="P112" s="70">
        <f t="shared" si="44"/>
        <v>1</v>
      </c>
      <c r="Q112" s="70">
        <f>D107</f>
        <v>0</v>
      </c>
      <c r="R112" s="70">
        <f t="shared" ref="R112:S112" si="45">E107</f>
        <v>0</v>
      </c>
      <c r="S112" s="70">
        <f t="shared" si="45"/>
        <v>1</v>
      </c>
      <c r="T112" s="70">
        <f>D107</f>
        <v>0</v>
      </c>
      <c r="U112" s="70">
        <f t="shared" ref="U112:V112" si="46">E107</f>
        <v>0</v>
      </c>
      <c r="V112" s="70">
        <f t="shared" si="46"/>
        <v>1</v>
      </c>
      <c r="W112" s="70">
        <f>D107</f>
        <v>0</v>
      </c>
      <c r="X112" s="70">
        <f t="shared" ref="X112:Y112" si="47">E107</f>
        <v>0</v>
      </c>
      <c r="Y112" s="70">
        <f t="shared" si="47"/>
        <v>1</v>
      </c>
      <c r="Z112" s="70">
        <f>D107</f>
        <v>0</v>
      </c>
      <c r="AA112" s="70">
        <f t="shared" ref="AA112:AB112" si="48">E107</f>
        <v>0</v>
      </c>
      <c r="AB112" s="70">
        <f t="shared" si="48"/>
        <v>1</v>
      </c>
    </row>
    <row r="113" spans="1:30" x14ac:dyDescent="0.25">
      <c r="B113" t="s">
        <v>94</v>
      </c>
      <c r="C113" s="70"/>
      <c r="D113" s="75"/>
      <c r="E113" s="63">
        <f>$D108</f>
        <v>0</v>
      </c>
      <c r="F113" s="115">
        <f>$E108</f>
        <v>0</v>
      </c>
      <c r="G113" s="115">
        <f>$F108</f>
        <v>0.5</v>
      </c>
      <c r="H113" s="63">
        <f>$D108</f>
        <v>0</v>
      </c>
      <c r="I113" s="115">
        <f>$E108</f>
        <v>0</v>
      </c>
      <c r="J113" s="115">
        <f>$F108</f>
        <v>0.5</v>
      </c>
      <c r="K113" s="63">
        <f>$D108</f>
        <v>0</v>
      </c>
      <c r="L113" s="115">
        <f>$E108</f>
        <v>0</v>
      </c>
      <c r="M113" s="115">
        <f>$F108</f>
        <v>0.5</v>
      </c>
      <c r="N113" s="63">
        <f>$D108</f>
        <v>0</v>
      </c>
      <c r="O113" s="115">
        <f>$E108</f>
        <v>0</v>
      </c>
      <c r="P113" s="115">
        <f>$F108</f>
        <v>0.5</v>
      </c>
      <c r="Q113" s="63">
        <f>$D108</f>
        <v>0</v>
      </c>
      <c r="R113" s="115">
        <f>$E108</f>
        <v>0</v>
      </c>
      <c r="S113" s="115">
        <f>$F108</f>
        <v>0.5</v>
      </c>
      <c r="T113" s="63">
        <f>$D108</f>
        <v>0</v>
      </c>
      <c r="U113" s="115">
        <f>$E108</f>
        <v>0</v>
      </c>
      <c r="V113" s="115">
        <f>$F108</f>
        <v>0.5</v>
      </c>
      <c r="W113" s="63">
        <f>$D108</f>
        <v>0</v>
      </c>
      <c r="X113" s="115">
        <f>$E108</f>
        <v>0</v>
      </c>
      <c r="Y113" s="115">
        <f>$F108</f>
        <v>0.5</v>
      </c>
      <c r="Z113" s="63">
        <f>$D108</f>
        <v>0</v>
      </c>
      <c r="AA113" s="115">
        <f>$E108</f>
        <v>0</v>
      </c>
      <c r="AB113" s="115">
        <f>$F108</f>
        <v>0.5</v>
      </c>
      <c r="AC113" s="116"/>
      <c r="AD113" s="116"/>
    </row>
    <row r="114" spans="1:30" x14ac:dyDescent="0.25">
      <c r="C114" s="100"/>
      <c r="D114" s="113"/>
      <c r="E114" s="113"/>
      <c r="F114" s="113"/>
      <c r="G114" s="113"/>
      <c r="H114" s="113"/>
      <c r="I114" s="113"/>
      <c r="J114" s="113"/>
      <c r="K114" s="113"/>
      <c r="L114" s="113"/>
      <c r="M114" s="113"/>
      <c r="N114" s="113"/>
      <c r="O114" s="113"/>
      <c r="P114" s="113"/>
      <c r="Q114" s="113"/>
      <c r="R114" s="113"/>
      <c r="S114" s="113"/>
      <c r="T114" s="113"/>
      <c r="U114" s="113"/>
      <c r="V114" s="113"/>
      <c r="W114" s="113"/>
      <c r="X114" s="113"/>
    </row>
    <row r="115" spans="1:30" x14ac:dyDescent="0.25">
      <c r="C115" s="100"/>
      <c r="D115" s="113"/>
      <c r="E115" s="113"/>
      <c r="F115" s="113"/>
      <c r="G115" s="113"/>
      <c r="H115" s="113"/>
      <c r="I115" s="113"/>
      <c r="J115" s="113"/>
      <c r="K115" s="113"/>
      <c r="L115" s="113"/>
      <c r="M115" s="113"/>
      <c r="N115" s="113"/>
      <c r="O115" s="113"/>
      <c r="P115" s="113"/>
      <c r="Q115" s="113"/>
      <c r="R115" s="113"/>
      <c r="S115" s="113"/>
      <c r="T115" s="113"/>
      <c r="U115" s="113"/>
      <c r="V115" s="113"/>
      <c r="W115" s="113"/>
      <c r="X115" s="113"/>
    </row>
    <row r="116" spans="1:30" x14ac:dyDescent="0.25">
      <c r="C116" s="78"/>
      <c r="D116" s="80"/>
      <c r="E116" s="80"/>
      <c r="F116" s="80"/>
      <c r="G116" s="80"/>
      <c r="H116" s="80"/>
      <c r="I116" s="80"/>
      <c r="J116" s="80"/>
      <c r="K116" s="80"/>
      <c r="L116" s="80"/>
      <c r="M116" s="80"/>
      <c r="N116" s="80"/>
      <c r="O116" s="80"/>
      <c r="P116" s="80"/>
      <c r="Q116" s="80"/>
      <c r="R116" s="80"/>
      <c r="S116" s="80"/>
      <c r="T116" s="80"/>
      <c r="U116" s="80"/>
      <c r="V116" s="80"/>
      <c r="W116" s="80"/>
    </row>
    <row r="117" spans="1:30" x14ac:dyDescent="0.25">
      <c r="A117" s="70">
        <v>6</v>
      </c>
      <c r="B117" s="47" t="s">
        <v>167</v>
      </c>
      <c r="C117" s="80"/>
      <c r="D117" s="98"/>
      <c r="E117" s="80"/>
      <c r="F117" s="80"/>
      <c r="G117" s="80"/>
      <c r="H117" s="80"/>
      <c r="P117" s="80"/>
      <c r="U117" s="80"/>
      <c r="V117" s="80"/>
      <c r="W117" s="80"/>
    </row>
    <row r="118" spans="1:30" x14ac:dyDescent="0.25">
      <c r="A118" s="100"/>
      <c r="B118" s="47"/>
      <c r="C118" s="80"/>
      <c r="D118" s="98"/>
      <c r="E118" s="80"/>
      <c r="F118" s="145"/>
      <c r="G118" s="145"/>
      <c r="H118" s="145"/>
      <c r="K118" s="265" t="s">
        <v>84</v>
      </c>
      <c r="L118" s="265"/>
      <c r="M118" s="265"/>
      <c r="N118" s="265"/>
      <c r="P118" s="270" t="s">
        <v>82</v>
      </c>
      <c r="Q118" s="270"/>
      <c r="R118" s="270"/>
      <c r="S118" s="270"/>
      <c r="U118" s="270" t="s">
        <v>85</v>
      </c>
      <c r="V118" s="270"/>
      <c r="W118" s="270"/>
      <c r="X118" s="270"/>
    </row>
    <row r="119" spans="1:30" ht="22.15" customHeight="1" x14ac:dyDescent="0.25">
      <c r="K119" s="271" t="s">
        <v>154</v>
      </c>
      <c r="L119" s="272"/>
      <c r="M119" s="272"/>
      <c r="N119" s="273"/>
      <c r="P119" s="271" t="s">
        <v>154</v>
      </c>
      <c r="Q119" s="272"/>
      <c r="R119" s="272"/>
      <c r="S119" s="273"/>
      <c r="U119" s="271" t="s">
        <v>154</v>
      </c>
      <c r="V119" s="272"/>
      <c r="W119" s="272"/>
      <c r="X119" s="273"/>
    </row>
    <row r="120" spans="1:30" ht="45" x14ac:dyDescent="0.25">
      <c r="B120" s="18" t="s">
        <v>6</v>
      </c>
      <c r="C120" s="14" t="s">
        <v>7</v>
      </c>
      <c r="D120" s="21" t="s">
        <v>8</v>
      </c>
      <c r="E120" s="260" t="s">
        <v>9</v>
      </c>
      <c r="F120" s="260"/>
      <c r="G120" s="260"/>
      <c r="H120" s="260"/>
      <c r="K120" s="97"/>
      <c r="L120" s="119" t="s">
        <v>155</v>
      </c>
      <c r="M120" s="97" t="s">
        <v>120</v>
      </c>
      <c r="N120" s="97" t="s">
        <v>119</v>
      </c>
      <c r="P120" s="97"/>
      <c r="Q120" s="119" t="s">
        <v>155</v>
      </c>
      <c r="R120" s="97" t="s">
        <v>120</v>
      </c>
      <c r="S120" s="97" t="s">
        <v>119</v>
      </c>
      <c r="U120" s="97"/>
      <c r="V120" s="119" t="s">
        <v>155</v>
      </c>
      <c r="W120" s="97" t="s">
        <v>120</v>
      </c>
      <c r="X120" s="97" t="s">
        <v>119</v>
      </c>
    </row>
    <row r="121" spans="1:30" ht="31.9" customHeight="1" x14ac:dyDescent="0.25">
      <c r="B121" s="2" t="s">
        <v>64</v>
      </c>
      <c r="C121" s="173">
        <f>C136*C137*(1-0.1)</f>
        <v>45000</v>
      </c>
      <c r="D121" s="30" t="s">
        <v>65</v>
      </c>
      <c r="E121" s="261" t="s">
        <v>283</v>
      </c>
      <c r="F121" s="261"/>
      <c r="G121" s="261"/>
      <c r="H121" s="261"/>
      <c r="K121" s="51" t="s">
        <v>89</v>
      </c>
      <c r="L121" s="164">
        <f>D142-1</f>
        <v>-9.9999999999999978E-2</v>
      </c>
      <c r="M121" s="63">
        <f>$F82*F81</f>
        <v>0.5</v>
      </c>
      <c r="N121" s="117">
        <f>L121*M121</f>
        <v>-4.9999999999999989E-2</v>
      </c>
      <c r="P121" s="51" t="s">
        <v>89</v>
      </c>
      <c r="Q121" s="151">
        <f>E142-1</f>
        <v>-0.12</v>
      </c>
      <c r="R121" s="63">
        <f>F96*F95</f>
        <v>0.5</v>
      </c>
      <c r="S121" s="117">
        <f>Q121*R121</f>
        <v>-0.06</v>
      </c>
      <c r="U121" s="51" t="s">
        <v>89</v>
      </c>
      <c r="V121" s="151">
        <f>F142-1</f>
        <v>-0.19999999999999996</v>
      </c>
      <c r="W121" s="63">
        <f>F108*F107</f>
        <v>0.5</v>
      </c>
      <c r="X121" s="117">
        <f>V121*W121</f>
        <v>-9.9999999999999978E-2</v>
      </c>
    </row>
    <row r="122" spans="1:30" ht="17.25" customHeight="1" x14ac:dyDescent="0.25">
      <c r="B122" s="2" t="s">
        <v>66</v>
      </c>
      <c r="C122" s="152">
        <v>3.5000000000000003E-2</v>
      </c>
      <c r="D122" s="30" t="s">
        <v>67</v>
      </c>
      <c r="E122" s="261"/>
      <c r="F122" s="261"/>
      <c r="G122" s="261"/>
      <c r="H122" s="261"/>
      <c r="K122" s="51" t="s">
        <v>83</v>
      </c>
      <c r="L122" s="106">
        <v>0</v>
      </c>
      <c r="M122" s="63">
        <f>M121</f>
        <v>0.5</v>
      </c>
      <c r="N122" s="117">
        <f t="shared" ref="N122:N123" si="49">L122*M122</f>
        <v>0</v>
      </c>
      <c r="P122" s="51" t="s">
        <v>83</v>
      </c>
      <c r="Q122" s="106">
        <v>0</v>
      </c>
      <c r="R122" s="63">
        <f>R121</f>
        <v>0.5</v>
      </c>
      <c r="S122" s="117">
        <f t="shared" ref="S122:S123" si="50">Q122*R122</f>
        <v>0</v>
      </c>
      <c r="U122" s="51" t="s">
        <v>83</v>
      </c>
      <c r="V122" s="106">
        <v>0</v>
      </c>
      <c r="W122" s="63">
        <f>W121</f>
        <v>0.5</v>
      </c>
      <c r="X122" s="117">
        <f t="shared" ref="X122:X123" si="51">V122*W122</f>
        <v>0</v>
      </c>
    </row>
    <row r="123" spans="1:30" ht="17.25" customHeight="1" x14ac:dyDescent="0.25">
      <c r="B123" s="2" t="s">
        <v>68</v>
      </c>
      <c r="C123" s="124">
        <v>0.02</v>
      </c>
      <c r="D123" s="30" t="s">
        <v>31</v>
      </c>
      <c r="E123" s="261"/>
      <c r="F123" s="261"/>
      <c r="G123" s="261"/>
      <c r="H123" s="261"/>
      <c r="K123" s="51" t="s">
        <v>83</v>
      </c>
      <c r="L123" s="106">
        <v>0</v>
      </c>
      <c r="M123" s="63">
        <f t="shared" ref="M123" si="52">M122</f>
        <v>0.5</v>
      </c>
      <c r="N123" s="117">
        <f t="shared" si="49"/>
        <v>0</v>
      </c>
      <c r="P123" s="51" t="s">
        <v>83</v>
      </c>
      <c r="Q123" s="106">
        <v>0</v>
      </c>
      <c r="R123" s="63">
        <f t="shared" ref="R123" si="53">R122</f>
        <v>0.5</v>
      </c>
      <c r="S123" s="117">
        <f t="shared" si="50"/>
        <v>0</v>
      </c>
      <c r="U123" s="51" t="s">
        <v>83</v>
      </c>
      <c r="V123" s="106">
        <v>0</v>
      </c>
      <c r="W123" s="63">
        <f t="shared" ref="W123" si="54">W122</f>
        <v>0.5</v>
      </c>
      <c r="X123" s="117">
        <f t="shared" si="51"/>
        <v>0</v>
      </c>
    </row>
    <row r="124" spans="1:30" x14ac:dyDescent="0.25">
      <c r="L124" s="100"/>
      <c r="M124" s="100"/>
      <c r="N124" s="100"/>
      <c r="Q124" s="100"/>
      <c r="R124" s="100"/>
      <c r="S124" s="100"/>
      <c r="V124" s="100"/>
      <c r="W124" s="100"/>
      <c r="X124" s="100"/>
    </row>
    <row r="125" spans="1:30" x14ac:dyDescent="0.25">
      <c r="L125" s="100"/>
      <c r="M125" s="100"/>
      <c r="N125" s="100"/>
      <c r="Q125" s="100"/>
      <c r="R125" s="100"/>
      <c r="S125" s="100"/>
      <c r="V125" s="100"/>
      <c r="W125" s="100"/>
      <c r="X125" s="100"/>
    </row>
    <row r="126" spans="1:30" x14ac:dyDescent="0.25">
      <c r="B126" s="18" t="s">
        <v>13</v>
      </c>
      <c r="C126" s="15" t="s">
        <v>7</v>
      </c>
      <c r="D126" s="22" t="s">
        <v>8</v>
      </c>
      <c r="E126" s="262" t="s">
        <v>9</v>
      </c>
      <c r="F126" s="262"/>
      <c r="G126" s="262"/>
      <c r="H126" s="262"/>
      <c r="L126" s="100"/>
      <c r="M126" s="100"/>
      <c r="N126" s="100"/>
      <c r="Q126" s="100"/>
      <c r="R126" s="100"/>
      <c r="S126" s="100"/>
      <c r="V126" s="100"/>
      <c r="W126" s="100"/>
      <c r="X126" s="100"/>
    </row>
    <row r="127" spans="1:30" ht="16.899999999999999" customHeight="1" x14ac:dyDescent="0.25">
      <c r="B127" s="2" t="s">
        <v>69</v>
      </c>
      <c r="C127" s="152">
        <v>400</v>
      </c>
      <c r="D127" s="30" t="s">
        <v>12</v>
      </c>
      <c r="E127" s="253" t="s">
        <v>14</v>
      </c>
      <c r="F127" s="254"/>
      <c r="G127" s="254"/>
      <c r="H127" s="255"/>
      <c r="K127" s="51" t="s">
        <v>83</v>
      </c>
      <c r="L127" s="106">
        <v>0</v>
      </c>
      <c r="M127" s="63">
        <f>M121</f>
        <v>0.5</v>
      </c>
      <c r="N127" s="71">
        <f>L127*M127</f>
        <v>0</v>
      </c>
      <c r="P127" s="51" t="s">
        <v>83</v>
      </c>
      <c r="Q127" s="106">
        <v>0</v>
      </c>
      <c r="R127" s="63">
        <f>R123</f>
        <v>0.5</v>
      </c>
      <c r="S127" s="120">
        <f>Q127*R127</f>
        <v>0</v>
      </c>
      <c r="U127" s="51" t="s">
        <v>83</v>
      </c>
      <c r="V127" s="106">
        <v>0</v>
      </c>
      <c r="W127" s="63">
        <f>W123</f>
        <v>0.5</v>
      </c>
      <c r="X127" s="150">
        <f>V127*W127</f>
        <v>0</v>
      </c>
    </row>
    <row r="128" spans="1:30" x14ac:dyDescent="0.25">
      <c r="B128" s="2" t="s">
        <v>70</v>
      </c>
      <c r="C128" s="163">
        <f>C136*C137*C138</f>
        <v>850.00000000000011</v>
      </c>
      <c r="D128" s="30" t="s">
        <v>50</v>
      </c>
      <c r="E128" s="253" t="s">
        <v>168</v>
      </c>
      <c r="F128" s="254"/>
      <c r="G128" s="254"/>
      <c r="H128" s="255"/>
      <c r="K128" s="51" t="s">
        <v>83</v>
      </c>
      <c r="L128" s="106">
        <v>0</v>
      </c>
      <c r="M128" s="63">
        <f t="shared" ref="M128" si="55">M122</f>
        <v>0.5</v>
      </c>
      <c r="N128" s="117">
        <f t="shared" ref="N128:N130" si="56">L128*M128</f>
        <v>0</v>
      </c>
      <c r="P128" s="51" t="s">
        <v>83</v>
      </c>
      <c r="Q128" s="106">
        <v>0</v>
      </c>
      <c r="R128" s="63">
        <f>R127</f>
        <v>0.5</v>
      </c>
      <c r="S128" s="120">
        <f t="shared" ref="S128:S134" si="57">Q128*R128</f>
        <v>0</v>
      </c>
      <c r="U128" s="51" t="s">
        <v>83</v>
      </c>
      <c r="V128" s="106">
        <v>0</v>
      </c>
      <c r="W128" s="63">
        <f>W127</f>
        <v>0.5</v>
      </c>
      <c r="X128" s="150">
        <f t="shared" ref="X128:X134" si="58">V128*W128</f>
        <v>0</v>
      </c>
    </row>
    <row r="129" spans="2:24" x14ac:dyDescent="0.25">
      <c r="B129" s="9" t="s">
        <v>39</v>
      </c>
      <c r="C129" s="122">
        <v>50</v>
      </c>
      <c r="D129" s="30" t="s">
        <v>50</v>
      </c>
      <c r="E129" s="253" t="s">
        <v>168</v>
      </c>
      <c r="F129" s="254"/>
      <c r="G129" s="254"/>
      <c r="H129" s="255"/>
      <c r="K129" s="99" t="s">
        <v>86</v>
      </c>
      <c r="L129" s="106">
        <v>0.03</v>
      </c>
      <c r="M129" s="63">
        <f>M128</f>
        <v>0.5</v>
      </c>
      <c r="N129" s="117">
        <f t="shared" si="56"/>
        <v>1.4999999999999999E-2</v>
      </c>
      <c r="P129" s="99" t="s">
        <v>86</v>
      </c>
      <c r="Q129" s="106">
        <v>0.05</v>
      </c>
      <c r="R129" s="63">
        <f t="shared" ref="R129:R133" si="59">R128</f>
        <v>0.5</v>
      </c>
      <c r="S129" s="120">
        <f t="shared" si="57"/>
        <v>2.5000000000000001E-2</v>
      </c>
      <c r="U129" s="99" t="s">
        <v>86</v>
      </c>
      <c r="V129" s="106">
        <v>0.15</v>
      </c>
      <c r="W129" s="63">
        <f t="shared" ref="W129:W133" si="60">W128</f>
        <v>0.5</v>
      </c>
      <c r="X129" s="150">
        <f t="shared" si="58"/>
        <v>7.4999999999999997E-2</v>
      </c>
    </row>
    <row r="130" spans="2:24" x14ac:dyDescent="0.25">
      <c r="B130" s="118" t="s">
        <v>166</v>
      </c>
      <c r="C130" s="122">
        <v>40</v>
      </c>
      <c r="D130" s="30" t="s">
        <v>50</v>
      </c>
      <c r="E130" s="253" t="s">
        <v>168</v>
      </c>
      <c r="F130" s="254"/>
      <c r="G130" s="254"/>
      <c r="H130" s="255"/>
      <c r="K130" s="51" t="s">
        <v>83</v>
      </c>
      <c r="L130" s="106">
        <v>0</v>
      </c>
      <c r="M130" s="63">
        <f>M129</f>
        <v>0.5</v>
      </c>
      <c r="N130" s="117">
        <f t="shared" si="56"/>
        <v>0</v>
      </c>
      <c r="P130" s="51" t="s">
        <v>83</v>
      </c>
      <c r="Q130" s="106">
        <v>0</v>
      </c>
      <c r="R130" s="63">
        <f t="shared" si="59"/>
        <v>0.5</v>
      </c>
      <c r="S130" s="120">
        <f t="shared" si="57"/>
        <v>0</v>
      </c>
      <c r="U130" s="51" t="s">
        <v>83</v>
      </c>
      <c r="V130" s="106">
        <v>0</v>
      </c>
      <c r="W130" s="63">
        <f t="shared" si="60"/>
        <v>0.5</v>
      </c>
      <c r="X130" s="150">
        <f t="shared" si="58"/>
        <v>0</v>
      </c>
    </row>
    <row r="131" spans="2:24" ht="15" customHeight="1" x14ac:dyDescent="0.25">
      <c r="B131" s="118" t="s">
        <v>15</v>
      </c>
      <c r="C131" s="122">
        <v>60</v>
      </c>
      <c r="D131" s="30" t="s">
        <v>124</v>
      </c>
      <c r="E131" s="176"/>
      <c r="F131" s="177"/>
      <c r="G131" s="177"/>
      <c r="H131" s="178"/>
      <c r="K131" s="51" t="s">
        <v>83</v>
      </c>
      <c r="L131" s="106">
        <v>0</v>
      </c>
      <c r="M131" s="63">
        <f t="shared" ref="M131:M133" si="61">M130</f>
        <v>0.5</v>
      </c>
      <c r="N131" s="117">
        <f t="shared" ref="N131:N133" si="62">L131*M131</f>
        <v>0</v>
      </c>
      <c r="P131" s="51" t="s">
        <v>83</v>
      </c>
      <c r="Q131" s="106">
        <v>0</v>
      </c>
      <c r="R131" s="63">
        <f t="shared" si="59"/>
        <v>0.5</v>
      </c>
      <c r="S131" s="120">
        <f t="shared" ref="S131:S133" si="63">Q131*R131</f>
        <v>0</v>
      </c>
      <c r="U131" s="51" t="s">
        <v>83</v>
      </c>
      <c r="V131" s="106">
        <v>0</v>
      </c>
      <c r="W131" s="63">
        <f t="shared" si="60"/>
        <v>0.5</v>
      </c>
      <c r="X131" s="150">
        <f t="shared" ref="X131:X133" si="64">V131*W131</f>
        <v>0</v>
      </c>
    </row>
    <row r="132" spans="2:24" ht="16.899999999999999" customHeight="1" x14ac:dyDescent="0.25">
      <c r="B132" s="118" t="s">
        <v>16</v>
      </c>
      <c r="C132" s="122">
        <v>7</v>
      </c>
      <c r="D132" s="30" t="s">
        <v>41</v>
      </c>
      <c r="E132" s="176"/>
      <c r="F132" s="177"/>
      <c r="G132" s="177"/>
      <c r="H132" s="178"/>
      <c r="K132" s="51" t="s">
        <v>83</v>
      </c>
      <c r="L132" s="106">
        <v>0</v>
      </c>
      <c r="M132" s="63">
        <f t="shared" si="61"/>
        <v>0.5</v>
      </c>
      <c r="N132" s="117">
        <f t="shared" si="62"/>
        <v>0</v>
      </c>
      <c r="P132" s="51" t="s">
        <v>83</v>
      </c>
      <c r="Q132" s="106">
        <v>0</v>
      </c>
      <c r="R132" s="63">
        <f t="shared" si="59"/>
        <v>0.5</v>
      </c>
      <c r="S132" s="120">
        <f t="shared" si="63"/>
        <v>0</v>
      </c>
      <c r="U132" s="51" t="s">
        <v>83</v>
      </c>
      <c r="V132" s="106">
        <v>0</v>
      </c>
      <c r="W132" s="63">
        <f t="shared" si="60"/>
        <v>0.5</v>
      </c>
      <c r="X132" s="150">
        <f t="shared" si="64"/>
        <v>0</v>
      </c>
    </row>
    <row r="133" spans="2:24" x14ac:dyDescent="0.25">
      <c r="B133" s="118" t="s">
        <v>157</v>
      </c>
      <c r="C133" s="111">
        <v>0.01</v>
      </c>
      <c r="D133" s="30" t="s">
        <v>19</v>
      </c>
      <c r="E133" s="176"/>
      <c r="F133" s="177"/>
      <c r="G133" s="177"/>
      <c r="H133" s="178"/>
      <c r="K133" s="51" t="s">
        <v>83</v>
      </c>
      <c r="L133" s="106">
        <v>0</v>
      </c>
      <c r="M133" s="63">
        <f t="shared" si="61"/>
        <v>0.5</v>
      </c>
      <c r="N133" s="117">
        <f t="shared" si="62"/>
        <v>0</v>
      </c>
      <c r="P133" s="51" t="s">
        <v>83</v>
      </c>
      <c r="Q133" s="106">
        <v>0</v>
      </c>
      <c r="R133" s="63">
        <f t="shared" si="59"/>
        <v>0.5</v>
      </c>
      <c r="S133" s="120">
        <f t="shared" si="63"/>
        <v>0</v>
      </c>
      <c r="U133" s="51" t="s">
        <v>83</v>
      </c>
      <c r="V133" s="106">
        <v>0</v>
      </c>
      <c r="W133" s="63">
        <f t="shared" si="60"/>
        <v>0.5</v>
      </c>
      <c r="X133" s="150">
        <f t="shared" si="64"/>
        <v>0</v>
      </c>
    </row>
    <row r="134" spans="2:24" x14ac:dyDescent="0.25">
      <c r="B134" s="9" t="s">
        <v>18</v>
      </c>
      <c r="C134" s="111">
        <v>0.24</v>
      </c>
      <c r="D134" s="29" t="s">
        <v>19</v>
      </c>
      <c r="E134" s="256" t="s">
        <v>20</v>
      </c>
      <c r="F134" s="256"/>
      <c r="G134" s="256"/>
      <c r="H134" s="256"/>
      <c r="K134" s="51" t="s">
        <v>83</v>
      </c>
      <c r="L134" s="106">
        <v>0</v>
      </c>
      <c r="M134" s="63">
        <f>M130</f>
        <v>0.5</v>
      </c>
      <c r="N134" s="117">
        <f>L134*M134</f>
        <v>0</v>
      </c>
      <c r="P134" s="51" t="s">
        <v>83</v>
      </c>
      <c r="Q134" s="106">
        <v>0</v>
      </c>
      <c r="R134" s="63">
        <f>R130</f>
        <v>0.5</v>
      </c>
      <c r="S134" s="120">
        <f t="shared" si="57"/>
        <v>0</v>
      </c>
      <c r="U134" s="51" t="s">
        <v>83</v>
      </c>
      <c r="V134" s="106">
        <v>0</v>
      </c>
      <c r="W134" s="63">
        <f>W130</f>
        <v>0.5</v>
      </c>
      <c r="X134" s="150">
        <f t="shared" si="58"/>
        <v>0</v>
      </c>
    </row>
    <row r="135" spans="2:24" ht="18.600000000000001" customHeight="1" x14ac:dyDescent="0.25">
      <c r="B135" s="10"/>
      <c r="C135" s="68"/>
      <c r="D135" s="109"/>
      <c r="E135" s="110"/>
      <c r="F135" s="110"/>
      <c r="G135" s="110"/>
      <c r="H135" s="110"/>
      <c r="L135" s="78"/>
      <c r="M135" s="116"/>
      <c r="N135" s="153"/>
      <c r="O135" s="114"/>
      <c r="P135" s="114"/>
      <c r="Q135" s="78"/>
      <c r="R135" s="116"/>
      <c r="S135" s="154"/>
      <c r="T135" s="114"/>
      <c r="U135" s="114"/>
      <c r="V135" s="78"/>
      <c r="W135" s="116"/>
      <c r="X135" s="155"/>
    </row>
    <row r="136" spans="2:24" ht="13.9" customHeight="1" x14ac:dyDescent="0.25">
      <c r="B136" s="9" t="s">
        <v>172</v>
      </c>
      <c r="C136" s="160">
        <v>10000</v>
      </c>
      <c r="D136" s="29" t="s">
        <v>173</v>
      </c>
      <c r="E136" s="110"/>
      <c r="F136" s="110"/>
      <c r="G136" s="110"/>
      <c r="H136" s="110"/>
      <c r="L136" s="78"/>
      <c r="M136" s="116"/>
      <c r="N136" s="153"/>
      <c r="O136" s="114"/>
      <c r="P136" s="114"/>
      <c r="Q136" s="78"/>
      <c r="R136" s="116"/>
      <c r="S136" s="154"/>
      <c r="T136" s="114"/>
      <c r="U136" s="114"/>
      <c r="V136" s="78"/>
      <c r="W136" s="116"/>
      <c r="X136" s="155"/>
    </row>
    <row r="137" spans="2:24" ht="12.6" customHeight="1" x14ac:dyDescent="0.25">
      <c r="B137" s="125" t="s">
        <v>174</v>
      </c>
      <c r="C137" s="160">
        <v>5</v>
      </c>
      <c r="D137" s="29" t="s">
        <v>17</v>
      </c>
      <c r="E137" s="110"/>
      <c r="F137" s="110"/>
      <c r="G137" s="110"/>
      <c r="H137" s="110"/>
      <c r="L137" s="78"/>
      <c r="M137" s="116"/>
      <c r="N137" s="153"/>
      <c r="O137" s="114"/>
      <c r="P137" s="114"/>
      <c r="Q137" s="78"/>
      <c r="R137" s="116"/>
      <c r="S137" s="154"/>
      <c r="T137" s="114"/>
      <c r="U137" s="114"/>
      <c r="V137" s="78"/>
      <c r="W137" s="116"/>
      <c r="X137" s="155"/>
    </row>
    <row r="138" spans="2:24" ht="12.6" customHeight="1" x14ac:dyDescent="0.25">
      <c r="B138" s="9" t="s">
        <v>175</v>
      </c>
      <c r="C138" s="162">
        <f>Assumption_Hatchery!C122</f>
        <v>1.7000000000000001E-2</v>
      </c>
      <c r="D138" s="29"/>
      <c r="E138" s="110"/>
      <c r="F138" s="110"/>
      <c r="G138" s="110"/>
      <c r="H138" s="110"/>
      <c r="L138" s="78"/>
      <c r="M138" s="116"/>
      <c r="N138" s="153"/>
      <c r="O138" s="114"/>
      <c r="P138" s="114"/>
      <c r="Q138" s="78"/>
      <c r="R138" s="116"/>
      <c r="S138" s="154"/>
      <c r="T138" s="114"/>
      <c r="U138" s="114"/>
      <c r="V138" s="78"/>
      <c r="W138" s="116"/>
      <c r="X138" s="155"/>
    </row>
    <row r="139" spans="2:24" ht="12.6" customHeight="1" x14ac:dyDescent="0.25">
      <c r="B139" s="10"/>
      <c r="C139" s="161"/>
      <c r="D139" s="109"/>
      <c r="E139" s="110"/>
      <c r="F139" s="110"/>
      <c r="G139" s="110"/>
      <c r="H139" s="110"/>
      <c r="L139" s="78"/>
      <c r="M139" s="116"/>
      <c r="N139" s="153"/>
      <c r="O139" s="114"/>
      <c r="P139" s="114"/>
      <c r="Q139" s="78"/>
      <c r="R139" s="116"/>
      <c r="S139" s="154"/>
      <c r="T139" s="114"/>
      <c r="U139" s="114"/>
      <c r="V139" s="78"/>
      <c r="W139" s="116"/>
      <c r="X139" s="155"/>
    </row>
    <row r="140" spans="2:24" ht="12.6" customHeight="1" x14ac:dyDescent="0.25">
      <c r="B140" s="10" t="s">
        <v>176</v>
      </c>
      <c r="F140" s="110"/>
      <c r="G140" s="110"/>
      <c r="H140" s="110"/>
      <c r="L140" s="78"/>
      <c r="M140" s="116"/>
      <c r="N140" s="153"/>
      <c r="O140" s="114"/>
      <c r="P140" s="114"/>
      <c r="Q140" s="78"/>
      <c r="R140" s="116"/>
      <c r="S140" s="154"/>
      <c r="T140" s="114"/>
      <c r="U140" s="114"/>
      <c r="V140" s="78"/>
      <c r="W140" s="116"/>
      <c r="X140" s="155"/>
    </row>
    <row r="141" spans="2:24" ht="12.6" customHeight="1" x14ac:dyDescent="0.25">
      <c r="B141" s="51"/>
      <c r="C141" s="75" t="s">
        <v>178</v>
      </c>
      <c r="D141" s="162" t="s">
        <v>84</v>
      </c>
      <c r="E141" s="29" t="s">
        <v>82</v>
      </c>
      <c r="F141" s="31" t="s">
        <v>85</v>
      </c>
      <c r="G141" s="110"/>
      <c r="H141" s="110"/>
      <c r="L141" s="78"/>
      <c r="M141" s="116"/>
      <c r="N141" s="153"/>
      <c r="O141" s="114"/>
      <c r="P141" s="114"/>
      <c r="Q141" s="78"/>
      <c r="R141" s="116"/>
      <c r="S141" s="154"/>
      <c r="T141" s="114"/>
      <c r="U141" s="114"/>
      <c r="V141" s="78"/>
      <c r="W141" s="116"/>
      <c r="X141" s="155"/>
    </row>
    <row r="142" spans="2:24" ht="12.6" customHeight="1" x14ac:dyDescent="0.25">
      <c r="B142" s="9" t="s">
        <v>177</v>
      </c>
      <c r="C142" s="151"/>
      <c r="D142" s="159">
        <v>0.9</v>
      </c>
      <c r="E142" s="159">
        <v>0.88</v>
      </c>
      <c r="F142" s="165">
        <v>0.8</v>
      </c>
      <c r="G142" s="110"/>
      <c r="H142" s="110"/>
      <c r="L142" s="78"/>
      <c r="M142" s="116"/>
      <c r="N142" s="153"/>
      <c r="O142" s="114"/>
      <c r="P142" s="114"/>
      <c r="Q142" s="78"/>
      <c r="R142" s="116"/>
      <c r="S142" s="154"/>
      <c r="T142" s="114"/>
      <c r="U142" s="114"/>
      <c r="V142" s="78"/>
      <c r="W142" s="116"/>
      <c r="X142" s="155"/>
    </row>
    <row r="143" spans="2:24" ht="12.6" customHeight="1" x14ac:dyDescent="0.25">
      <c r="B143" s="10"/>
      <c r="C143" s="161"/>
      <c r="D143" s="109"/>
      <c r="E143" s="110"/>
      <c r="F143" s="110"/>
      <c r="G143" s="110"/>
      <c r="H143" s="110"/>
      <c r="L143" s="78"/>
      <c r="M143" s="116"/>
      <c r="N143" s="153"/>
      <c r="O143" s="114"/>
      <c r="P143" s="114"/>
      <c r="Q143" s="78"/>
      <c r="R143" s="116"/>
      <c r="S143" s="154"/>
      <c r="T143" s="114"/>
      <c r="U143" s="114"/>
      <c r="V143" s="78"/>
      <c r="W143" s="116"/>
      <c r="X143" s="155"/>
    </row>
    <row r="144" spans="2:24" ht="18.600000000000001" customHeight="1" x14ac:dyDescent="0.25">
      <c r="B144" s="10"/>
      <c r="C144" s="161"/>
      <c r="D144" s="109"/>
      <c r="E144" s="110"/>
      <c r="F144" s="110"/>
      <c r="G144" s="110"/>
      <c r="H144" s="110"/>
      <c r="L144" s="78"/>
      <c r="M144" s="116"/>
      <c r="N144" s="153"/>
      <c r="O144" s="114"/>
      <c r="P144" s="114"/>
      <c r="Q144" s="78"/>
      <c r="R144" s="116"/>
      <c r="S144" s="154"/>
      <c r="T144" s="114"/>
      <c r="U144" s="114"/>
      <c r="V144" s="78"/>
      <c r="W144" s="116"/>
      <c r="X144" s="155"/>
    </row>
    <row r="145" spans="1:28" x14ac:dyDescent="0.25">
      <c r="B145" s="10"/>
      <c r="C145" s="68"/>
      <c r="D145" s="109"/>
      <c r="E145" s="110"/>
      <c r="F145" s="110"/>
      <c r="G145" s="110"/>
      <c r="H145" s="110"/>
    </row>
    <row r="146" spans="1:28" x14ac:dyDescent="0.25">
      <c r="A146" s="70">
        <v>7</v>
      </c>
      <c r="B146" s="47" t="s">
        <v>193</v>
      </c>
      <c r="C146" s="100"/>
      <c r="D146" s="113"/>
      <c r="E146" s="113"/>
      <c r="F146" s="113"/>
      <c r="G146" s="113"/>
      <c r="H146" s="113"/>
      <c r="I146" s="113"/>
      <c r="J146" s="113"/>
      <c r="K146" s="113"/>
      <c r="L146" s="113"/>
      <c r="M146" s="113"/>
      <c r="N146" s="113"/>
      <c r="O146" s="113"/>
      <c r="P146" s="113"/>
      <c r="Q146" s="113"/>
      <c r="R146" s="113"/>
      <c r="S146" s="113"/>
      <c r="T146" s="113"/>
      <c r="U146" s="113"/>
      <c r="V146" s="113"/>
      <c r="W146" s="113"/>
      <c r="X146" s="113"/>
    </row>
    <row r="147" spans="1:28" x14ac:dyDescent="0.25">
      <c r="C147" s="100"/>
      <c r="D147" s="113"/>
      <c r="E147" s="113"/>
      <c r="F147" s="113"/>
      <c r="G147" s="113"/>
      <c r="H147" s="113"/>
      <c r="I147" s="113"/>
      <c r="J147" s="113"/>
      <c r="K147" s="113"/>
      <c r="L147" s="113"/>
      <c r="M147" s="113"/>
      <c r="N147" s="113"/>
      <c r="O147" s="113"/>
      <c r="P147" s="113"/>
      <c r="Q147" s="113"/>
      <c r="R147" s="113"/>
      <c r="S147" s="113"/>
      <c r="T147" s="113"/>
      <c r="U147" s="113"/>
      <c r="V147" s="113"/>
      <c r="W147" s="113"/>
      <c r="X147" s="113"/>
    </row>
    <row r="148" spans="1:28" x14ac:dyDescent="0.25">
      <c r="B148" s="18" t="s">
        <v>6</v>
      </c>
      <c r="C148" s="17" t="s">
        <v>22</v>
      </c>
      <c r="D148" s="17">
        <v>0</v>
      </c>
      <c r="E148" s="17">
        <v>1</v>
      </c>
      <c r="F148" s="17">
        <v>2</v>
      </c>
      <c r="G148" s="132">
        <v>3</v>
      </c>
      <c r="H148" s="17">
        <v>4</v>
      </c>
      <c r="I148" s="17">
        <v>5</v>
      </c>
      <c r="J148" s="132">
        <v>6</v>
      </c>
      <c r="K148" s="17">
        <v>7</v>
      </c>
      <c r="L148" s="17">
        <v>8</v>
      </c>
      <c r="M148" s="132">
        <v>9</v>
      </c>
      <c r="N148" s="17">
        <v>10</v>
      </c>
      <c r="O148" s="17">
        <v>11</v>
      </c>
      <c r="P148" s="132">
        <v>12</v>
      </c>
      <c r="Q148" s="17">
        <v>13</v>
      </c>
      <c r="R148" s="17">
        <v>14</v>
      </c>
      <c r="S148" s="132">
        <v>15</v>
      </c>
      <c r="T148" s="17">
        <v>16</v>
      </c>
      <c r="U148" s="17">
        <v>17</v>
      </c>
      <c r="V148" s="132">
        <v>18</v>
      </c>
      <c r="W148" s="17">
        <v>19</v>
      </c>
      <c r="X148" s="17">
        <v>20</v>
      </c>
      <c r="Y148" s="132">
        <v>21</v>
      </c>
      <c r="Z148" s="17">
        <v>22</v>
      </c>
      <c r="AA148" s="17">
        <v>23</v>
      </c>
      <c r="AB148" s="132">
        <v>24</v>
      </c>
    </row>
    <row r="149" spans="1:28" x14ac:dyDescent="0.25">
      <c r="B149" s="118" t="str">
        <f>B121</f>
        <v>Small Crab Production</v>
      </c>
      <c r="C149" s="70" t="str">
        <f>K121</f>
        <v>Decrease</v>
      </c>
      <c r="D149" s="128">
        <f>C121</f>
        <v>45000</v>
      </c>
      <c r="E149" s="128">
        <f>D149</f>
        <v>45000</v>
      </c>
      <c r="F149" s="128">
        <f>E149</f>
        <v>45000</v>
      </c>
      <c r="G149" s="170">
        <f>F149*(1+$N121)</f>
        <v>42750</v>
      </c>
      <c r="H149" s="128">
        <f>E149</f>
        <v>45000</v>
      </c>
      <c r="I149" s="128">
        <f t="shared" ref="I149" si="65">F149</f>
        <v>45000</v>
      </c>
      <c r="J149" s="170">
        <f>I149*(1+$N121)</f>
        <v>42750</v>
      </c>
      <c r="K149" s="128">
        <f>H149</f>
        <v>45000</v>
      </c>
      <c r="L149" s="128">
        <f>K149</f>
        <v>45000</v>
      </c>
      <c r="M149" s="170">
        <f>L149*(1+$N121)</f>
        <v>42750</v>
      </c>
      <c r="N149" s="128">
        <f>K149</f>
        <v>45000</v>
      </c>
      <c r="O149" s="128">
        <f t="shared" ref="O149" si="66">L149</f>
        <v>45000</v>
      </c>
      <c r="P149" s="170">
        <f>O149*(1+$N121)</f>
        <v>42750</v>
      </c>
      <c r="Q149" s="128">
        <f>N149</f>
        <v>45000</v>
      </c>
      <c r="R149" s="128">
        <f>O149</f>
        <v>45000</v>
      </c>
      <c r="S149" s="170">
        <f>R149*(1+$N121)</f>
        <v>42750</v>
      </c>
      <c r="T149" s="128">
        <f>Q149</f>
        <v>45000</v>
      </c>
      <c r="U149" s="128">
        <f>R149</f>
        <v>45000</v>
      </c>
      <c r="V149" s="170">
        <f>U149*(1+$N121)</f>
        <v>42750</v>
      </c>
      <c r="W149" s="128">
        <f>T149</f>
        <v>45000</v>
      </c>
      <c r="X149" s="128">
        <f>U149</f>
        <v>45000</v>
      </c>
      <c r="Y149" s="170">
        <f>X149*(1+$N121)</f>
        <v>42750</v>
      </c>
      <c r="Z149" s="128">
        <f>W149</f>
        <v>45000</v>
      </c>
      <c r="AA149" s="128">
        <f>X149</f>
        <v>45000</v>
      </c>
      <c r="AB149" s="170">
        <f>AA149*(1+$N121)</f>
        <v>42750</v>
      </c>
    </row>
    <row r="150" spans="1:28" x14ac:dyDescent="0.25">
      <c r="B150" s="118" t="str">
        <f>B122</f>
        <v>Price of small crab</v>
      </c>
      <c r="C150" s="70" t="str">
        <f>K122</f>
        <v>No change</v>
      </c>
      <c r="D150" s="129">
        <f>C122</f>
        <v>3.5000000000000003E-2</v>
      </c>
      <c r="E150" s="129">
        <f>D150</f>
        <v>3.5000000000000003E-2</v>
      </c>
      <c r="F150" s="129">
        <f t="shared" ref="F150:AB151" si="67">E150</f>
        <v>3.5000000000000003E-2</v>
      </c>
      <c r="G150" s="129">
        <f t="shared" si="67"/>
        <v>3.5000000000000003E-2</v>
      </c>
      <c r="H150" s="129">
        <f t="shared" si="67"/>
        <v>3.5000000000000003E-2</v>
      </c>
      <c r="I150" s="129">
        <f t="shared" si="67"/>
        <v>3.5000000000000003E-2</v>
      </c>
      <c r="J150" s="129">
        <f t="shared" si="67"/>
        <v>3.5000000000000003E-2</v>
      </c>
      <c r="K150" s="129">
        <f t="shared" si="67"/>
        <v>3.5000000000000003E-2</v>
      </c>
      <c r="L150" s="129">
        <f t="shared" si="67"/>
        <v>3.5000000000000003E-2</v>
      </c>
      <c r="M150" s="129">
        <f t="shared" si="67"/>
        <v>3.5000000000000003E-2</v>
      </c>
      <c r="N150" s="129">
        <f t="shared" si="67"/>
        <v>3.5000000000000003E-2</v>
      </c>
      <c r="O150" s="129">
        <f t="shared" si="67"/>
        <v>3.5000000000000003E-2</v>
      </c>
      <c r="P150" s="129">
        <f t="shared" si="67"/>
        <v>3.5000000000000003E-2</v>
      </c>
      <c r="Q150" s="129">
        <f t="shared" si="67"/>
        <v>3.5000000000000003E-2</v>
      </c>
      <c r="R150" s="129">
        <f t="shared" si="67"/>
        <v>3.5000000000000003E-2</v>
      </c>
      <c r="S150" s="129">
        <f t="shared" si="67"/>
        <v>3.5000000000000003E-2</v>
      </c>
      <c r="T150" s="129">
        <f t="shared" si="67"/>
        <v>3.5000000000000003E-2</v>
      </c>
      <c r="U150" s="129">
        <f t="shared" si="67"/>
        <v>3.5000000000000003E-2</v>
      </c>
      <c r="V150" s="129">
        <f t="shared" si="67"/>
        <v>3.5000000000000003E-2</v>
      </c>
      <c r="W150" s="129">
        <f t="shared" si="67"/>
        <v>3.5000000000000003E-2</v>
      </c>
      <c r="X150" s="129">
        <f t="shared" si="67"/>
        <v>3.5000000000000003E-2</v>
      </c>
      <c r="Y150" s="129">
        <f t="shared" si="67"/>
        <v>3.5000000000000003E-2</v>
      </c>
      <c r="Z150" s="129">
        <f t="shared" si="67"/>
        <v>3.5000000000000003E-2</v>
      </c>
      <c r="AA150" s="129">
        <f t="shared" si="67"/>
        <v>3.5000000000000003E-2</v>
      </c>
      <c r="AB150" s="129">
        <f t="shared" si="67"/>
        <v>3.5000000000000003E-2</v>
      </c>
    </row>
    <row r="151" spans="1:28" x14ac:dyDescent="0.25">
      <c r="B151" s="118" t="str">
        <f>B123</f>
        <v>Change in Crab Price</v>
      </c>
      <c r="C151" s="70" t="str">
        <f>K123</f>
        <v>No change</v>
      </c>
      <c r="D151" s="63">
        <f>C123</f>
        <v>0.02</v>
      </c>
      <c r="E151" s="63">
        <f>D151</f>
        <v>0.02</v>
      </c>
      <c r="F151" s="63">
        <f>E151</f>
        <v>0.02</v>
      </c>
      <c r="G151" s="63">
        <f t="shared" si="67"/>
        <v>0.02</v>
      </c>
      <c r="H151" s="63">
        <f t="shared" si="67"/>
        <v>0.02</v>
      </c>
      <c r="I151" s="63">
        <f t="shared" si="67"/>
        <v>0.02</v>
      </c>
      <c r="J151" s="63">
        <f t="shared" si="67"/>
        <v>0.02</v>
      </c>
      <c r="K151" s="63">
        <f t="shared" si="67"/>
        <v>0.02</v>
      </c>
      <c r="L151" s="63">
        <f t="shared" si="67"/>
        <v>0.02</v>
      </c>
      <c r="M151" s="63">
        <f t="shared" si="67"/>
        <v>0.02</v>
      </c>
      <c r="N151" s="63">
        <f t="shared" si="67"/>
        <v>0.02</v>
      </c>
      <c r="O151" s="63">
        <f t="shared" si="67"/>
        <v>0.02</v>
      </c>
      <c r="P151" s="63">
        <f t="shared" si="67"/>
        <v>0.02</v>
      </c>
      <c r="Q151" s="63">
        <f t="shared" si="67"/>
        <v>0.02</v>
      </c>
      <c r="R151" s="63">
        <f t="shared" si="67"/>
        <v>0.02</v>
      </c>
      <c r="S151" s="63">
        <f t="shared" si="67"/>
        <v>0.02</v>
      </c>
      <c r="T151" s="63">
        <f t="shared" si="67"/>
        <v>0.02</v>
      </c>
      <c r="U151" s="63">
        <f t="shared" si="67"/>
        <v>0.02</v>
      </c>
      <c r="V151" s="63">
        <f t="shared" si="67"/>
        <v>0.02</v>
      </c>
      <c r="W151" s="63">
        <f t="shared" si="67"/>
        <v>0.02</v>
      </c>
      <c r="X151" s="63">
        <f t="shared" si="67"/>
        <v>0.02</v>
      </c>
      <c r="Y151" s="63">
        <f t="shared" si="67"/>
        <v>0.02</v>
      </c>
      <c r="Z151" s="63">
        <f t="shared" si="67"/>
        <v>0.02</v>
      </c>
      <c r="AA151" s="63">
        <f t="shared" si="67"/>
        <v>0.02</v>
      </c>
      <c r="AB151" s="63">
        <f t="shared" si="67"/>
        <v>0.02</v>
      </c>
    </row>
    <row r="152" spans="1:28" x14ac:dyDescent="0.25">
      <c r="J152" s="137"/>
      <c r="M152" s="137"/>
      <c r="P152" s="137"/>
      <c r="S152" s="137"/>
      <c r="V152" s="137"/>
      <c r="Y152" s="137"/>
      <c r="AB152" s="137"/>
    </row>
    <row r="153" spans="1:28" x14ac:dyDescent="0.25">
      <c r="J153" s="137"/>
      <c r="M153" s="137"/>
      <c r="P153" s="137"/>
      <c r="S153" s="137"/>
      <c r="V153" s="137"/>
      <c r="Y153" s="137"/>
      <c r="AB153" s="137"/>
    </row>
    <row r="154" spans="1:28" x14ac:dyDescent="0.25">
      <c r="B154" s="18" t="s">
        <v>13</v>
      </c>
      <c r="C154" s="17" t="s">
        <v>22</v>
      </c>
      <c r="D154" s="17">
        <v>0</v>
      </c>
      <c r="E154" s="17">
        <v>1</v>
      </c>
      <c r="F154" s="17">
        <v>2</v>
      </c>
      <c r="G154" s="132">
        <v>3</v>
      </c>
      <c r="H154" s="17">
        <v>4</v>
      </c>
      <c r="I154" s="17">
        <v>5</v>
      </c>
      <c r="J154" s="132">
        <v>6</v>
      </c>
      <c r="K154" s="17">
        <v>7</v>
      </c>
      <c r="L154" s="17">
        <v>8</v>
      </c>
      <c r="M154" s="132">
        <v>9</v>
      </c>
      <c r="N154" s="17">
        <v>10</v>
      </c>
      <c r="O154" s="17">
        <v>11</v>
      </c>
      <c r="P154" s="132">
        <v>12</v>
      </c>
      <c r="Q154" s="17">
        <v>13</v>
      </c>
      <c r="R154" s="17">
        <v>14</v>
      </c>
      <c r="S154" s="132">
        <v>15</v>
      </c>
      <c r="T154" s="17">
        <v>16</v>
      </c>
      <c r="U154" s="17">
        <v>17</v>
      </c>
      <c r="V154" s="132">
        <v>18</v>
      </c>
      <c r="W154" s="17">
        <v>19</v>
      </c>
      <c r="X154" s="17">
        <v>20</v>
      </c>
      <c r="Y154" s="132">
        <v>21</v>
      </c>
      <c r="Z154" s="17">
        <v>22</v>
      </c>
      <c r="AA154" s="17">
        <v>23</v>
      </c>
      <c r="AB154" s="132">
        <v>24</v>
      </c>
    </row>
    <row r="155" spans="1:28" x14ac:dyDescent="0.25">
      <c r="B155" s="118" t="str">
        <f>B127</f>
        <v>Crab Nursery Establishment</v>
      </c>
      <c r="C155" s="70" t="str">
        <f>K127</f>
        <v>No change</v>
      </c>
      <c r="D155" s="128">
        <f>C127</f>
        <v>400</v>
      </c>
      <c r="E155" s="128">
        <f t="shared" ref="E155:AB162" si="68">D155</f>
        <v>400</v>
      </c>
      <c r="F155" s="128">
        <f t="shared" si="68"/>
        <v>400</v>
      </c>
      <c r="G155" s="128">
        <f t="shared" si="68"/>
        <v>400</v>
      </c>
      <c r="H155" s="128">
        <f t="shared" si="68"/>
        <v>400</v>
      </c>
      <c r="I155" s="128">
        <f t="shared" si="68"/>
        <v>400</v>
      </c>
      <c r="J155" s="128">
        <f t="shared" si="68"/>
        <v>400</v>
      </c>
      <c r="K155" s="128">
        <f t="shared" si="68"/>
        <v>400</v>
      </c>
      <c r="L155" s="128">
        <f t="shared" si="68"/>
        <v>400</v>
      </c>
      <c r="M155" s="128">
        <f t="shared" si="68"/>
        <v>400</v>
      </c>
      <c r="N155" s="128">
        <f t="shared" si="68"/>
        <v>400</v>
      </c>
      <c r="O155" s="128">
        <f t="shared" si="68"/>
        <v>400</v>
      </c>
      <c r="P155" s="128">
        <f t="shared" si="68"/>
        <v>400</v>
      </c>
      <c r="Q155" s="128">
        <f t="shared" si="68"/>
        <v>400</v>
      </c>
      <c r="R155" s="128">
        <f t="shared" si="68"/>
        <v>400</v>
      </c>
      <c r="S155" s="128">
        <f t="shared" si="68"/>
        <v>400</v>
      </c>
      <c r="T155" s="128">
        <f t="shared" si="68"/>
        <v>400</v>
      </c>
      <c r="U155" s="128">
        <f t="shared" si="68"/>
        <v>400</v>
      </c>
      <c r="V155" s="128">
        <f t="shared" si="68"/>
        <v>400</v>
      </c>
      <c r="W155" s="128">
        <f t="shared" si="68"/>
        <v>400</v>
      </c>
      <c r="X155" s="128">
        <f t="shared" si="68"/>
        <v>400</v>
      </c>
      <c r="Y155" s="128">
        <f t="shared" si="68"/>
        <v>400</v>
      </c>
      <c r="Z155" s="128">
        <f t="shared" si="68"/>
        <v>400</v>
      </c>
      <c r="AA155" s="128">
        <f t="shared" si="68"/>
        <v>400</v>
      </c>
      <c r="AB155" s="128">
        <f t="shared" si="68"/>
        <v>400</v>
      </c>
    </row>
    <row r="156" spans="1:28" x14ac:dyDescent="0.25">
      <c r="B156" s="118" t="str">
        <f>B128</f>
        <v>Operation Cost (Crablet purchase)</v>
      </c>
      <c r="C156" s="70" t="str">
        <f>K128</f>
        <v>No change</v>
      </c>
      <c r="D156" s="128">
        <f>C128</f>
        <v>850.00000000000011</v>
      </c>
      <c r="E156" s="128">
        <f t="shared" si="68"/>
        <v>850.00000000000011</v>
      </c>
      <c r="F156" s="128">
        <f t="shared" si="68"/>
        <v>850.00000000000011</v>
      </c>
      <c r="G156" s="128">
        <f t="shared" si="68"/>
        <v>850.00000000000011</v>
      </c>
      <c r="H156" s="128">
        <f t="shared" si="68"/>
        <v>850.00000000000011</v>
      </c>
      <c r="I156" s="128">
        <f t="shared" si="68"/>
        <v>850.00000000000011</v>
      </c>
      <c r="J156" s="128">
        <f t="shared" si="68"/>
        <v>850.00000000000011</v>
      </c>
      <c r="K156" s="128">
        <f t="shared" si="68"/>
        <v>850.00000000000011</v>
      </c>
      <c r="L156" s="128">
        <f t="shared" si="68"/>
        <v>850.00000000000011</v>
      </c>
      <c r="M156" s="128">
        <f t="shared" si="68"/>
        <v>850.00000000000011</v>
      </c>
      <c r="N156" s="128">
        <f t="shared" si="68"/>
        <v>850.00000000000011</v>
      </c>
      <c r="O156" s="128">
        <f t="shared" si="68"/>
        <v>850.00000000000011</v>
      </c>
      <c r="P156" s="128">
        <f t="shared" si="68"/>
        <v>850.00000000000011</v>
      </c>
      <c r="Q156" s="128">
        <f t="shared" si="68"/>
        <v>850.00000000000011</v>
      </c>
      <c r="R156" s="128">
        <f t="shared" si="68"/>
        <v>850.00000000000011</v>
      </c>
      <c r="S156" s="128">
        <f t="shared" si="68"/>
        <v>850.00000000000011</v>
      </c>
      <c r="T156" s="128">
        <f t="shared" si="68"/>
        <v>850.00000000000011</v>
      </c>
      <c r="U156" s="128">
        <f t="shared" si="68"/>
        <v>850.00000000000011</v>
      </c>
      <c r="V156" s="128">
        <f t="shared" si="68"/>
        <v>850.00000000000011</v>
      </c>
      <c r="W156" s="128">
        <f t="shared" si="68"/>
        <v>850.00000000000011</v>
      </c>
      <c r="X156" s="128">
        <f t="shared" si="68"/>
        <v>850.00000000000011</v>
      </c>
      <c r="Y156" s="128">
        <f t="shared" si="68"/>
        <v>850.00000000000011</v>
      </c>
      <c r="Z156" s="128">
        <f t="shared" si="68"/>
        <v>850.00000000000011</v>
      </c>
      <c r="AA156" s="128">
        <f t="shared" si="68"/>
        <v>850.00000000000011</v>
      </c>
      <c r="AB156" s="128">
        <f t="shared" si="68"/>
        <v>850.00000000000011</v>
      </c>
    </row>
    <row r="157" spans="1:28" x14ac:dyDescent="0.25">
      <c r="B157" s="118" t="str">
        <f>B129</f>
        <v>Feed</v>
      </c>
      <c r="C157" s="70" t="str">
        <f>K129</f>
        <v>Increase</v>
      </c>
      <c r="D157" s="128">
        <f>C129</f>
        <v>50</v>
      </c>
      <c r="E157" s="128">
        <f t="shared" si="68"/>
        <v>50</v>
      </c>
      <c r="F157" s="128">
        <f t="shared" si="68"/>
        <v>50</v>
      </c>
      <c r="G157" s="170">
        <f>F157*(1+$N129)</f>
        <v>50.749999999999993</v>
      </c>
      <c r="H157" s="128">
        <f>F157</f>
        <v>50</v>
      </c>
      <c r="I157" s="128">
        <f>H157</f>
        <v>50</v>
      </c>
      <c r="J157" s="170">
        <f>I157*(1+$N129)</f>
        <v>50.749999999999993</v>
      </c>
      <c r="K157" s="128">
        <f>I157</f>
        <v>50</v>
      </c>
      <c r="L157" s="128">
        <f>K157</f>
        <v>50</v>
      </c>
      <c r="M157" s="170">
        <f>L157*(1+$N129)</f>
        <v>50.749999999999993</v>
      </c>
      <c r="N157" s="128">
        <f>L157</f>
        <v>50</v>
      </c>
      <c r="O157" s="128">
        <f>N157</f>
        <v>50</v>
      </c>
      <c r="P157" s="170">
        <f>O157*(1+$N129)</f>
        <v>50.749999999999993</v>
      </c>
      <c r="Q157" s="128">
        <f>O157</f>
        <v>50</v>
      </c>
      <c r="R157" s="128">
        <f>Q157</f>
        <v>50</v>
      </c>
      <c r="S157" s="170">
        <f>R157*(1+$N129)</f>
        <v>50.749999999999993</v>
      </c>
      <c r="T157" s="128">
        <f>R157</f>
        <v>50</v>
      </c>
      <c r="U157" s="128">
        <f>T157</f>
        <v>50</v>
      </c>
      <c r="V157" s="170">
        <f>U157*(1+$N129)</f>
        <v>50.749999999999993</v>
      </c>
      <c r="W157" s="128">
        <f>U157</f>
        <v>50</v>
      </c>
      <c r="X157" s="128">
        <f>W157</f>
        <v>50</v>
      </c>
      <c r="Y157" s="170">
        <f>X157*(1+$N129)</f>
        <v>50.749999999999993</v>
      </c>
      <c r="Z157" s="128">
        <f>X157</f>
        <v>50</v>
      </c>
      <c r="AA157" s="128">
        <f>Z157</f>
        <v>50</v>
      </c>
      <c r="AB157" s="170">
        <f>AA157*(1+$N129)</f>
        <v>50.749999999999993</v>
      </c>
    </row>
    <row r="158" spans="1:28" x14ac:dyDescent="0.25">
      <c r="B158" s="118" t="str">
        <f>B130</f>
        <v>Land rent</v>
      </c>
      <c r="C158" s="70" t="str">
        <f>K130</f>
        <v>No change</v>
      </c>
      <c r="D158" s="128">
        <f>C130</f>
        <v>40</v>
      </c>
      <c r="E158" s="128">
        <f t="shared" si="68"/>
        <v>40</v>
      </c>
      <c r="F158" s="128">
        <f t="shared" si="68"/>
        <v>40</v>
      </c>
      <c r="G158" s="70">
        <f>F158*(1+$N130)</f>
        <v>40</v>
      </c>
      <c r="H158" s="128">
        <f t="shared" ref="H158" si="69">F158</f>
        <v>40</v>
      </c>
      <c r="I158" s="128">
        <f t="shared" ref="I158:I161" si="70">H158</f>
        <v>40</v>
      </c>
      <c r="J158" s="70">
        <f>I158*(1+$N130)</f>
        <v>40</v>
      </c>
      <c r="K158" s="128">
        <f t="shared" ref="K158" si="71">I158</f>
        <v>40</v>
      </c>
      <c r="L158" s="128">
        <f t="shared" ref="L158:L161" si="72">K158</f>
        <v>40</v>
      </c>
      <c r="M158" s="70">
        <f>L158*(1+$N130)</f>
        <v>40</v>
      </c>
      <c r="N158" s="128">
        <f t="shared" ref="N158" si="73">L158</f>
        <v>40</v>
      </c>
      <c r="O158" s="128">
        <f t="shared" ref="O158:O161" si="74">N158</f>
        <v>40</v>
      </c>
      <c r="P158" s="70">
        <f>O158*(1+$N130)</f>
        <v>40</v>
      </c>
      <c r="Q158" s="128">
        <f t="shared" ref="Q158" si="75">O158</f>
        <v>40</v>
      </c>
      <c r="R158" s="128">
        <f t="shared" ref="R158:R161" si="76">Q158</f>
        <v>40</v>
      </c>
      <c r="S158" s="70">
        <f>R158*(1+$N130)</f>
        <v>40</v>
      </c>
      <c r="T158" s="128">
        <f t="shared" ref="T158" si="77">R158</f>
        <v>40</v>
      </c>
      <c r="U158" s="128">
        <f t="shared" ref="U158:U161" si="78">T158</f>
        <v>40</v>
      </c>
      <c r="V158" s="70">
        <f>U158*(1+$N130)</f>
        <v>40</v>
      </c>
      <c r="W158" s="128">
        <f t="shared" ref="W158" si="79">U158</f>
        <v>40</v>
      </c>
      <c r="X158" s="128">
        <f t="shared" ref="X158:X161" si="80">W158</f>
        <v>40</v>
      </c>
      <c r="Y158" s="70">
        <f>X158*(1+$N130)</f>
        <v>40</v>
      </c>
      <c r="Z158" s="128">
        <f t="shared" ref="Z158" si="81">X158</f>
        <v>40</v>
      </c>
      <c r="AA158" s="128">
        <f t="shared" ref="AA158:AA161" si="82">Z158</f>
        <v>40</v>
      </c>
      <c r="AB158" s="70">
        <f>AA158*(1+$N130)</f>
        <v>40</v>
      </c>
    </row>
    <row r="159" spans="1:28" x14ac:dyDescent="0.25">
      <c r="B159" s="171" t="str">
        <f>B131</f>
        <v>Labor</v>
      </c>
      <c r="C159" s="70" t="str">
        <f t="shared" ref="C159:C161" si="83">K131</f>
        <v>No change</v>
      </c>
      <c r="D159" s="128">
        <f>C131</f>
        <v>60</v>
      </c>
      <c r="E159" s="128">
        <f>D159</f>
        <v>60</v>
      </c>
      <c r="F159" s="128">
        <f t="shared" si="68"/>
        <v>60</v>
      </c>
      <c r="G159" s="128">
        <f t="shared" ref="G159:H159" si="84">F159</f>
        <v>60</v>
      </c>
      <c r="H159" s="128">
        <f t="shared" si="84"/>
        <v>60</v>
      </c>
      <c r="I159" s="128">
        <f t="shared" si="70"/>
        <v>60</v>
      </c>
      <c r="J159" s="128">
        <f t="shared" ref="J159:K159" si="85">I159</f>
        <v>60</v>
      </c>
      <c r="K159" s="128">
        <f t="shared" si="85"/>
        <v>60</v>
      </c>
      <c r="L159" s="128">
        <f t="shared" si="72"/>
        <v>60</v>
      </c>
      <c r="M159" s="128">
        <f t="shared" ref="M159:N159" si="86">L159</f>
        <v>60</v>
      </c>
      <c r="N159" s="128">
        <f t="shared" si="86"/>
        <v>60</v>
      </c>
      <c r="O159" s="128">
        <f t="shared" si="74"/>
        <v>60</v>
      </c>
      <c r="P159" s="128">
        <f t="shared" ref="P159:Q159" si="87">O159</f>
        <v>60</v>
      </c>
      <c r="Q159" s="128">
        <f t="shared" si="87"/>
        <v>60</v>
      </c>
      <c r="R159" s="128">
        <f t="shared" si="76"/>
        <v>60</v>
      </c>
      <c r="S159" s="128">
        <f t="shared" ref="S159:T159" si="88">R159</f>
        <v>60</v>
      </c>
      <c r="T159" s="128">
        <f t="shared" si="88"/>
        <v>60</v>
      </c>
      <c r="U159" s="128">
        <f t="shared" si="78"/>
        <v>60</v>
      </c>
      <c r="V159" s="128">
        <f t="shared" ref="V159:W159" si="89">U159</f>
        <v>60</v>
      </c>
      <c r="W159" s="128">
        <f t="shared" si="89"/>
        <v>60</v>
      </c>
      <c r="X159" s="128">
        <f t="shared" si="80"/>
        <v>60</v>
      </c>
      <c r="Y159" s="128">
        <f t="shared" ref="Y159:Z159" si="90">X159</f>
        <v>60</v>
      </c>
      <c r="Z159" s="128">
        <f t="shared" si="90"/>
        <v>60</v>
      </c>
      <c r="AA159" s="128">
        <f t="shared" si="82"/>
        <v>60</v>
      </c>
      <c r="AB159" s="128">
        <f t="shared" ref="AB159:AB161" si="91">AA159</f>
        <v>60</v>
      </c>
    </row>
    <row r="160" spans="1:28" x14ac:dyDescent="0.25">
      <c r="B160" s="171" t="str">
        <f t="shared" ref="B160:B161" si="92">B132</f>
        <v>Wage</v>
      </c>
      <c r="C160" s="70" t="str">
        <f t="shared" si="83"/>
        <v>No change</v>
      </c>
      <c r="D160" s="128">
        <f t="shared" ref="D160:D161" si="93">C132</f>
        <v>7</v>
      </c>
      <c r="E160" s="128">
        <f>D160</f>
        <v>7</v>
      </c>
      <c r="F160" s="128">
        <f t="shared" si="68"/>
        <v>7</v>
      </c>
      <c r="G160" s="128">
        <f t="shared" ref="G160:H160" si="94">F160</f>
        <v>7</v>
      </c>
      <c r="H160" s="128">
        <f t="shared" si="94"/>
        <v>7</v>
      </c>
      <c r="I160" s="128">
        <f t="shared" si="70"/>
        <v>7</v>
      </c>
      <c r="J160" s="128">
        <f t="shared" ref="J160:K160" si="95">I160</f>
        <v>7</v>
      </c>
      <c r="K160" s="128">
        <f t="shared" si="95"/>
        <v>7</v>
      </c>
      <c r="L160" s="128">
        <f t="shared" si="72"/>
        <v>7</v>
      </c>
      <c r="M160" s="128">
        <f t="shared" ref="M160:N160" si="96">L160</f>
        <v>7</v>
      </c>
      <c r="N160" s="128">
        <f t="shared" si="96"/>
        <v>7</v>
      </c>
      <c r="O160" s="128">
        <f t="shared" si="74"/>
        <v>7</v>
      </c>
      <c r="P160" s="128">
        <f t="shared" ref="P160:Q160" si="97">O160</f>
        <v>7</v>
      </c>
      <c r="Q160" s="128">
        <f t="shared" si="97"/>
        <v>7</v>
      </c>
      <c r="R160" s="128">
        <f t="shared" si="76"/>
        <v>7</v>
      </c>
      <c r="S160" s="128">
        <f t="shared" ref="S160:T160" si="98">R160</f>
        <v>7</v>
      </c>
      <c r="T160" s="128">
        <f t="shared" si="98"/>
        <v>7</v>
      </c>
      <c r="U160" s="128">
        <f t="shared" si="78"/>
        <v>7</v>
      </c>
      <c r="V160" s="128">
        <f t="shared" ref="V160:W160" si="99">U160</f>
        <v>7</v>
      </c>
      <c r="W160" s="128">
        <f t="shared" si="99"/>
        <v>7</v>
      </c>
      <c r="X160" s="128">
        <f t="shared" si="80"/>
        <v>7</v>
      </c>
      <c r="Y160" s="128">
        <f t="shared" ref="Y160:Z160" si="100">X160</f>
        <v>7</v>
      </c>
      <c r="Z160" s="128">
        <f t="shared" si="100"/>
        <v>7</v>
      </c>
      <c r="AA160" s="128">
        <f t="shared" si="82"/>
        <v>7</v>
      </c>
      <c r="AB160" s="128">
        <f t="shared" si="91"/>
        <v>7</v>
      </c>
    </row>
    <row r="161" spans="2:28" x14ac:dyDescent="0.25">
      <c r="B161" s="171" t="str">
        <f t="shared" si="92"/>
        <v>Wage Increment</v>
      </c>
      <c r="C161" s="70" t="str">
        <f t="shared" si="83"/>
        <v>No change</v>
      </c>
      <c r="D161" s="71">
        <f t="shared" si="93"/>
        <v>0.01</v>
      </c>
      <c r="E161" s="71">
        <f>D161</f>
        <v>0.01</v>
      </c>
      <c r="F161" s="71">
        <f t="shared" si="68"/>
        <v>0.01</v>
      </c>
      <c r="G161" s="71">
        <f t="shared" ref="G161:H161" si="101">F161</f>
        <v>0.01</v>
      </c>
      <c r="H161" s="71">
        <f t="shared" si="101"/>
        <v>0.01</v>
      </c>
      <c r="I161" s="71">
        <f t="shared" si="70"/>
        <v>0.01</v>
      </c>
      <c r="J161" s="71">
        <f t="shared" ref="J161:K161" si="102">I161</f>
        <v>0.01</v>
      </c>
      <c r="K161" s="71">
        <f t="shared" si="102"/>
        <v>0.01</v>
      </c>
      <c r="L161" s="71">
        <f t="shared" si="72"/>
        <v>0.01</v>
      </c>
      <c r="M161" s="71">
        <f t="shared" ref="M161:N161" si="103">L161</f>
        <v>0.01</v>
      </c>
      <c r="N161" s="71">
        <f t="shared" si="103"/>
        <v>0.01</v>
      </c>
      <c r="O161" s="71">
        <f t="shared" si="74"/>
        <v>0.01</v>
      </c>
      <c r="P161" s="71">
        <f t="shared" ref="P161:Q161" si="104">O161</f>
        <v>0.01</v>
      </c>
      <c r="Q161" s="71">
        <f t="shared" si="104"/>
        <v>0.01</v>
      </c>
      <c r="R161" s="71">
        <f t="shared" si="76"/>
        <v>0.01</v>
      </c>
      <c r="S161" s="71">
        <f t="shared" ref="S161:T161" si="105">R161</f>
        <v>0.01</v>
      </c>
      <c r="T161" s="71">
        <f t="shared" si="105"/>
        <v>0.01</v>
      </c>
      <c r="U161" s="71">
        <f t="shared" si="78"/>
        <v>0.01</v>
      </c>
      <c r="V161" s="71">
        <f t="shared" ref="V161:W161" si="106">U161</f>
        <v>0.01</v>
      </c>
      <c r="W161" s="71">
        <f t="shared" si="106"/>
        <v>0.01</v>
      </c>
      <c r="X161" s="71">
        <f t="shared" si="80"/>
        <v>0.01</v>
      </c>
      <c r="Y161" s="71">
        <f t="shared" ref="Y161:Z161" si="107">X161</f>
        <v>0.01</v>
      </c>
      <c r="Z161" s="71">
        <f t="shared" si="107"/>
        <v>0.01</v>
      </c>
      <c r="AA161" s="71">
        <f t="shared" si="82"/>
        <v>0.01</v>
      </c>
      <c r="AB161" s="71">
        <f t="shared" si="91"/>
        <v>0.01</v>
      </c>
    </row>
    <row r="162" spans="2:28" x14ac:dyDescent="0.25">
      <c r="B162" s="171" t="str">
        <f>B134</f>
        <v>Interest Rate (Capital Cost)</v>
      </c>
      <c r="C162" s="70" t="str">
        <f>K134</f>
        <v>No change</v>
      </c>
      <c r="D162" s="63">
        <f>C134</f>
        <v>0.24</v>
      </c>
      <c r="E162" s="71">
        <f t="shared" ref="E162" si="108">D162</f>
        <v>0.24</v>
      </c>
      <c r="F162" s="71">
        <f t="shared" si="68"/>
        <v>0.24</v>
      </c>
      <c r="G162" s="71">
        <f t="shared" si="68"/>
        <v>0.24</v>
      </c>
      <c r="H162" s="71">
        <f t="shared" si="68"/>
        <v>0.24</v>
      </c>
      <c r="I162" s="71">
        <f t="shared" si="68"/>
        <v>0.24</v>
      </c>
      <c r="J162" s="71">
        <f t="shared" si="68"/>
        <v>0.24</v>
      </c>
      <c r="K162" s="71">
        <f t="shared" si="68"/>
        <v>0.24</v>
      </c>
      <c r="L162" s="71">
        <f t="shared" si="68"/>
        <v>0.24</v>
      </c>
      <c r="M162" s="71">
        <f t="shared" si="68"/>
        <v>0.24</v>
      </c>
      <c r="N162" s="71">
        <f t="shared" si="68"/>
        <v>0.24</v>
      </c>
      <c r="O162" s="71">
        <f t="shared" si="68"/>
        <v>0.24</v>
      </c>
      <c r="P162" s="71">
        <f t="shared" si="68"/>
        <v>0.24</v>
      </c>
      <c r="Q162" s="71">
        <f t="shared" si="68"/>
        <v>0.24</v>
      </c>
      <c r="R162" s="71">
        <f t="shared" si="68"/>
        <v>0.24</v>
      </c>
      <c r="S162" s="71">
        <f t="shared" si="68"/>
        <v>0.24</v>
      </c>
      <c r="T162" s="71">
        <f t="shared" si="68"/>
        <v>0.24</v>
      </c>
      <c r="U162" s="71">
        <f t="shared" si="68"/>
        <v>0.24</v>
      </c>
      <c r="V162" s="71">
        <f t="shared" si="68"/>
        <v>0.24</v>
      </c>
      <c r="W162" s="71">
        <f t="shared" si="68"/>
        <v>0.24</v>
      </c>
      <c r="X162" s="71">
        <f t="shared" si="68"/>
        <v>0.24</v>
      </c>
      <c r="Y162" s="71">
        <f t="shared" si="68"/>
        <v>0.24</v>
      </c>
      <c r="Z162" s="71">
        <f t="shared" si="68"/>
        <v>0.24</v>
      </c>
      <c r="AA162" s="71">
        <f t="shared" si="68"/>
        <v>0.24</v>
      </c>
      <c r="AB162" s="71">
        <f t="shared" si="68"/>
        <v>0.24</v>
      </c>
    </row>
    <row r="163" spans="2:28" x14ac:dyDescent="0.25">
      <c r="G163" s="137"/>
      <c r="J163" s="137"/>
      <c r="M163" s="137"/>
      <c r="P163" s="137"/>
      <c r="S163" s="137"/>
      <c r="V163" s="137"/>
      <c r="Y163" s="137"/>
      <c r="AB163" s="137"/>
    </row>
    <row r="164" spans="2:28" x14ac:dyDescent="0.25">
      <c r="G164" s="137"/>
    </row>
    <row r="165" spans="2:28" x14ac:dyDescent="0.25">
      <c r="G165" s="137"/>
    </row>
  </sheetData>
  <mergeCells count="22">
    <mergeCell ref="C105:F105"/>
    <mergeCell ref="B22:H22"/>
    <mergeCell ref="B3:E3"/>
    <mergeCell ref="B23:J23"/>
    <mergeCell ref="C79:F79"/>
    <mergeCell ref="C93:F93"/>
    <mergeCell ref="K118:N118"/>
    <mergeCell ref="P118:S118"/>
    <mergeCell ref="U118:X118"/>
    <mergeCell ref="K119:N119"/>
    <mergeCell ref="P119:S119"/>
    <mergeCell ref="U119:X119"/>
    <mergeCell ref="E120:H120"/>
    <mergeCell ref="E121:H121"/>
    <mergeCell ref="E122:H122"/>
    <mergeCell ref="E123:H123"/>
    <mergeCell ref="E126:H126"/>
    <mergeCell ref="E134:H134"/>
    <mergeCell ref="E127:H127"/>
    <mergeCell ref="E129:H129"/>
    <mergeCell ref="E128:H128"/>
    <mergeCell ref="E130:H130"/>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2:Z83"/>
  <sheetViews>
    <sheetView showGridLines="0" topLeftCell="B53" zoomScale="70" zoomScaleNormal="70" workbookViewId="0">
      <selection activeCell="P83" sqref="P83"/>
    </sheetView>
  </sheetViews>
  <sheetFormatPr defaultColWidth="9" defaultRowHeight="15" x14ac:dyDescent="0.25"/>
  <cols>
    <col min="1" max="1" width="40.7109375" style="10" customWidth="1"/>
    <col min="2" max="2" width="12.7109375" style="28" customWidth="1"/>
    <col min="3" max="3" width="13" style="28" customWidth="1"/>
    <col min="4" max="4" width="17" style="28" customWidth="1"/>
    <col min="5" max="6" width="12.5703125" style="28" customWidth="1"/>
    <col min="7" max="7" width="11.85546875" style="28" customWidth="1"/>
    <col min="8" max="8" width="12.28515625" style="28" customWidth="1"/>
    <col min="9" max="9" width="11.7109375" style="28" customWidth="1"/>
    <col min="10" max="10" width="13" style="28" customWidth="1"/>
    <col min="11" max="11" width="12.7109375" style="28" customWidth="1"/>
    <col min="12" max="12" width="12.28515625" style="28" customWidth="1"/>
    <col min="13" max="23" width="13.7109375" style="3" customWidth="1"/>
    <col min="24" max="24" width="15.7109375" style="3" customWidth="1"/>
    <col min="25" max="25" width="11" style="3" customWidth="1"/>
    <col min="26" max="26" width="11.140625" style="3" customWidth="1"/>
    <col min="27" max="16384" width="9" style="3"/>
  </cols>
  <sheetData>
    <row r="2" spans="1:26" ht="38.25" customHeight="1" x14ac:dyDescent="0.25">
      <c r="A2" s="11" t="s">
        <v>169</v>
      </c>
      <c r="B2" s="32"/>
      <c r="C2" s="76"/>
      <c r="D2" s="77"/>
      <c r="E2" s="32"/>
      <c r="F2" s="126" t="s">
        <v>106</v>
      </c>
      <c r="G2" s="32"/>
      <c r="H2" s="32"/>
      <c r="I2" s="32"/>
      <c r="J2" s="32"/>
      <c r="K2" s="32"/>
      <c r="L2" s="32"/>
      <c r="M2" s="11"/>
    </row>
    <row r="3" spans="1:26" ht="15" customHeight="1" x14ac:dyDescent="0.25">
      <c r="A3" s="23"/>
      <c r="B3" s="32"/>
      <c r="C3" s="32"/>
      <c r="D3" s="32"/>
      <c r="E3" s="32"/>
      <c r="F3" s="32"/>
      <c r="G3" s="32"/>
      <c r="H3" s="32"/>
      <c r="I3" s="32"/>
      <c r="J3" s="32"/>
      <c r="K3" s="32"/>
      <c r="L3" s="32"/>
      <c r="M3" s="11"/>
    </row>
    <row r="4" spans="1:26" x14ac:dyDescent="0.25">
      <c r="A4" s="10" t="s">
        <v>22</v>
      </c>
      <c r="B4" s="28">
        <v>0</v>
      </c>
      <c r="C4" s="28">
        <v>1</v>
      </c>
      <c r="D4" s="28">
        <v>2</v>
      </c>
      <c r="E4" s="28">
        <v>3</v>
      </c>
      <c r="F4" s="28">
        <v>4</v>
      </c>
      <c r="G4" s="28">
        <v>5</v>
      </c>
      <c r="H4" s="28">
        <v>6</v>
      </c>
      <c r="I4" s="28">
        <v>7</v>
      </c>
      <c r="J4" s="28">
        <v>8</v>
      </c>
      <c r="K4" s="28">
        <v>9</v>
      </c>
      <c r="L4" s="28">
        <v>10</v>
      </c>
      <c r="M4" s="28">
        <v>11</v>
      </c>
      <c r="N4" s="28">
        <v>12</v>
      </c>
      <c r="O4" s="28">
        <v>13</v>
      </c>
      <c r="P4" s="28">
        <v>14</v>
      </c>
      <c r="Q4" s="28">
        <v>15</v>
      </c>
      <c r="R4" s="28">
        <v>16</v>
      </c>
      <c r="S4" s="28">
        <v>17</v>
      </c>
      <c r="T4" s="28">
        <v>18</v>
      </c>
      <c r="U4" s="28">
        <v>19</v>
      </c>
      <c r="V4" s="28">
        <v>20</v>
      </c>
      <c r="W4" s="28">
        <v>21</v>
      </c>
      <c r="X4" s="28">
        <v>22</v>
      </c>
      <c r="Y4" s="28">
        <v>23</v>
      </c>
      <c r="Z4" s="28">
        <v>24</v>
      </c>
    </row>
    <row r="5" spans="1:26" x14ac:dyDescent="0.25">
      <c r="A5" s="24" t="s">
        <v>23</v>
      </c>
    </row>
    <row r="6" spans="1:26" x14ac:dyDescent="0.25">
      <c r="A6" s="10" t="s">
        <v>170</v>
      </c>
      <c r="B6" s="33">
        <f>Assumption_Nursery!D18*Assumption_Nursery!D149*Assumption_Nursery!D150*(1+Assumption_Nursery!D151)^Assumption_Nursery!D148</f>
        <v>0</v>
      </c>
      <c r="C6" s="33">
        <f>Assumption_Nursery!E18*Assumption_Nursery!E149*Assumption_Nursery!E150*(1+Assumption_Nursery!E151)^Assumption_Nursery!E148</f>
        <v>160650.00000000003</v>
      </c>
      <c r="D6" s="33">
        <f>Assumption_Nursery!F18*Assumption_Nursery!F149*Assumption_Nursery!F150*(1+Assumption_Nursery!F151)^Assumption_Nursery!F148</f>
        <v>409657.50000000006</v>
      </c>
      <c r="E6" s="33">
        <f>Assumption_Nursery!G18*Assumption_Nursery!G149*Assumption_Nursery!G150*(1+Assumption_Nursery!G151)^Assumption_Nursery!G148</f>
        <v>635132.98800000001</v>
      </c>
      <c r="F6" s="33">
        <f>Assumption_Nursery!H18*Assumption_Nursery!H149*Assumption_Nursery!H150*(1+Assumption_Nursery!H151)^Assumption_Nursery!H148</f>
        <v>852415.32600000012</v>
      </c>
      <c r="G6" s="33">
        <f>Assumption_Nursery!I18*Assumption_Nursery!I149*Assumption_Nursery!I150*(1+Assumption_Nursery!I151)^Assumption_Nursery!I148</f>
        <v>869463.6325200001</v>
      </c>
      <c r="H6" s="33">
        <f>Assumption_Nursery!J18*Assumption_Nursery!J149*Assumption_Nursery!J150*(1+Assumption_Nursery!J151)^Assumption_Nursery!J148</f>
        <v>842510.25991188013</v>
      </c>
      <c r="I6" s="33">
        <f>Assumption_Nursery!K18*Assumption_Nursery!K149*Assumption_Nursery!K150*(1+Assumption_Nursery!K151)^Assumption_Nursery!K148</f>
        <v>904589.96327380801</v>
      </c>
      <c r="J6" s="33">
        <f>Assumption_Nursery!L18*Assumption_Nursery!L149*Assumption_Nursery!L150*(1+Assumption_Nursery!L151)^Assumption_Nursery!L148</f>
        <v>922681.76253928419</v>
      </c>
      <c r="K6" s="33">
        <f>Assumption_Nursery!M18*Assumption_Nursery!M149*Assumption_Nursery!M150*(1+Assumption_Nursery!M151)^Assumption_Nursery!M148</f>
        <v>894078.62790056644</v>
      </c>
      <c r="L6" s="33">
        <f>Assumption_Nursery!N18*Assumption_Nursery!N149*Assumption_Nursery!N150*(1+Assumption_Nursery!N151)^Assumption_Nursery!N148</f>
        <v>959958.10574587132</v>
      </c>
      <c r="M6" s="33">
        <f>Assumption_Nursery!O18*Assumption_Nursery!O149*Assumption_Nursery!O150*(1+Assumption_Nursery!O151)^Assumption_Nursery!O148</f>
        <v>979157.26786078862</v>
      </c>
      <c r="N6" s="33">
        <f>Assumption_Nursery!P18*Assumption_Nursery!P149*Assumption_Nursery!P150*(1+Assumption_Nursery!P151)^Assumption_Nursery!P148</f>
        <v>948803.39255710435</v>
      </c>
      <c r="O6" s="33">
        <f>Assumption_Nursery!Q18*Assumption_Nursery!Q149*Assumption_Nursery!Q150*(1+Assumption_Nursery!Q151)^Assumption_Nursery!Q148</f>
        <v>1018715.2214823646</v>
      </c>
      <c r="P6" s="33">
        <f>Assumption_Nursery!R18*Assumption_Nursery!R149*Assumption_Nursery!R150*(1+Assumption_Nursery!R151)^Assumption_Nursery!R148</f>
        <v>1039089.525912012</v>
      </c>
      <c r="Q6" s="33">
        <f>Assumption_Nursery!S18*Assumption_Nursery!S149*Assumption_Nursery!S150*(1+Assumption_Nursery!S151)^Assumption_Nursery!S148</f>
        <v>1006877.7506087393</v>
      </c>
      <c r="R6" s="33">
        <f>Assumption_Nursery!T18*Assumption_Nursery!T149*Assumption_Nursery!T150*(1+Assumption_Nursery!T151)^Assumption_Nursery!T148</f>
        <v>1081068.7427588571</v>
      </c>
      <c r="S6" s="33">
        <f>Assumption_Nursery!U18*Assumption_Nursery!U149*Assumption_Nursery!U150*(1+Assumption_Nursery!U151)^Assumption_Nursery!U148</f>
        <v>1102690.1176140343</v>
      </c>
      <c r="T6" s="33">
        <f>Assumption_Nursery!V18*Assumption_Nursery!V149*Assumption_Nursery!V150*(1+Assumption_Nursery!V151)^Assumption_Nursery!V148</f>
        <v>1068506.7239679992</v>
      </c>
      <c r="U6" s="33">
        <f>Assumption_Nursery!W18*Assumption_Nursery!W149*Assumption_Nursery!W150*(1+Assumption_Nursery!W151)^Assumption_Nursery!W148</f>
        <v>1147238.7983656412</v>
      </c>
      <c r="V6" s="33">
        <f>Assumption_Nursery!X18*Assumption_Nursery!X149*Assumption_Nursery!X150*(1+Assumption_Nursery!X151)^Assumption_Nursery!X148</f>
        <v>1170183.5743329541</v>
      </c>
      <c r="W6" s="33">
        <f>Assumption_Nursery!Y18*Assumption_Nursery!Y149*Assumption_Nursery!Y150*(1+Assumption_Nursery!Y151)^Assumption_Nursery!Y148</f>
        <v>907126.3068229059</v>
      </c>
      <c r="X6" s="33">
        <f>Assumption_Nursery!Z18*Assumption_Nursery!Z149*Assumption_Nursery!Z150*(1+Assumption_Nursery!Z151)^Assumption_Nursery!Z148</f>
        <v>608729.49536800268</v>
      </c>
      <c r="Y6" s="33">
        <f>Assumption_Nursery!AA18*Assumption_Nursery!AA149*Assumption_Nursery!AA150*(1+Assumption_Nursery!AA151)^Assumption_Nursery!AA148</f>
        <v>248361.63411014507</v>
      </c>
      <c r="Z6" s="33">
        <f>Assumption_Nursery!AB18*Assumption_Nursery!AB149*Assumption_Nursery!AB150*(1+Assumption_Nursery!AB151)^Assumption_Nursery!AB148</f>
        <v>0</v>
      </c>
    </row>
    <row r="7" spans="1:26" s="13" customFormat="1" x14ac:dyDescent="0.25">
      <c r="A7" s="24" t="s">
        <v>58</v>
      </c>
      <c r="B7" s="41">
        <f>B6</f>
        <v>0</v>
      </c>
      <c r="C7" s="41">
        <f t="shared" ref="C7:Z7" si="0">C6</f>
        <v>160650.00000000003</v>
      </c>
      <c r="D7" s="41">
        <f t="shared" si="0"/>
        <v>409657.50000000006</v>
      </c>
      <c r="E7" s="41">
        <f t="shared" si="0"/>
        <v>635132.98800000001</v>
      </c>
      <c r="F7" s="41">
        <f t="shared" si="0"/>
        <v>852415.32600000012</v>
      </c>
      <c r="G7" s="41">
        <f t="shared" si="0"/>
        <v>869463.6325200001</v>
      </c>
      <c r="H7" s="41">
        <f t="shared" si="0"/>
        <v>842510.25991188013</v>
      </c>
      <c r="I7" s="41">
        <f t="shared" si="0"/>
        <v>904589.96327380801</v>
      </c>
      <c r="J7" s="41">
        <f t="shared" si="0"/>
        <v>922681.76253928419</v>
      </c>
      <c r="K7" s="41">
        <f t="shared" si="0"/>
        <v>894078.62790056644</v>
      </c>
      <c r="L7" s="41">
        <f t="shared" si="0"/>
        <v>959958.10574587132</v>
      </c>
      <c r="M7" s="41">
        <f t="shared" si="0"/>
        <v>979157.26786078862</v>
      </c>
      <c r="N7" s="41">
        <f t="shared" si="0"/>
        <v>948803.39255710435</v>
      </c>
      <c r="O7" s="41">
        <f t="shared" si="0"/>
        <v>1018715.2214823646</v>
      </c>
      <c r="P7" s="41">
        <f t="shared" si="0"/>
        <v>1039089.525912012</v>
      </c>
      <c r="Q7" s="41">
        <f t="shared" si="0"/>
        <v>1006877.7506087393</v>
      </c>
      <c r="R7" s="41">
        <f t="shared" si="0"/>
        <v>1081068.7427588571</v>
      </c>
      <c r="S7" s="41">
        <f t="shared" si="0"/>
        <v>1102690.1176140343</v>
      </c>
      <c r="T7" s="41">
        <f t="shared" si="0"/>
        <v>1068506.7239679992</v>
      </c>
      <c r="U7" s="41">
        <f t="shared" si="0"/>
        <v>1147238.7983656412</v>
      </c>
      <c r="V7" s="41">
        <f t="shared" si="0"/>
        <v>1170183.5743329541</v>
      </c>
      <c r="W7" s="41">
        <f t="shared" si="0"/>
        <v>907126.3068229059</v>
      </c>
      <c r="X7" s="41">
        <f t="shared" si="0"/>
        <v>608729.49536800268</v>
      </c>
      <c r="Y7" s="41">
        <f t="shared" si="0"/>
        <v>248361.63411014507</v>
      </c>
      <c r="Z7" s="41">
        <f t="shared" si="0"/>
        <v>0</v>
      </c>
    </row>
    <row r="8" spans="1:26" x14ac:dyDescent="0.25">
      <c r="A8" s="24"/>
      <c r="B8" s="44"/>
      <c r="C8" s="44"/>
      <c r="D8" s="44"/>
      <c r="E8" s="44"/>
      <c r="F8" s="44"/>
      <c r="G8" s="44"/>
      <c r="H8" s="44"/>
      <c r="I8" s="44"/>
      <c r="J8" s="44"/>
      <c r="K8" s="44"/>
    </row>
    <row r="9" spans="1:26" x14ac:dyDescent="0.25">
      <c r="A9" s="24" t="s">
        <v>24</v>
      </c>
    </row>
    <row r="10" spans="1:26" x14ac:dyDescent="0.25">
      <c r="A10" s="9" t="s">
        <v>69</v>
      </c>
      <c r="B10" s="35">
        <f>Assumption_Nursery!D18*Assumption_Nursery!D155</f>
        <v>0</v>
      </c>
      <c r="C10" s="35">
        <f>Assumption_Nursery!E18*Assumption_Nursery!E155</f>
        <v>40000</v>
      </c>
      <c r="D10" s="35">
        <f>Assumption_Nursery!F18*Assumption_Nursery!F155</f>
        <v>100000</v>
      </c>
      <c r="E10" s="35">
        <f>Assumption_Nursery!G18*Assumption_Nursery!G155</f>
        <v>160000</v>
      </c>
      <c r="F10" s="35">
        <f>Assumption_Nursery!H18*Assumption_Nursery!H155</f>
        <v>200000</v>
      </c>
      <c r="G10" s="35">
        <f>Assumption_Nursery!I18*Assumption_Nursery!I155</f>
        <v>200000</v>
      </c>
      <c r="H10" s="35">
        <f>Assumption_Nursery!J18*Assumption_Nursery!J155</f>
        <v>200000</v>
      </c>
      <c r="I10" s="35">
        <f>Assumption_Nursery!K18*Assumption_Nursery!K155</f>
        <v>200000</v>
      </c>
      <c r="J10" s="35">
        <f>Assumption_Nursery!L18*Assumption_Nursery!L155</f>
        <v>200000</v>
      </c>
      <c r="K10" s="35">
        <f>Assumption_Nursery!M18*Assumption_Nursery!M155</f>
        <v>200000</v>
      </c>
      <c r="L10" s="35">
        <f>Assumption_Nursery!N18*Assumption_Nursery!N155</f>
        <v>200000</v>
      </c>
      <c r="M10" s="35">
        <f>Assumption_Nursery!O18*Assumption_Nursery!O155</f>
        <v>200000</v>
      </c>
      <c r="N10" s="35">
        <f>Assumption_Nursery!P18*Assumption_Nursery!P155</f>
        <v>200000</v>
      </c>
      <c r="O10" s="35">
        <f>Assumption_Nursery!Q18*Assumption_Nursery!Q155</f>
        <v>200000</v>
      </c>
      <c r="P10" s="35">
        <f>Assumption_Nursery!R18*Assumption_Nursery!R155</f>
        <v>200000</v>
      </c>
      <c r="Q10" s="35">
        <f>Assumption_Nursery!S18*Assumption_Nursery!S155</f>
        <v>200000</v>
      </c>
      <c r="R10" s="35">
        <f>Assumption_Nursery!T18*Assumption_Nursery!T155</f>
        <v>200000</v>
      </c>
      <c r="S10" s="35">
        <f>Assumption_Nursery!U18*Assumption_Nursery!U155</f>
        <v>200000</v>
      </c>
      <c r="T10" s="35">
        <f>Assumption_Nursery!V18*Assumption_Nursery!V155</f>
        <v>200000</v>
      </c>
      <c r="U10" s="35">
        <f>Assumption_Nursery!W18*Assumption_Nursery!W155</f>
        <v>200000</v>
      </c>
      <c r="V10" s="35">
        <f>Assumption_Nursery!X18*Assumption_Nursery!X155</f>
        <v>200000</v>
      </c>
      <c r="W10" s="35">
        <f>Assumption_Nursery!Y18*Assumption_Nursery!Y155</f>
        <v>160000</v>
      </c>
      <c r="X10" s="35">
        <f>Assumption_Nursery!Z18*Assumption_Nursery!Z155</f>
        <v>100000</v>
      </c>
      <c r="Y10" s="35">
        <f>Assumption_Nursery!AA18*Assumption_Nursery!AA155</f>
        <v>40000</v>
      </c>
      <c r="Z10" s="35">
        <f>Assumption_Nursery!AB18*Assumption_Nursery!AB155</f>
        <v>0</v>
      </c>
    </row>
    <row r="11" spans="1:26" x14ac:dyDescent="0.25">
      <c r="A11" s="9" t="s">
        <v>70</v>
      </c>
      <c r="B11" s="35">
        <f>Assumption_Nursery!D18*Assumption_Nursery!D156</f>
        <v>0</v>
      </c>
      <c r="C11" s="35">
        <f>Assumption_Nursery!E18*Assumption_Nursery!E156</f>
        <v>85000.000000000015</v>
      </c>
      <c r="D11" s="35">
        <f>Assumption_Nursery!F18*Assumption_Nursery!F156</f>
        <v>212500.00000000003</v>
      </c>
      <c r="E11" s="35">
        <f>Assumption_Nursery!G18*Assumption_Nursery!G156</f>
        <v>340000.00000000006</v>
      </c>
      <c r="F11" s="35">
        <f>Assumption_Nursery!H18*Assumption_Nursery!H156</f>
        <v>425000.00000000006</v>
      </c>
      <c r="G11" s="35">
        <f>Assumption_Nursery!I18*Assumption_Nursery!I156</f>
        <v>425000.00000000006</v>
      </c>
      <c r="H11" s="35">
        <f>Assumption_Nursery!J18*Assumption_Nursery!J156</f>
        <v>425000.00000000006</v>
      </c>
      <c r="I11" s="35">
        <f>Assumption_Nursery!K18*Assumption_Nursery!K156</f>
        <v>425000.00000000006</v>
      </c>
      <c r="J11" s="35">
        <f>Assumption_Nursery!L18*Assumption_Nursery!L156</f>
        <v>425000.00000000006</v>
      </c>
      <c r="K11" s="35">
        <f>Assumption_Nursery!M18*Assumption_Nursery!M156</f>
        <v>425000.00000000006</v>
      </c>
      <c r="L11" s="35">
        <f>Assumption_Nursery!N18*Assumption_Nursery!N156</f>
        <v>425000.00000000006</v>
      </c>
      <c r="M11" s="35">
        <f>Assumption_Nursery!O18*Assumption_Nursery!O156</f>
        <v>425000.00000000006</v>
      </c>
      <c r="N11" s="35">
        <f>Assumption_Nursery!P18*Assumption_Nursery!P156</f>
        <v>425000.00000000006</v>
      </c>
      <c r="O11" s="35">
        <f>Assumption_Nursery!Q18*Assumption_Nursery!Q156</f>
        <v>425000.00000000006</v>
      </c>
      <c r="P11" s="35">
        <f>Assumption_Nursery!R18*Assumption_Nursery!R156</f>
        <v>425000.00000000006</v>
      </c>
      <c r="Q11" s="35">
        <f>Assumption_Nursery!S18*Assumption_Nursery!S156</f>
        <v>425000.00000000006</v>
      </c>
      <c r="R11" s="35">
        <f>Assumption_Nursery!T18*Assumption_Nursery!T156</f>
        <v>425000.00000000006</v>
      </c>
      <c r="S11" s="35">
        <f>Assumption_Nursery!U18*Assumption_Nursery!U156</f>
        <v>425000.00000000006</v>
      </c>
      <c r="T11" s="35">
        <f>Assumption_Nursery!V18*Assumption_Nursery!V156</f>
        <v>425000.00000000006</v>
      </c>
      <c r="U11" s="35">
        <f>Assumption_Nursery!W18*Assumption_Nursery!W156</f>
        <v>425000.00000000006</v>
      </c>
      <c r="V11" s="35">
        <f>Assumption_Nursery!X18*Assumption_Nursery!X156</f>
        <v>425000.00000000006</v>
      </c>
      <c r="W11" s="35">
        <f>Assumption_Nursery!Y18*Assumption_Nursery!Y156</f>
        <v>340000.00000000006</v>
      </c>
      <c r="X11" s="35">
        <f>Assumption_Nursery!Z18*Assumption_Nursery!Z156</f>
        <v>212500.00000000003</v>
      </c>
      <c r="Y11" s="35">
        <f>Assumption_Nursery!AA18*Assumption_Nursery!AA156</f>
        <v>85000.000000000015</v>
      </c>
      <c r="Z11" s="35">
        <f>Assumption_Nursery!AB18*Assumption_Nursery!AB156</f>
        <v>0</v>
      </c>
    </row>
    <row r="12" spans="1:26" x14ac:dyDescent="0.25">
      <c r="A12" s="9" t="s">
        <v>39</v>
      </c>
      <c r="B12" s="35">
        <f>Assumption_Nursery!D18*Assumption_Nursery!D157</f>
        <v>0</v>
      </c>
      <c r="C12" s="35">
        <f>Assumption_Nursery!E18*Assumption_Nursery!E157</f>
        <v>5000</v>
      </c>
      <c r="D12" s="35">
        <f>Assumption_Nursery!F18*Assumption_Nursery!F157</f>
        <v>12500</v>
      </c>
      <c r="E12" s="35">
        <f>Assumption_Nursery!G18*Assumption_Nursery!G157</f>
        <v>20299.999999999996</v>
      </c>
      <c r="F12" s="35">
        <f>Assumption_Nursery!H18*Assumption_Nursery!H157</f>
        <v>25000</v>
      </c>
      <c r="G12" s="35">
        <f>Assumption_Nursery!I18*Assumption_Nursery!I157</f>
        <v>25000</v>
      </c>
      <c r="H12" s="35">
        <f>Assumption_Nursery!J18*Assumption_Nursery!J157</f>
        <v>25374.999999999996</v>
      </c>
      <c r="I12" s="35">
        <f>Assumption_Nursery!K18*Assumption_Nursery!K157</f>
        <v>25000</v>
      </c>
      <c r="J12" s="35">
        <f>Assumption_Nursery!L18*Assumption_Nursery!L157</f>
        <v>25000</v>
      </c>
      <c r="K12" s="35">
        <f>Assumption_Nursery!M18*Assumption_Nursery!M157</f>
        <v>25374.999999999996</v>
      </c>
      <c r="L12" s="35">
        <f>Assumption_Nursery!N18*Assumption_Nursery!N157</f>
        <v>25000</v>
      </c>
      <c r="M12" s="35">
        <f>Assumption_Nursery!O18*Assumption_Nursery!O157</f>
        <v>25000</v>
      </c>
      <c r="N12" s="35">
        <f>Assumption_Nursery!P18*Assumption_Nursery!P157</f>
        <v>25374.999999999996</v>
      </c>
      <c r="O12" s="35">
        <f>Assumption_Nursery!Q18*Assumption_Nursery!Q157</f>
        <v>25000</v>
      </c>
      <c r="P12" s="35">
        <f>Assumption_Nursery!R18*Assumption_Nursery!R157</f>
        <v>25000</v>
      </c>
      <c r="Q12" s="35">
        <f>Assumption_Nursery!S18*Assumption_Nursery!S157</f>
        <v>25374.999999999996</v>
      </c>
      <c r="R12" s="35">
        <f>Assumption_Nursery!T18*Assumption_Nursery!T157</f>
        <v>25000</v>
      </c>
      <c r="S12" s="35">
        <f>Assumption_Nursery!U18*Assumption_Nursery!U157</f>
        <v>25000</v>
      </c>
      <c r="T12" s="35">
        <f>Assumption_Nursery!V18*Assumption_Nursery!V157</f>
        <v>25374.999999999996</v>
      </c>
      <c r="U12" s="35">
        <f>Assumption_Nursery!W18*Assumption_Nursery!W157</f>
        <v>25000</v>
      </c>
      <c r="V12" s="35">
        <f>Assumption_Nursery!X18*Assumption_Nursery!X157</f>
        <v>25000</v>
      </c>
      <c r="W12" s="35">
        <f>Assumption_Nursery!Y18*Assumption_Nursery!Y157</f>
        <v>20299.999999999996</v>
      </c>
      <c r="X12" s="35">
        <f>Assumption_Nursery!Z18*Assumption_Nursery!Z157</f>
        <v>12500</v>
      </c>
      <c r="Y12" s="35">
        <f>Assumption_Nursery!AA18*Assumption_Nursery!AA157</f>
        <v>5000</v>
      </c>
      <c r="Z12" s="35">
        <f>Assumption_Nursery!AB18*Assumption_Nursery!AB157</f>
        <v>0</v>
      </c>
    </row>
    <row r="13" spans="1:26" x14ac:dyDescent="0.25">
      <c r="A13" s="9" t="s">
        <v>166</v>
      </c>
      <c r="B13" s="35">
        <f>Assumption_Nursery!D18*Assumption_Nursery!D158</f>
        <v>0</v>
      </c>
      <c r="C13" s="35">
        <f>Assumption_Nursery!E18*Assumption_Nursery!E158</f>
        <v>4000</v>
      </c>
      <c r="D13" s="35">
        <f>Assumption_Nursery!F18*Assumption_Nursery!F158</f>
        <v>10000</v>
      </c>
      <c r="E13" s="35">
        <f>Assumption_Nursery!G18*Assumption_Nursery!G158</f>
        <v>16000</v>
      </c>
      <c r="F13" s="35">
        <f>Assumption_Nursery!H18*Assumption_Nursery!H158</f>
        <v>20000</v>
      </c>
      <c r="G13" s="35">
        <f>Assumption_Nursery!I18*Assumption_Nursery!I158</f>
        <v>20000</v>
      </c>
      <c r="H13" s="35">
        <f>Assumption_Nursery!J18*Assumption_Nursery!J158</f>
        <v>20000</v>
      </c>
      <c r="I13" s="35">
        <f>Assumption_Nursery!K18*Assumption_Nursery!K158</f>
        <v>20000</v>
      </c>
      <c r="J13" s="35">
        <f>Assumption_Nursery!L18*Assumption_Nursery!L158</f>
        <v>20000</v>
      </c>
      <c r="K13" s="35">
        <f>Assumption_Nursery!M18*Assumption_Nursery!M158</f>
        <v>20000</v>
      </c>
      <c r="L13" s="35">
        <f>Assumption_Nursery!N18*Assumption_Nursery!N158</f>
        <v>20000</v>
      </c>
      <c r="M13" s="35">
        <f>Assumption_Nursery!O18*Assumption_Nursery!O158</f>
        <v>20000</v>
      </c>
      <c r="N13" s="35">
        <f>Assumption_Nursery!P18*Assumption_Nursery!P158</f>
        <v>20000</v>
      </c>
      <c r="O13" s="35">
        <f>Assumption_Nursery!Q18*Assumption_Nursery!Q158</f>
        <v>20000</v>
      </c>
      <c r="P13" s="35">
        <f>Assumption_Nursery!R18*Assumption_Nursery!R158</f>
        <v>20000</v>
      </c>
      <c r="Q13" s="35">
        <f>Assumption_Nursery!S18*Assumption_Nursery!S158</f>
        <v>20000</v>
      </c>
      <c r="R13" s="35">
        <f>Assumption_Nursery!T18*Assumption_Nursery!T158</f>
        <v>20000</v>
      </c>
      <c r="S13" s="35">
        <f>Assumption_Nursery!U18*Assumption_Nursery!U158</f>
        <v>20000</v>
      </c>
      <c r="T13" s="35">
        <f>Assumption_Nursery!V18*Assumption_Nursery!V158</f>
        <v>20000</v>
      </c>
      <c r="U13" s="35">
        <f>Assumption_Nursery!W18*Assumption_Nursery!W158</f>
        <v>20000</v>
      </c>
      <c r="V13" s="35">
        <f>Assumption_Nursery!X18*Assumption_Nursery!X158</f>
        <v>20000</v>
      </c>
      <c r="W13" s="35">
        <f>Assumption_Nursery!Y18*Assumption_Nursery!Y158</f>
        <v>16000</v>
      </c>
      <c r="X13" s="35">
        <f>Assumption_Nursery!Z18*Assumption_Nursery!Z158</f>
        <v>10000</v>
      </c>
      <c r="Y13" s="35">
        <f>Assumption_Nursery!AA18*Assumption_Nursery!AA158</f>
        <v>4000</v>
      </c>
      <c r="Z13" s="35">
        <f>Assumption_Nursery!AB18*Assumption_Nursery!AB158</f>
        <v>0</v>
      </c>
    </row>
    <row r="14" spans="1:26" x14ac:dyDescent="0.25">
      <c r="A14" s="9" t="s">
        <v>15</v>
      </c>
      <c r="B14" s="35">
        <f>Assumption_Nursery!D159*Assumption_Nursery!D160*(1+Assumption_Nursery!D161)^Assumption_Nursery!D148*Assumption_Nursery!D18</f>
        <v>0</v>
      </c>
      <c r="C14" s="35">
        <f>Assumption_Nursery!E159*Assumption_Nursery!E160*(1+Assumption_Nursery!E161)^Assumption_Nursery!E148*Assumption_Nursery!E18</f>
        <v>42420</v>
      </c>
      <c r="D14" s="35">
        <f>Assumption_Nursery!F159*Assumption_Nursery!F160*(1+Assumption_Nursery!F161)^Assumption_Nursery!F148*Assumption_Nursery!F18</f>
        <v>107110.5</v>
      </c>
      <c r="E14" s="35">
        <f>Assumption_Nursery!G159*Assumption_Nursery!G160*(1+Assumption_Nursery!G161)^Assumption_Nursery!G148*Assumption_Nursery!G18</f>
        <v>173090.56799999997</v>
      </c>
      <c r="F14" s="35">
        <f>Assumption_Nursery!H159*Assumption_Nursery!H160*(1+Assumption_Nursery!H161)^Assumption_Nursery!H148*Assumption_Nursery!H18</f>
        <v>218526.84210000001</v>
      </c>
      <c r="G14" s="35">
        <f>Assumption_Nursery!I159*Assumption_Nursery!I160*(1+Assumption_Nursery!I161)^Assumption_Nursery!I148*Assumption_Nursery!I18</f>
        <v>220712.11052099997</v>
      </c>
      <c r="H14" s="35">
        <f>Assumption_Nursery!J159*Assumption_Nursery!J160*(1+Assumption_Nursery!J161)^Assumption_Nursery!J148*Assumption_Nursery!J18</f>
        <v>222919.23162621004</v>
      </c>
      <c r="I14" s="35">
        <f>Assumption_Nursery!K159*Assumption_Nursery!K160*(1+Assumption_Nursery!K161)^Assumption_Nursery!K148*Assumption_Nursery!K18</f>
        <v>225148.42394247209</v>
      </c>
      <c r="J14" s="35">
        <f>Assumption_Nursery!L159*Assumption_Nursery!L160*(1+Assumption_Nursery!L161)^Assumption_Nursery!L148*Assumption_Nursery!L18</f>
        <v>227399.90818189684</v>
      </c>
      <c r="K14" s="35">
        <f>Assumption_Nursery!M159*Assumption_Nursery!M160*(1+Assumption_Nursery!M161)^Assumption_Nursery!M148*Assumption_Nursery!M18</f>
        <v>229673.90726371581</v>
      </c>
      <c r="L14" s="35">
        <f>Assumption_Nursery!N159*Assumption_Nursery!N160*(1+Assumption_Nursery!N161)^Assumption_Nursery!N148*Assumption_Nursery!N18</f>
        <v>231970.64633635298</v>
      </c>
      <c r="M14" s="35">
        <f>Assumption_Nursery!O159*Assumption_Nursery!O160*(1+Assumption_Nursery!O161)^Assumption_Nursery!O148*Assumption_Nursery!O18</f>
        <v>234290.35279971649</v>
      </c>
      <c r="N14" s="35">
        <f>Assumption_Nursery!P159*Assumption_Nursery!P160*(1+Assumption_Nursery!P161)^Assumption_Nursery!P148*Assumption_Nursery!P18</f>
        <v>236633.25632771364</v>
      </c>
      <c r="O14" s="35">
        <f>Assumption_Nursery!Q159*Assumption_Nursery!Q160*(1+Assumption_Nursery!Q161)^Assumption_Nursery!Q148*Assumption_Nursery!Q18</f>
        <v>238999.5888909908</v>
      </c>
      <c r="P14" s="35">
        <f>Assumption_Nursery!R159*Assumption_Nursery!R160*(1+Assumption_Nursery!R161)^Assumption_Nursery!R148*Assumption_Nursery!R18</f>
        <v>241389.58477990073</v>
      </c>
      <c r="Q14" s="35">
        <f>Assumption_Nursery!S159*Assumption_Nursery!S160*(1+Assumption_Nursery!S161)^Assumption_Nursery!S148*Assumption_Nursery!S18</f>
        <v>243803.4806276997</v>
      </c>
      <c r="R14" s="35">
        <f>Assumption_Nursery!T159*Assumption_Nursery!T160*(1+Assumption_Nursery!T161)^Assumption_Nursery!T148*Assumption_Nursery!T18</f>
        <v>246241.51543397675</v>
      </c>
      <c r="S14" s="35">
        <f>Assumption_Nursery!U159*Assumption_Nursery!U160*(1+Assumption_Nursery!U161)^Assumption_Nursery!U148*Assumption_Nursery!U18</f>
        <v>248703.93058831652</v>
      </c>
      <c r="T14" s="35">
        <f>Assumption_Nursery!V159*Assumption_Nursery!V160*(1+Assumption_Nursery!V161)^Assumption_Nursery!V148*Assumption_Nursery!V18</f>
        <v>251190.96989419969</v>
      </c>
      <c r="U14" s="35">
        <f>Assumption_Nursery!W159*Assumption_Nursery!W160*(1+Assumption_Nursery!W161)^Assumption_Nursery!W148*Assumption_Nursery!W18</f>
        <v>253702.87959314164</v>
      </c>
      <c r="V14" s="35">
        <f>Assumption_Nursery!X159*Assumption_Nursery!X160*(1+Assumption_Nursery!X161)^Assumption_Nursery!X148*Assumption_Nursery!X18</f>
        <v>256239.9083890731</v>
      </c>
      <c r="W14" s="35">
        <f>Assumption_Nursery!Y159*Assumption_Nursery!Y160*(1+Assumption_Nursery!Y161)^Assumption_Nursery!Y148*Assumption_Nursery!Y18</f>
        <v>207041.84597837101</v>
      </c>
      <c r="X14" s="35">
        <f>Assumption_Nursery!Z159*Assumption_Nursery!Z160*(1+Assumption_Nursery!Z161)^Assumption_Nursery!Z148*Assumption_Nursery!Z18</f>
        <v>130695.16527384675</v>
      </c>
      <c r="Y14" s="35">
        <f>Assumption_Nursery!AA159*Assumption_Nursery!AA160*(1+Assumption_Nursery!AA161)^Assumption_Nursery!AA148*Assumption_Nursery!AA18</f>
        <v>52800.846770634074</v>
      </c>
      <c r="Z14" s="35">
        <f>Assumption_Nursery!AB159*Assumption_Nursery!AB160*(1+Assumption_Nursery!AB161)^Assumption_Nursery!AB148*Assumption_Nursery!AB18</f>
        <v>0</v>
      </c>
    </row>
    <row r="15" spans="1:26" s="54" customFormat="1" x14ac:dyDescent="0.25">
      <c r="A15" s="56" t="s">
        <v>156</v>
      </c>
      <c r="B15" s="53">
        <f>Assumption_Nursery!D43</f>
        <v>0</v>
      </c>
      <c r="C15" s="53">
        <f>Assumption_Nursery!E43</f>
        <v>74400</v>
      </c>
      <c r="D15" s="53">
        <f>Assumption_Nursery!F43</f>
        <v>111600</v>
      </c>
      <c r="E15" s="53">
        <f>Assumption_Nursery!G43</f>
        <v>111600</v>
      </c>
      <c r="F15" s="53">
        <f>Assumption_Nursery!H43</f>
        <v>74400</v>
      </c>
      <c r="G15" s="53">
        <f>Assumption_Nursery!I43</f>
        <v>0</v>
      </c>
      <c r="H15" s="53">
        <f>Assumption_Nursery!J43</f>
        <v>0</v>
      </c>
      <c r="I15" s="53">
        <f>Assumption_Nursery!K43</f>
        <v>0</v>
      </c>
      <c r="J15" s="53">
        <f>Assumption_Nursery!L43</f>
        <v>0</v>
      </c>
      <c r="K15" s="53">
        <f>Assumption_Nursery!M43</f>
        <v>0</v>
      </c>
      <c r="L15" s="53">
        <f>Assumption_Nursery!N43</f>
        <v>0</v>
      </c>
      <c r="M15" s="53">
        <f>Assumption_Nursery!O43</f>
        <v>0</v>
      </c>
      <c r="N15" s="53">
        <f>Assumption_Nursery!P43</f>
        <v>0</v>
      </c>
      <c r="O15" s="53">
        <f>Assumption_Nursery!Q43</f>
        <v>0</v>
      </c>
      <c r="P15" s="53">
        <f>Assumption_Nursery!R43</f>
        <v>0</v>
      </c>
      <c r="Q15" s="53">
        <f>Assumption_Nursery!S43</f>
        <v>0</v>
      </c>
      <c r="R15" s="53">
        <f>Assumption_Nursery!T43</f>
        <v>0</v>
      </c>
      <c r="S15" s="53">
        <f>Assumption_Nursery!U43</f>
        <v>0</v>
      </c>
      <c r="T15" s="53">
        <f>Assumption_Nursery!V43</f>
        <v>0</v>
      </c>
      <c r="U15" s="53">
        <f>Assumption_Nursery!W43</f>
        <v>0</v>
      </c>
      <c r="V15" s="53">
        <f>Assumption_Nursery!X43</f>
        <v>0</v>
      </c>
      <c r="W15" s="53">
        <f>Assumption_Nursery!Y43</f>
        <v>0</v>
      </c>
      <c r="X15" s="53">
        <f>Assumption_Nursery!Z43</f>
        <v>0</v>
      </c>
      <c r="Y15" s="53">
        <f>Assumption_Nursery!AA43</f>
        <v>0</v>
      </c>
      <c r="Z15" s="53">
        <f>Assumption_Nursery!AB43</f>
        <v>0</v>
      </c>
    </row>
    <row r="16" spans="1:26" x14ac:dyDescent="0.25">
      <c r="A16" s="127" t="s">
        <v>59</v>
      </c>
      <c r="B16" s="40">
        <f t="shared" ref="B16:Z16" si="1">SUM(B10:B15)</f>
        <v>0</v>
      </c>
      <c r="C16" s="40">
        <f t="shared" si="1"/>
        <v>250820</v>
      </c>
      <c r="D16" s="40">
        <f t="shared" si="1"/>
        <v>553710.5</v>
      </c>
      <c r="E16" s="40">
        <f t="shared" si="1"/>
        <v>820990.56799999997</v>
      </c>
      <c r="F16" s="40">
        <f t="shared" si="1"/>
        <v>962926.84210000001</v>
      </c>
      <c r="G16" s="40">
        <f t="shared" si="1"/>
        <v>890712.110521</v>
      </c>
      <c r="H16" s="40">
        <f t="shared" si="1"/>
        <v>893294.23162621004</v>
      </c>
      <c r="I16" s="40">
        <f t="shared" si="1"/>
        <v>895148.42394247209</v>
      </c>
      <c r="J16" s="40">
        <f t="shared" si="1"/>
        <v>897399.9081818969</v>
      </c>
      <c r="K16" s="40">
        <f t="shared" si="1"/>
        <v>900048.90726371575</v>
      </c>
      <c r="L16" s="40">
        <f t="shared" si="1"/>
        <v>901970.64633635292</v>
      </c>
      <c r="M16" s="40">
        <f t="shared" si="1"/>
        <v>904290.35279971652</v>
      </c>
      <c r="N16" s="40">
        <f t="shared" si="1"/>
        <v>907008.25632771361</v>
      </c>
      <c r="O16" s="40">
        <f t="shared" si="1"/>
        <v>908999.58889099082</v>
      </c>
      <c r="P16" s="40">
        <f t="shared" si="1"/>
        <v>911389.58477990073</v>
      </c>
      <c r="Q16" s="40">
        <f t="shared" si="1"/>
        <v>914178.48062769976</v>
      </c>
      <c r="R16" s="40">
        <f t="shared" si="1"/>
        <v>916241.51543397678</v>
      </c>
      <c r="S16" s="40">
        <f t="shared" si="1"/>
        <v>918703.93058831652</v>
      </c>
      <c r="T16" s="40">
        <f t="shared" si="1"/>
        <v>921565.96989419963</v>
      </c>
      <c r="U16" s="40">
        <f t="shared" si="1"/>
        <v>923702.87959314161</v>
      </c>
      <c r="V16" s="40">
        <f t="shared" si="1"/>
        <v>926239.9083890731</v>
      </c>
      <c r="W16" s="40">
        <f t="shared" si="1"/>
        <v>743341.84597837098</v>
      </c>
      <c r="X16" s="40">
        <f t="shared" si="1"/>
        <v>465695.16527384677</v>
      </c>
      <c r="Y16" s="40">
        <f t="shared" si="1"/>
        <v>186800.84677063406</v>
      </c>
      <c r="Z16" s="40">
        <f t="shared" si="1"/>
        <v>0</v>
      </c>
    </row>
    <row r="17" spans="1:26" x14ac:dyDescent="0.25">
      <c r="B17" s="34"/>
      <c r="C17" s="34"/>
      <c r="D17" s="34"/>
      <c r="E17" s="34"/>
      <c r="F17" s="34"/>
      <c r="G17" s="34"/>
      <c r="H17" s="34"/>
      <c r="I17" s="34"/>
      <c r="J17" s="34"/>
      <c r="K17" s="34"/>
      <c r="L17" s="34"/>
    </row>
    <row r="18" spans="1:26" x14ac:dyDescent="0.25">
      <c r="A18" s="24" t="s">
        <v>60</v>
      </c>
      <c r="B18" s="36">
        <f t="shared" ref="B18:Z18" si="2">B7-B16</f>
        <v>0</v>
      </c>
      <c r="C18" s="36">
        <f t="shared" si="2"/>
        <v>-90169.999999999971</v>
      </c>
      <c r="D18" s="36">
        <f t="shared" si="2"/>
        <v>-144052.99999999994</v>
      </c>
      <c r="E18" s="36">
        <f t="shared" si="2"/>
        <v>-185857.57999999996</v>
      </c>
      <c r="F18" s="36">
        <f t="shared" si="2"/>
        <v>-110511.51609999989</v>
      </c>
      <c r="G18" s="36">
        <f t="shared" si="2"/>
        <v>-21248.478000999894</v>
      </c>
      <c r="H18" s="36">
        <f t="shared" si="2"/>
        <v>-50783.971714329906</v>
      </c>
      <c r="I18" s="36">
        <f t="shared" si="2"/>
        <v>9441.5393313359236</v>
      </c>
      <c r="J18" s="36">
        <f t="shared" si="2"/>
        <v>25281.854357387288</v>
      </c>
      <c r="K18" s="36">
        <f t="shared" si="2"/>
        <v>-5970.2793631493114</v>
      </c>
      <c r="L18" s="36">
        <f t="shared" si="2"/>
        <v>57987.4594095184</v>
      </c>
      <c r="M18" s="36">
        <f t="shared" si="2"/>
        <v>74866.915061072097</v>
      </c>
      <c r="N18" s="36">
        <f t="shared" si="2"/>
        <v>41795.136229390744</v>
      </c>
      <c r="O18" s="36">
        <f t="shared" si="2"/>
        <v>109715.63259137375</v>
      </c>
      <c r="P18" s="36">
        <f t="shared" si="2"/>
        <v>127699.94113211124</v>
      </c>
      <c r="Q18" s="36">
        <f t="shared" si="2"/>
        <v>92699.269981039572</v>
      </c>
      <c r="R18" s="36">
        <f t="shared" si="2"/>
        <v>164827.22732488031</v>
      </c>
      <c r="S18" s="36">
        <f t="shared" si="2"/>
        <v>183986.18702571781</v>
      </c>
      <c r="T18" s="36">
        <f t="shared" si="2"/>
        <v>146940.75407379959</v>
      </c>
      <c r="U18" s="36">
        <f t="shared" si="2"/>
        <v>223535.91877249954</v>
      </c>
      <c r="V18" s="36">
        <f t="shared" si="2"/>
        <v>243943.66594388103</v>
      </c>
      <c r="W18" s="36">
        <f t="shared" si="2"/>
        <v>163784.46084453491</v>
      </c>
      <c r="X18" s="36">
        <f t="shared" si="2"/>
        <v>143034.33009415591</v>
      </c>
      <c r="Y18" s="36">
        <f t="shared" si="2"/>
        <v>61560.787339511007</v>
      </c>
      <c r="Z18" s="36">
        <f t="shared" si="2"/>
        <v>0</v>
      </c>
    </row>
    <row r="19" spans="1:26" x14ac:dyDescent="0.25">
      <c r="B19" s="34"/>
      <c r="C19" s="34"/>
      <c r="D19" s="34"/>
      <c r="E19" s="34"/>
      <c r="F19" s="34"/>
      <c r="G19" s="34"/>
      <c r="H19" s="34"/>
      <c r="I19" s="34"/>
      <c r="J19" s="34"/>
      <c r="K19" s="34"/>
      <c r="L19" s="34"/>
    </row>
    <row r="20" spans="1:26" s="13" customFormat="1" x14ac:dyDescent="0.25">
      <c r="A20" s="24" t="s">
        <v>61</v>
      </c>
      <c r="B20" s="42">
        <f>B18/(1+Assumption_Hatchery!$C76)^B4</f>
        <v>0</v>
      </c>
      <c r="C20" s="42">
        <f>C18/(1+Assumption_Hatchery!$C76)^C4</f>
        <v>-82724.770642201809</v>
      </c>
      <c r="D20" s="42">
        <f>D18/(1+Assumption_Hatchery!$C76)^D4</f>
        <v>-121246.52807002771</v>
      </c>
      <c r="E20" s="42">
        <f>E18/(1+Assumption_Hatchery!$C76)^E4</f>
        <v>-143516.15292012761</v>
      </c>
      <c r="F20" s="42">
        <f>F18/(1+Assumption_Hatchery!$C76)^F4</f>
        <v>-78289.144118277283</v>
      </c>
      <c r="G20" s="42">
        <f>G18/(1+Assumption_Hatchery!$C76)^G4</f>
        <v>-13810.052763919753</v>
      </c>
      <c r="H20" s="42">
        <f>H18/(1+Assumption_Hatchery!$C76)^H4</f>
        <v>-30280.823062413201</v>
      </c>
      <c r="I20" s="42">
        <f>I18/(1+Assumption_Hatchery!$C76)^I4</f>
        <v>5164.8453382758262</v>
      </c>
      <c r="J20" s="42">
        <f>J18/(1+Assumption_Hatchery!$C76)^J4</f>
        <v>12688.11018957072</v>
      </c>
      <c r="K20" s="42">
        <f>K18/(1+Assumption_Hatchery!$C76)^K4</f>
        <v>-2748.882470266833</v>
      </c>
      <c r="L20" s="42">
        <f>L18/(1+Assumption_Hatchery!$C76)^L4</f>
        <v>24494.529519005675</v>
      </c>
      <c r="M20" s="42">
        <f>M18/(1+Assumption_Hatchery!$C76)^M4</f>
        <v>29013.388991503183</v>
      </c>
      <c r="N20" s="42">
        <f>N18/(1+Assumption_Hatchery!$C76)^N4</f>
        <v>14859.622269987532</v>
      </c>
      <c r="O20" s="42">
        <f>O18/(1+Assumption_Hatchery!$C76)^O4</f>
        <v>35786.896580689026</v>
      </c>
      <c r="P20" s="42">
        <f>P18/(1+Assumption_Hatchery!$C76)^P4</f>
        <v>38213.755968489189</v>
      </c>
      <c r="Q20" s="42">
        <f>Q18/(1+Assumption_Hatchery!$C76)^Q4</f>
        <v>25449.476011750499</v>
      </c>
      <c r="R20" s="42">
        <f>R18/(1+Assumption_Hatchery!$C76)^R4</f>
        <v>41514.994628297834</v>
      </c>
      <c r="S20" s="42">
        <f>S18/(1+Assumption_Hatchery!$C76)^S4</f>
        <v>42514.272716698535</v>
      </c>
      <c r="T20" s="42">
        <f>T18/(1+Assumption_Hatchery!$C76)^T4</f>
        <v>31150.520036611892</v>
      </c>
      <c r="U20" s="42">
        <f>U18/(1+Assumption_Hatchery!$C76)^U4</f>
        <v>43475.427044512289</v>
      </c>
      <c r="V20" s="42">
        <f>V18/(1+Assumption_Hatchery!$C76)^V4</f>
        <v>43527.085371114808</v>
      </c>
      <c r="W20" s="42">
        <f>W18/(1+Assumption_Hatchery!$C76)^W4</f>
        <v>26811.199156880033</v>
      </c>
      <c r="X20" s="42">
        <f>X18/(1+Assumption_Hatchery!$C76)^X4</f>
        <v>21481.140298047914</v>
      </c>
      <c r="Y20" s="42">
        <f>Y18/(1+Assumption_Hatchery!$C76)^Y4</f>
        <v>8481.9305673354556</v>
      </c>
      <c r="Z20" s="42">
        <f>Z18/(1+Assumption_Hatchery!$C76)^Z4</f>
        <v>0</v>
      </c>
    </row>
    <row r="21" spans="1:26" x14ac:dyDescent="0.25">
      <c r="B21" s="34"/>
      <c r="C21" s="34"/>
      <c r="D21" s="34"/>
      <c r="E21" s="34"/>
      <c r="F21" s="34"/>
      <c r="G21" s="34"/>
      <c r="H21" s="34"/>
      <c r="I21" s="34"/>
      <c r="J21" s="34"/>
      <c r="K21" s="34"/>
      <c r="L21" s="34"/>
    </row>
    <row r="22" spans="1:26" s="13" customFormat="1" x14ac:dyDescent="0.25">
      <c r="A22" s="26" t="s">
        <v>62</v>
      </c>
      <c r="B22" s="37">
        <f>NPV(Assumption_Hatchery!C76,C18:Z18)+B18</f>
        <v>-27989.159358463872</v>
      </c>
      <c r="C22" s="43"/>
      <c r="D22" s="43"/>
      <c r="E22" s="43"/>
      <c r="F22" s="43"/>
      <c r="G22" s="43"/>
      <c r="H22" s="43"/>
      <c r="I22" s="43"/>
      <c r="J22" s="43"/>
      <c r="K22" s="43"/>
      <c r="L22" s="43"/>
    </row>
    <row r="24" spans="1:26" s="13" customFormat="1" x14ac:dyDescent="0.25">
      <c r="A24" s="26" t="s">
        <v>25</v>
      </c>
      <c r="B24" s="38">
        <f>IRR(B18:Z18)</f>
        <v>8.4984624681674559E-2</v>
      </c>
      <c r="C24" s="4"/>
      <c r="D24" s="4"/>
      <c r="E24" s="4"/>
      <c r="F24" s="4"/>
      <c r="G24" s="4"/>
      <c r="H24" s="4"/>
      <c r="I24" s="4"/>
      <c r="J24" s="4"/>
      <c r="K24" s="4"/>
      <c r="L24" s="4"/>
    </row>
    <row r="26" spans="1:26" s="13" customFormat="1" x14ac:dyDescent="0.25">
      <c r="A26" s="27" t="s">
        <v>63</v>
      </c>
      <c r="B26" s="39">
        <f>B20</f>
        <v>0</v>
      </c>
      <c r="C26" s="39">
        <f>B26+C20</f>
        <v>-82724.770642201809</v>
      </c>
      <c r="D26" s="39">
        <f t="shared" ref="D26:Z26" si="3">C26+D20</f>
        <v>-203971.29871222953</v>
      </c>
      <c r="E26" s="39">
        <f t="shared" si="3"/>
        <v>-347487.45163235714</v>
      </c>
      <c r="F26" s="39">
        <f t="shared" si="3"/>
        <v>-425776.59575063444</v>
      </c>
      <c r="G26" s="39">
        <f t="shared" si="3"/>
        <v>-439586.6485145542</v>
      </c>
      <c r="H26" s="39">
        <f t="shared" si="3"/>
        <v>-469867.47157696739</v>
      </c>
      <c r="I26" s="39">
        <f t="shared" si="3"/>
        <v>-464702.62623869156</v>
      </c>
      <c r="J26" s="39">
        <f t="shared" si="3"/>
        <v>-452014.51604912087</v>
      </c>
      <c r="K26" s="39">
        <f t="shared" si="3"/>
        <v>-454763.3985193877</v>
      </c>
      <c r="L26" s="39">
        <f t="shared" si="3"/>
        <v>-430268.86900038202</v>
      </c>
      <c r="M26" s="39">
        <f t="shared" si="3"/>
        <v>-401255.48000887886</v>
      </c>
      <c r="N26" s="39">
        <f t="shared" si="3"/>
        <v>-386395.85773889133</v>
      </c>
      <c r="O26" s="39">
        <f t="shared" si="3"/>
        <v>-350608.96115820232</v>
      </c>
      <c r="P26" s="39">
        <f t="shared" si="3"/>
        <v>-312395.20518971316</v>
      </c>
      <c r="Q26" s="39">
        <f t="shared" si="3"/>
        <v>-286945.72917796264</v>
      </c>
      <c r="R26" s="39">
        <f t="shared" si="3"/>
        <v>-245430.7345496648</v>
      </c>
      <c r="S26" s="39">
        <f t="shared" si="3"/>
        <v>-202916.46183296628</v>
      </c>
      <c r="T26" s="39">
        <f t="shared" si="3"/>
        <v>-171765.9417963544</v>
      </c>
      <c r="U26" s="39">
        <f t="shared" si="3"/>
        <v>-128290.5147518421</v>
      </c>
      <c r="V26" s="39">
        <f t="shared" si="3"/>
        <v>-84763.429380727292</v>
      </c>
      <c r="W26" s="39">
        <f t="shared" si="3"/>
        <v>-57952.230223847262</v>
      </c>
      <c r="X26" s="39">
        <f t="shared" si="3"/>
        <v>-36471.089925799344</v>
      </c>
      <c r="Y26" s="39">
        <f t="shared" si="3"/>
        <v>-27989.15935846389</v>
      </c>
      <c r="Z26" s="39">
        <f t="shared" si="3"/>
        <v>-27989.15935846389</v>
      </c>
    </row>
    <row r="28" spans="1:26" s="1" customFormat="1" x14ac:dyDescent="0.25">
      <c r="A28" s="25"/>
      <c r="B28" s="45"/>
      <c r="C28" s="45"/>
      <c r="D28" s="45"/>
      <c r="E28" s="45"/>
      <c r="F28" s="45"/>
      <c r="G28" s="45"/>
      <c r="H28" s="45"/>
      <c r="I28" s="45"/>
      <c r="J28" s="45"/>
      <c r="K28" s="45"/>
      <c r="L28" s="45"/>
    </row>
    <row r="30" spans="1:26" ht="38.25" customHeight="1" x14ac:dyDescent="0.25">
      <c r="A30" s="11" t="s">
        <v>169</v>
      </c>
      <c r="B30" s="32"/>
      <c r="C30" s="76"/>
      <c r="D30" s="77"/>
      <c r="E30" s="32"/>
      <c r="F30" s="126" t="s">
        <v>105</v>
      </c>
      <c r="G30" s="32"/>
      <c r="H30" s="32"/>
      <c r="I30" s="32"/>
      <c r="J30" s="32"/>
      <c r="K30" s="32"/>
      <c r="L30" s="32"/>
      <c r="M30" s="11"/>
    </row>
    <row r="31" spans="1:26" ht="38.25" customHeight="1" x14ac:dyDescent="0.25">
      <c r="A31" s="11"/>
      <c r="B31" s="32"/>
      <c r="C31" s="76"/>
      <c r="D31" s="77"/>
      <c r="E31" s="32"/>
      <c r="F31" s="126"/>
      <c r="G31" s="32"/>
      <c r="H31" s="32"/>
      <c r="I31" s="32"/>
      <c r="J31" s="32"/>
      <c r="K31" s="32"/>
      <c r="L31" s="32"/>
      <c r="M31" s="11"/>
    </row>
    <row r="32" spans="1:26" x14ac:dyDescent="0.25">
      <c r="A32" s="10" t="s">
        <v>22</v>
      </c>
      <c r="B32" s="28">
        <v>0</v>
      </c>
      <c r="C32" s="28">
        <v>1</v>
      </c>
      <c r="D32" s="28">
        <v>2</v>
      </c>
      <c r="E32" s="28">
        <v>3</v>
      </c>
      <c r="F32" s="28">
        <v>4</v>
      </c>
      <c r="G32" s="28">
        <v>5</v>
      </c>
      <c r="H32" s="28">
        <v>6</v>
      </c>
      <c r="I32" s="28">
        <v>7</v>
      </c>
      <c r="J32" s="28">
        <v>8</v>
      </c>
      <c r="K32" s="28">
        <v>9</v>
      </c>
      <c r="L32" s="28">
        <v>10</v>
      </c>
      <c r="M32" s="28">
        <v>11</v>
      </c>
      <c r="N32" s="28">
        <v>12</v>
      </c>
      <c r="O32" s="28">
        <v>13</v>
      </c>
      <c r="P32" s="28">
        <v>14</v>
      </c>
      <c r="Q32" s="28">
        <v>15</v>
      </c>
      <c r="R32" s="28">
        <v>16</v>
      </c>
      <c r="S32" s="28">
        <v>17</v>
      </c>
      <c r="T32" s="28">
        <v>18</v>
      </c>
      <c r="U32" s="28">
        <v>19</v>
      </c>
      <c r="V32" s="28">
        <v>20</v>
      </c>
      <c r="W32" s="28">
        <v>21</v>
      </c>
      <c r="X32" s="28">
        <v>22</v>
      </c>
      <c r="Y32" s="28">
        <v>23</v>
      </c>
      <c r="Z32" s="28">
        <v>24</v>
      </c>
    </row>
    <row r="33" spans="1:26" x14ac:dyDescent="0.25">
      <c r="A33" s="24" t="s">
        <v>23</v>
      </c>
    </row>
    <row r="34" spans="1:26" x14ac:dyDescent="0.25">
      <c r="A34" s="10" t="str">
        <f t="shared" ref="A34:Z34" si="4">A6</f>
        <v>Small Crab Sale ($)</v>
      </c>
      <c r="B34" s="33">
        <f t="shared" si="4"/>
        <v>0</v>
      </c>
      <c r="C34" s="33">
        <f t="shared" si="4"/>
        <v>160650.00000000003</v>
      </c>
      <c r="D34" s="33">
        <f t="shared" si="4"/>
        <v>409657.50000000006</v>
      </c>
      <c r="E34" s="33">
        <f t="shared" si="4"/>
        <v>635132.98800000001</v>
      </c>
      <c r="F34" s="33">
        <f t="shared" si="4"/>
        <v>852415.32600000012</v>
      </c>
      <c r="G34" s="33">
        <f t="shared" si="4"/>
        <v>869463.6325200001</v>
      </c>
      <c r="H34" s="33">
        <f t="shared" si="4"/>
        <v>842510.25991188013</v>
      </c>
      <c r="I34" s="33">
        <f t="shared" si="4"/>
        <v>904589.96327380801</v>
      </c>
      <c r="J34" s="33">
        <f t="shared" si="4"/>
        <v>922681.76253928419</v>
      </c>
      <c r="K34" s="33">
        <f t="shared" si="4"/>
        <v>894078.62790056644</v>
      </c>
      <c r="L34" s="33">
        <f t="shared" si="4"/>
        <v>959958.10574587132</v>
      </c>
      <c r="M34" s="33">
        <f t="shared" si="4"/>
        <v>979157.26786078862</v>
      </c>
      <c r="N34" s="33">
        <f t="shared" si="4"/>
        <v>948803.39255710435</v>
      </c>
      <c r="O34" s="33">
        <f t="shared" si="4"/>
        <v>1018715.2214823646</v>
      </c>
      <c r="P34" s="33">
        <f t="shared" si="4"/>
        <v>1039089.525912012</v>
      </c>
      <c r="Q34" s="33">
        <f t="shared" si="4"/>
        <v>1006877.7506087393</v>
      </c>
      <c r="R34" s="33">
        <f t="shared" si="4"/>
        <v>1081068.7427588571</v>
      </c>
      <c r="S34" s="33">
        <f t="shared" si="4"/>
        <v>1102690.1176140343</v>
      </c>
      <c r="T34" s="33">
        <f t="shared" si="4"/>
        <v>1068506.7239679992</v>
      </c>
      <c r="U34" s="33">
        <f t="shared" si="4"/>
        <v>1147238.7983656412</v>
      </c>
      <c r="V34" s="33">
        <f t="shared" si="4"/>
        <v>1170183.5743329541</v>
      </c>
      <c r="W34" s="33">
        <f t="shared" si="4"/>
        <v>907126.3068229059</v>
      </c>
      <c r="X34" s="33">
        <f t="shared" si="4"/>
        <v>608729.49536800268</v>
      </c>
      <c r="Y34" s="33">
        <f t="shared" si="4"/>
        <v>248361.63411014507</v>
      </c>
      <c r="Z34" s="33">
        <f t="shared" si="4"/>
        <v>0</v>
      </c>
    </row>
    <row r="35" spans="1:26" s="13" customFormat="1" x14ac:dyDescent="0.25">
      <c r="A35" s="24" t="s">
        <v>58</v>
      </c>
      <c r="B35" s="41">
        <f>B7</f>
        <v>0</v>
      </c>
      <c r="C35" s="41">
        <f t="shared" ref="C35:Z35" si="5">C7</f>
        <v>160650.00000000003</v>
      </c>
      <c r="D35" s="41">
        <f t="shared" si="5"/>
        <v>409657.50000000006</v>
      </c>
      <c r="E35" s="41">
        <f t="shared" si="5"/>
        <v>635132.98800000001</v>
      </c>
      <c r="F35" s="41">
        <f t="shared" si="5"/>
        <v>852415.32600000012</v>
      </c>
      <c r="G35" s="41">
        <f t="shared" si="5"/>
        <v>869463.6325200001</v>
      </c>
      <c r="H35" s="41">
        <f t="shared" si="5"/>
        <v>842510.25991188013</v>
      </c>
      <c r="I35" s="41">
        <f t="shared" si="5"/>
        <v>904589.96327380801</v>
      </c>
      <c r="J35" s="41">
        <f t="shared" si="5"/>
        <v>922681.76253928419</v>
      </c>
      <c r="K35" s="41">
        <f t="shared" si="5"/>
        <v>894078.62790056644</v>
      </c>
      <c r="L35" s="41">
        <f t="shared" si="5"/>
        <v>959958.10574587132</v>
      </c>
      <c r="M35" s="41">
        <f t="shared" si="5"/>
        <v>979157.26786078862</v>
      </c>
      <c r="N35" s="41">
        <f t="shared" si="5"/>
        <v>948803.39255710435</v>
      </c>
      <c r="O35" s="41">
        <f t="shared" si="5"/>
        <v>1018715.2214823646</v>
      </c>
      <c r="P35" s="41">
        <f t="shared" si="5"/>
        <v>1039089.525912012</v>
      </c>
      <c r="Q35" s="41">
        <f t="shared" si="5"/>
        <v>1006877.7506087393</v>
      </c>
      <c r="R35" s="41">
        <f t="shared" si="5"/>
        <v>1081068.7427588571</v>
      </c>
      <c r="S35" s="41">
        <f t="shared" si="5"/>
        <v>1102690.1176140343</v>
      </c>
      <c r="T35" s="41">
        <f t="shared" si="5"/>
        <v>1068506.7239679992</v>
      </c>
      <c r="U35" s="41">
        <f t="shared" si="5"/>
        <v>1147238.7983656412</v>
      </c>
      <c r="V35" s="41">
        <f t="shared" si="5"/>
        <v>1170183.5743329541</v>
      </c>
      <c r="W35" s="41">
        <f t="shared" si="5"/>
        <v>907126.3068229059</v>
      </c>
      <c r="X35" s="41">
        <f t="shared" si="5"/>
        <v>608729.49536800268</v>
      </c>
      <c r="Y35" s="41">
        <f t="shared" si="5"/>
        <v>248361.63411014507</v>
      </c>
      <c r="Z35" s="41">
        <f t="shared" si="5"/>
        <v>0</v>
      </c>
    </row>
    <row r="36" spans="1:26" x14ac:dyDescent="0.25">
      <c r="A36" s="24"/>
      <c r="B36" s="44"/>
      <c r="C36" s="44"/>
      <c r="D36" s="44"/>
      <c r="E36" s="44"/>
      <c r="F36" s="44"/>
      <c r="G36" s="44"/>
      <c r="H36" s="44"/>
      <c r="I36" s="44"/>
      <c r="J36" s="44"/>
      <c r="K36" s="44"/>
    </row>
    <row r="37" spans="1:26" x14ac:dyDescent="0.25">
      <c r="A37" s="24" t="s">
        <v>24</v>
      </c>
    </row>
    <row r="38" spans="1:26" x14ac:dyDescent="0.25">
      <c r="A38" s="9" t="str">
        <f t="shared" ref="A38:Z38" si="6">A10</f>
        <v>Crab Nursery Establishment</v>
      </c>
      <c r="B38" s="35">
        <f t="shared" si="6"/>
        <v>0</v>
      </c>
      <c r="C38" s="35">
        <f t="shared" si="6"/>
        <v>40000</v>
      </c>
      <c r="D38" s="35">
        <f t="shared" si="6"/>
        <v>100000</v>
      </c>
      <c r="E38" s="35">
        <f t="shared" si="6"/>
        <v>160000</v>
      </c>
      <c r="F38" s="35">
        <f t="shared" si="6"/>
        <v>200000</v>
      </c>
      <c r="G38" s="35">
        <f t="shared" si="6"/>
        <v>200000</v>
      </c>
      <c r="H38" s="35">
        <f t="shared" si="6"/>
        <v>200000</v>
      </c>
      <c r="I38" s="35">
        <f t="shared" si="6"/>
        <v>200000</v>
      </c>
      <c r="J38" s="35">
        <f t="shared" si="6"/>
        <v>200000</v>
      </c>
      <c r="K38" s="35">
        <f t="shared" si="6"/>
        <v>200000</v>
      </c>
      <c r="L38" s="35">
        <f t="shared" si="6"/>
        <v>200000</v>
      </c>
      <c r="M38" s="35">
        <f t="shared" si="6"/>
        <v>200000</v>
      </c>
      <c r="N38" s="35">
        <f t="shared" si="6"/>
        <v>200000</v>
      </c>
      <c r="O38" s="35">
        <f t="shared" si="6"/>
        <v>200000</v>
      </c>
      <c r="P38" s="35">
        <f t="shared" si="6"/>
        <v>200000</v>
      </c>
      <c r="Q38" s="35">
        <f t="shared" si="6"/>
        <v>200000</v>
      </c>
      <c r="R38" s="35">
        <f t="shared" si="6"/>
        <v>200000</v>
      </c>
      <c r="S38" s="35">
        <f t="shared" si="6"/>
        <v>200000</v>
      </c>
      <c r="T38" s="35">
        <f t="shared" si="6"/>
        <v>200000</v>
      </c>
      <c r="U38" s="35">
        <f t="shared" si="6"/>
        <v>200000</v>
      </c>
      <c r="V38" s="35">
        <f t="shared" si="6"/>
        <v>200000</v>
      </c>
      <c r="W38" s="35">
        <f t="shared" si="6"/>
        <v>160000</v>
      </c>
      <c r="X38" s="35">
        <f t="shared" si="6"/>
        <v>100000</v>
      </c>
      <c r="Y38" s="35">
        <f t="shared" si="6"/>
        <v>40000</v>
      </c>
      <c r="Z38" s="35">
        <f t="shared" si="6"/>
        <v>0</v>
      </c>
    </row>
    <row r="39" spans="1:26" x14ac:dyDescent="0.25">
      <c r="A39" s="9" t="str">
        <f>A11</f>
        <v>Operation Cost (Crablet purchase)</v>
      </c>
      <c r="B39" s="35">
        <f t="shared" ref="B39:Z39" si="7">B11</f>
        <v>0</v>
      </c>
      <c r="C39" s="35">
        <f t="shared" si="7"/>
        <v>85000.000000000015</v>
      </c>
      <c r="D39" s="35">
        <f t="shared" si="7"/>
        <v>212500.00000000003</v>
      </c>
      <c r="E39" s="35">
        <f t="shared" si="7"/>
        <v>340000.00000000006</v>
      </c>
      <c r="F39" s="35">
        <f t="shared" si="7"/>
        <v>425000.00000000006</v>
      </c>
      <c r="G39" s="35">
        <f t="shared" si="7"/>
        <v>425000.00000000006</v>
      </c>
      <c r="H39" s="35">
        <f t="shared" si="7"/>
        <v>425000.00000000006</v>
      </c>
      <c r="I39" s="35">
        <f t="shared" si="7"/>
        <v>425000.00000000006</v>
      </c>
      <c r="J39" s="35">
        <f t="shared" si="7"/>
        <v>425000.00000000006</v>
      </c>
      <c r="K39" s="35">
        <f t="shared" si="7"/>
        <v>425000.00000000006</v>
      </c>
      <c r="L39" s="35">
        <f t="shared" si="7"/>
        <v>425000.00000000006</v>
      </c>
      <c r="M39" s="35">
        <f t="shared" si="7"/>
        <v>425000.00000000006</v>
      </c>
      <c r="N39" s="35">
        <f t="shared" si="7"/>
        <v>425000.00000000006</v>
      </c>
      <c r="O39" s="35">
        <f t="shared" si="7"/>
        <v>425000.00000000006</v>
      </c>
      <c r="P39" s="35">
        <f t="shared" si="7"/>
        <v>425000.00000000006</v>
      </c>
      <c r="Q39" s="35">
        <f t="shared" si="7"/>
        <v>425000.00000000006</v>
      </c>
      <c r="R39" s="35">
        <f t="shared" si="7"/>
        <v>425000.00000000006</v>
      </c>
      <c r="S39" s="35">
        <f t="shared" si="7"/>
        <v>425000.00000000006</v>
      </c>
      <c r="T39" s="35">
        <f t="shared" si="7"/>
        <v>425000.00000000006</v>
      </c>
      <c r="U39" s="35">
        <f t="shared" si="7"/>
        <v>425000.00000000006</v>
      </c>
      <c r="V39" s="35">
        <f t="shared" si="7"/>
        <v>425000.00000000006</v>
      </c>
      <c r="W39" s="35">
        <f t="shared" si="7"/>
        <v>340000.00000000006</v>
      </c>
      <c r="X39" s="35">
        <f t="shared" si="7"/>
        <v>212500.00000000003</v>
      </c>
      <c r="Y39" s="35">
        <f t="shared" si="7"/>
        <v>85000.000000000015</v>
      </c>
      <c r="Z39" s="35">
        <f t="shared" si="7"/>
        <v>0</v>
      </c>
    </row>
    <row r="40" spans="1:26" x14ac:dyDescent="0.25">
      <c r="A40" s="9" t="str">
        <f>A12</f>
        <v>Feed</v>
      </c>
      <c r="B40" s="35">
        <f t="shared" ref="B40:Z40" si="8">B12</f>
        <v>0</v>
      </c>
      <c r="C40" s="35">
        <f t="shared" si="8"/>
        <v>5000</v>
      </c>
      <c r="D40" s="35">
        <f t="shared" si="8"/>
        <v>12500</v>
      </c>
      <c r="E40" s="35">
        <f t="shared" si="8"/>
        <v>20299.999999999996</v>
      </c>
      <c r="F40" s="35">
        <f t="shared" si="8"/>
        <v>25000</v>
      </c>
      <c r="G40" s="35">
        <f t="shared" si="8"/>
        <v>25000</v>
      </c>
      <c r="H40" s="35">
        <f t="shared" si="8"/>
        <v>25374.999999999996</v>
      </c>
      <c r="I40" s="35">
        <f t="shared" si="8"/>
        <v>25000</v>
      </c>
      <c r="J40" s="35">
        <f t="shared" si="8"/>
        <v>25000</v>
      </c>
      <c r="K40" s="35">
        <f t="shared" si="8"/>
        <v>25374.999999999996</v>
      </c>
      <c r="L40" s="35">
        <f t="shared" si="8"/>
        <v>25000</v>
      </c>
      <c r="M40" s="35">
        <f t="shared" si="8"/>
        <v>25000</v>
      </c>
      <c r="N40" s="35">
        <f t="shared" si="8"/>
        <v>25374.999999999996</v>
      </c>
      <c r="O40" s="35">
        <f t="shared" si="8"/>
        <v>25000</v>
      </c>
      <c r="P40" s="35">
        <f t="shared" si="8"/>
        <v>25000</v>
      </c>
      <c r="Q40" s="35">
        <f t="shared" si="8"/>
        <v>25374.999999999996</v>
      </c>
      <c r="R40" s="35">
        <f t="shared" si="8"/>
        <v>25000</v>
      </c>
      <c r="S40" s="35">
        <f t="shared" si="8"/>
        <v>25000</v>
      </c>
      <c r="T40" s="35">
        <f t="shared" si="8"/>
        <v>25374.999999999996</v>
      </c>
      <c r="U40" s="35">
        <f t="shared" si="8"/>
        <v>25000</v>
      </c>
      <c r="V40" s="35">
        <f t="shared" si="8"/>
        <v>25000</v>
      </c>
      <c r="W40" s="35">
        <f t="shared" si="8"/>
        <v>20299.999999999996</v>
      </c>
      <c r="X40" s="35">
        <f t="shared" si="8"/>
        <v>12500</v>
      </c>
      <c r="Y40" s="35">
        <f t="shared" si="8"/>
        <v>5000</v>
      </c>
      <c r="Z40" s="35">
        <f t="shared" si="8"/>
        <v>0</v>
      </c>
    </row>
    <row r="41" spans="1:26" x14ac:dyDescent="0.25">
      <c r="A41" s="9" t="str">
        <f>A13</f>
        <v>Land rent</v>
      </c>
      <c r="B41" s="35">
        <f t="shared" ref="B41:Z41" si="9">B13</f>
        <v>0</v>
      </c>
      <c r="C41" s="35">
        <f t="shared" si="9"/>
        <v>4000</v>
      </c>
      <c r="D41" s="35">
        <f t="shared" si="9"/>
        <v>10000</v>
      </c>
      <c r="E41" s="35">
        <f t="shared" si="9"/>
        <v>16000</v>
      </c>
      <c r="F41" s="35">
        <f t="shared" si="9"/>
        <v>20000</v>
      </c>
      <c r="G41" s="35">
        <f t="shared" si="9"/>
        <v>20000</v>
      </c>
      <c r="H41" s="35">
        <f t="shared" si="9"/>
        <v>20000</v>
      </c>
      <c r="I41" s="35">
        <f t="shared" si="9"/>
        <v>20000</v>
      </c>
      <c r="J41" s="35">
        <f t="shared" si="9"/>
        <v>20000</v>
      </c>
      <c r="K41" s="35">
        <f t="shared" si="9"/>
        <v>20000</v>
      </c>
      <c r="L41" s="35">
        <f t="shared" si="9"/>
        <v>20000</v>
      </c>
      <c r="M41" s="35">
        <f t="shared" si="9"/>
        <v>20000</v>
      </c>
      <c r="N41" s="35">
        <f t="shared" si="9"/>
        <v>20000</v>
      </c>
      <c r="O41" s="35">
        <f t="shared" si="9"/>
        <v>20000</v>
      </c>
      <c r="P41" s="35">
        <f t="shared" si="9"/>
        <v>20000</v>
      </c>
      <c r="Q41" s="35">
        <f t="shared" si="9"/>
        <v>20000</v>
      </c>
      <c r="R41" s="35">
        <f t="shared" si="9"/>
        <v>20000</v>
      </c>
      <c r="S41" s="35">
        <f t="shared" si="9"/>
        <v>20000</v>
      </c>
      <c r="T41" s="35">
        <f t="shared" si="9"/>
        <v>20000</v>
      </c>
      <c r="U41" s="35">
        <f t="shared" si="9"/>
        <v>20000</v>
      </c>
      <c r="V41" s="35">
        <f t="shared" si="9"/>
        <v>20000</v>
      </c>
      <c r="W41" s="35">
        <f t="shared" si="9"/>
        <v>16000</v>
      </c>
      <c r="X41" s="35">
        <f t="shared" si="9"/>
        <v>10000</v>
      </c>
      <c r="Y41" s="35">
        <f t="shared" si="9"/>
        <v>4000</v>
      </c>
      <c r="Z41" s="35">
        <f t="shared" si="9"/>
        <v>0</v>
      </c>
    </row>
    <row r="42" spans="1:26" x14ac:dyDescent="0.25">
      <c r="A42" s="9" t="str">
        <f>A14</f>
        <v>Labor</v>
      </c>
      <c r="B42" s="35">
        <f>B14</f>
        <v>0</v>
      </c>
      <c r="C42" s="35">
        <f t="shared" ref="C42:Z42" si="10">C14</f>
        <v>42420</v>
      </c>
      <c r="D42" s="35">
        <f t="shared" si="10"/>
        <v>107110.5</v>
      </c>
      <c r="E42" s="35">
        <f t="shared" si="10"/>
        <v>173090.56799999997</v>
      </c>
      <c r="F42" s="35">
        <f t="shared" si="10"/>
        <v>218526.84210000001</v>
      </c>
      <c r="G42" s="35">
        <f t="shared" si="10"/>
        <v>220712.11052099997</v>
      </c>
      <c r="H42" s="35">
        <f t="shared" si="10"/>
        <v>222919.23162621004</v>
      </c>
      <c r="I42" s="35">
        <f t="shared" si="10"/>
        <v>225148.42394247209</v>
      </c>
      <c r="J42" s="35">
        <f t="shared" si="10"/>
        <v>227399.90818189684</v>
      </c>
      <c r="K42" s="35">
        <f t="shared" si="10"/>
        <v>229673.90726371581</v>
      </c>
      <c r="L42" s="35">
        <f t="shared" si="10"/>
        <v>231970.64633635298</v>
      </c>
      <c r="M42" s="35">
        <f t="shared" si="10"/>
        <v>234290.35279971649</v>
      </c>
      <c r="N42" s="35">
        <f t="shared" si="10"/>
        <v>236633.25632771364</v>
      </c>
      <c r="O42" s="35">
        <f t="shared" si="10"/>
        <v>238999.5888909908</v>
      </c>
      <c r="P42" s="35">
        <f t="shared" si="10"/>
        <v>241389.58477990073</v>
      </c>
      <c r="Q42" s="35">
        <f t="shared" si="10"/>
        <v>243803.4806276997</v>
      </c>
      <c r="R42" s="35">
        <f t="shared" si="10"/>
        <v>246241.51543397675</v>
      </c>
      <c r="S42" s="35">
        <f t="shared" si="10"/>
        <v>248703.93058831652</v>
      </c>
      <c r="T42" s="35">
        <f t="shared" si="10"/>
        <v>251190.96989419969</v>
      </c>
      <c r="U42" s="35">
        <f t="shared" si="10"/>
        <v>253702.87959314164</v>
      </c>
      <c r="V42" s="35">
        <f t="shared" si="10"/>
        <v>256239.9083890731</v>
      </c>
      <c r="W42" s="35">
        <f t="shared" si="10"/>
        <v>207041.84597837101</v>
      </c>
      <c r="X42" s="35">
        <f t="shared" si="10"/>
        <v>130695.16527384675</v>
      </c>
      <c r="Y42" s="35">
        <f t="shared" si="10"/>
        <v>52800.846770634074</v>
      </c>
      <c r="Z42" s="35">
        <f t="shared" si="10"/>
        <v>0</v>
      </c>
    </row>
    <row r="43" spans="1:26" s="54" customFormat="1" x14ac:dyDescent="0.25">
      <c r="A43" s="56" t="str">
        <f t="shared" ref="A43" si="11">A15</f>
        <v>Debt Service</v>
      </c>
      <c r="B43" s="53">
        <f>Assumption_Nursery!D53</f>
        <v>0</v>
      </c>
      <c r="C43" s="53">
        <f>Assumption_Nursery!E53</f>
        <v>24800</v>
      </c>
      <c r="D43" s="53">
        <f>Assumption_Nursery!F53</f>
        <v>37200</v>
      </c>
      <c r="E43" s="53">
        <f>Assumption_Nursery!G53</f>
        <v>37200</v>
      </c>
      <c r="F43" s="53">
        <f>Assumption_Nursery!H53</f>
        <v>24800</v>
      </c>
      <c r="G43" s="53">
        <f>Assumption_Nursery!I53</f>
        <v>0</v>
      </c>
      <c r="H43" s="53">
        <f>Assumption_Nursery!J53</f>
        <v>0</v>
      </c>
      <c r="I43" s="53">
        <f>Assumption_Nursery!K53</f>
        <v>0</v>
      </c>
      <c r="J43" s="53">
        <f>Assumption_Nursery!L53</f>
        <v>0</v>
      </c>
      <c r="K43" s="53">
        <f>Assumption_Nursery!M53</f>
        <v>0</v>
      </c>
      <c r="L43" s="53">
        <f>Assumption_Nursery!N53</f>
        <v>0</v>
      </c>
      <c r="M43" s="53">
        <f>Assumption_Nursery!O53</f>
        <v>0</v>
      </c>
      <c r="N43" s="53">
        <f>Assumption_Nursery!P53</f>
        <v>0</v>
      </c>
      <c r="O43" s="53">
        <f>Assumption_Nursery!Q53</f>
        <v>0</v>
      </c>
      <c r="P43" s="53">
        <f>Assumption_Nursery!R53</f>
        <v>0</v>
      </c>
      <c r="Q43" s="53">
        <f>Assumption_Nursery!S53</f>
        <v>0</v>
      </c>
      <c r="R43" s="53">
        <f>Assumption_Nursery!T53</f>
        <v>0</v>
      </c>
      <c r="S43" s="53">
        <f>Assumption_Nursery!U53</f>
        <v>0</v>
      </c>
      <c r="T43" s="53">
        <f>Assumption_Nursery!V53</f>
        <v>0</v>
      </c>
      <c r="U43" s="53">
        <f>Assumption_Nursery!W53</f>
        <v>0</v>
      </c>
      <c r="V43" s="53">
        <f>Assumption_Nursery!X53</f>
        <v>0</v>
      </c>
      <c r="W43" s="53">
        <f>Assumption_Nursery!Y53</f>
        <v>0</v>
      </c>
      <c r="X43" s="53">
        <f>Assumption_Nursery!Z53</f>
        <v>0</v>
      </c>
      <c r="Y43" s="53">
        <f>Assumption_Nursery!AA53</f>
        <v>0</v>
      </c>
      <c r="Z43" s="53">
        <f>Assumption_Nursery!AB53</f>
        <v>0</v>
      </c>
    </row>
    <row r="44" spans="1:26" x14ac:dyDescent="0.25">
      <c r="A44" s="127" t="s">
        <v>59</v>
      </c>
      <c r="B44" s="40">
        <f t="shared" ref="B44:Z44" si="12">SUM(B38:B43)</f>
        <v>0</v>
      </c>
      <c r="C44" s="40">
        <f t="shared" si="12"/>
        <v>201220</v>
      </c>
      <c r="D44" s="40">
        <f t="shared" si="12"/>
        <v>479310.5</v>
      </c>
      <c r="E44" s="40">
        <f t="shared" si="12"/>
        <v>746590.56799999997</v>
      </c>
      <c r="F44" s="40">
        <f t="shared" si="12"/>
        <v>913326.84210000001</v>
      </c>
      <c r="G44" s="40">
        <f t="shared" si="12"/>
        <v>890712.110521</v>
      </c>
      <c r="H44" s="40">
        <f t="shared" si="12"/>
        <v>893294.23162621004</v>
      </c>
      <c r="I44" s="40">
        <f t="shared" si="12"/>
        <v>895148.42394247209</v>
      </c>
      <c r="J44" s="40">
        <f t="shared" si="12"/>
        <v>897399.9081818969</v>
      </c>
      <c r="K44" s="40">
        <f t="shared" si="12"/>
        <v>900048.90726371575</v>
      </c>
      <c r="L44" s="40">
        <f t="shared" si="12"/>
        <v>901970.64633635292</v>
      </c>
      <c r="M44" s="40">
        <f t="shared" si="12"/>
        <v>904290.35279971652</v>
      </c>
      <c r="N44" s="40">
        <f t="shared" si="12"/>
        <v>907008.25632771361</v>
      </c>
      <c r="O44" s="40">
        <f t="shared" si="12"/>
        <v>908999.58889099082</v>
      </c>
      <c r="P44" s="40">
        <f t="shared" si="12"/>
        <v>911389.58477990073</v>
      </c>
      <c r="Q44" s="40">
        <f t="shared" si="12"/>
        <v>914178.48062769976</v>
      </c>
      <c r="R44" s="40">
        <f t="shared" si="12"/>
        <v>916241.51543397678</v>
      </c>
      <c r="S44" s="40">
        <f t="shared" si="12"/>
        <v>918703.93058831652</v>
      </c>
      <c r="T44" s="40">
        <f t="shared" si="12"/>
        <v>921565.96989419963</v>
      </c>
      <c r="U44" s="40">
        <f t="shared" si="12"/>
        <v>923702.87959314161</v>
      </c>
      <c r="V44" s="40">
        <f t="shared" si="12"/>
        <v>926239.9083890731</v>
      </c>
      <c r="W44" s="40">
        <f t="shared" si="12"/>
        <v>743341.84597837098</v>
      </c>
      <c r="X44" s="40">
        <f t="shared" si="12"/>
        <v>465695.16527384677</v>
      </c>
      <c r="Y44" s="40">
        <f t="shared" si="12"/>
        <v>186800.84677063406</v>
      </c>
      <c r="Z44" s="40">
        <f t="shared" si="12"/>
        <v>0</v>
      </c>
    </row>
    <row r="45" spans="1:26" x14ac:dyDescent="0.25">
      <c r="B45" s="34"/>
      <c r="C45" s="34"/>
      <c r="D45" s="34"/>
      <c r="E45" s="34"/>
      <c r="F45" s="34"/>
      <c r="G45" s="34"/>
      <c r="H45" s="34"/>
      <c r="I45" s="34"/>
      <c r="J45" s="34"/>
      <c r="K45" s="34"/>
      <c r="L45" s="34"/>
    </row>
    <row r="46" spans="1:26" x14ac:dyDescent="0.25">
      <c r="A46" s="24" t="s">
        <v>60</v>
      </c>
      <c r="B46" s="36">
        <f t="shared" ref="B46:Z46" si="13">B35-B44</f>
        <v>0</v>
      </c>
      <c r="C46" s="36">
        <f t="shared" si="13"/>
        <v>-40569.999999999971</v>
      </c>
      <c r="D46" s="36">
        <f t="shared" si="13"/>
        <v>-69652.999999999942</v>
      </c>
      <c r="E46" s="36">
        <f t="shared" si="13"/>
        <v>-111457.57999999996</v>
      </c>
      <c r="F46" s="36">
        <f t="shared" si="13"/>
        <v>-60911.516099999892</v>
      </c>
      <c r="G46" s="36">
        <f t="shared" si="13"/>
        <v>-21248.478000999894</v>
      </c>
      <c r="H46" s="36">
        <f t="shared" si="13"/>
        <v>-50783.971714329906</v>
      </c>
      <c r="I46" s="36">
        <f t="shared" si="13"/>
        <v>9441.5393313359236</v>
      </c>
      <c r="J46" s="36">
        <f t="shared" si="13"/>
        <v>25281.854357387288</v>
      </c>
      <c r="K46" s="36">
        <f t="shared" si="13"/>
        <v>-5970.2793631493114</v>
      </c>
      <c r="L46" s="36">
        <f t="shared" si="13"/>
        <v>57987.4594095184</v>
      </c>
      <c r="M46" s="36">
        <f t="shared" si="13"/>
        <v>74866.915061072097</v>
      </c>
      <c r="N46" s="36">
        <f t="shared" si="13"/>
        <v>41795.136229390744</v>
      </c>
      <c r="O46" s="36">
        <f t="shared" si="13"/>
        <v>109715.63259137375</v>
      </c>
      <c r="P46" s="36">
        <f t="shared" si="13"/>
        <v>127699.94113211124</v>
      </c>
      <c r="Q46" s="36">
        <f t="shared" si="13"/>
        <v>92699.269981039572</v>
      </c>
      <c r="R46" s="36">
        <f t="shared" si="13"/>
        <v>164827.22732488031</v>
      </c>
      <c r="S46" s="36">
        <f t="shared" si="13"/>
        <v>183986.18702571781</v>
      </c>
      <c r="T46" s="36">
        <f t="shared" si="13"/>
        <v>146940.75407379959</v>
      </c>
      <c r="U46" s="36">
        <f t="shared" si="13"/>
        <v>223535.91877249954</v>
      </c>
      <c r="V46" s="36">
        <f t="shared" si="13"/>
        <v>243943.66594388103</v>
      </c>
      <c r="W46" s="36">
        <f t="shared" si="13"/>
        <v>163784.46084453491</v>
      </c>
      <c r="X46" s="36">
        <f t="shared" si="13"/>
        <v>143034.33009415591</v>
      </c>
      <c r="Y46" s="36">
        <f t="shared" si="13"/>
        <v>61560.787339511007</v>
      </c>
      <c r="Z46" s="36">
        <f t="shared" si="13"/>
        <v>0</v>
      </c>
    </row>
    <row r="47" spans="1:26" x14ac:dyDescent="0.25">
      <c r="B47" s="34"/>
      <c r="C47" s="34"/>
      <c r="D47" s="34"/>
      <c r="E47" s="34"/>
      <c r="F47" s="34"/>
      <c r="G47" s="34"/>
      <c r="H47" s="34"/>
      <c r="I47" s="34"/>
      <c r="J47" s="34"/>
      <c r="K47" s="34"/>
      <c r="L47" s="34"/>
    </row>
    <row r="48" spans="1:26" s="13" customFormat="1" x14ac:dyDescent="0.25">
      <c r="A48" s="24" t="s">
        <v>61</v>
      </c>
      <c r="B48" s="42">
        <f>B46/(1+Assumption_Hatchery!$C76)^B32</f>
        <v>0</v>
      </c>
      <c r="C48" s="42">
        <f>C46/(1+Assumption_Hatchery!$C76)^C32</f>
        <v>-37220.1834862385</v>
      </c>
      <c r="D48" s="42">
        <f>D46/(1+Assumption_Hatchery!$C76)^D32</f>
        <v>-58625.536570995653</v>
      </c>
      <c r="E48" s="42">
        <f>E46/(1+Assumption_Hatchery!$C76)^E32</f>
        <v>-86065.702003584433</v>
      </c>
      <c r="F48" s="42">
        <f>F46/(1+Assumption_Hatchery!$C76)^F32</f>
        <v>-43151.253649443534</v>
      </c>
      <c r="G48" s="42">
        <f>G46/(1+Assumption_Hatchery!$C76)^G32</f>
        <v>-13810.052763919753</v>
      </c>
      <c r="H48" s="42">
        <f>H46/(1+Assumption_Hatchery!$C76)^H32</f>
        <v>-30280.823062413201</v>
      </c>
      <c r="I48" s="42">
        <f>I46/(1+Assumption_Hatchery!$C76)^I32</f>
        <v>5164.8453382758262</v>
      </c>
      <c r="J48" s="42">
        <f>J46/(1+Assumption_Hatchery!$C76)^J32</f>
        <v>12688.11018957072</v>
      </c>
      <c r="K48" s="42">
        <f>K46/(1+Assumption_Hatchery!$C76)^K32</f>
        <v>-2748.882470266833</v>
      </c>
      <c r="L48" s="42">
        <f>L46/(1+Assumption_Hatchery!$C76)^L32</f>
        <v>24494.529519005675</v>
      </c>
      <c r="M48" s="42">
        <f>M46/(1+Assumption_Hatchery!$C76)^M32</f>
        <v>29013.388991503183</v>
      </c>
      <c r="N48" s="42">
        <f>N46/(1+Assumption_Hatchery!$C76)^N32</f>
        <v>14859.622269987532</v>
      </c>
      <c r="O48" s="42">
        <f>O46/(1+Assumption_Hatchery!$C76)^O32</f>
        <v>35786.896580689026</v>
      </c>
      <c r="P48" s="42">
        <f>P46/(1+Assumption_Hatchery!$C76)^P32</f>
        <v>38213.755968489189</v>
      </c>
      <c r="Q48" s="42">
        <f>Q46/(1+Assumption_Hatchery!$C76)^Q32</f>
        <v>25449.476011750499</v>
      </c>
      <c r="R48" s="42">
        <f>R46/(1+Assumption_Hatchery!$C76)^R32</f>
        <v>41514.994628297834</v>
      </c>
      <c r="S48" s="42">
        <f>S46/(1+Assumption_Hatchery!$C76)^S32</f>
        <v>42514.272716698535</v>
      </c>
      <c r="T48" s="42">
        <f>T46/(1+Assumption_Hatchery!$C76)^T32</f>
        <v>31150.520036611892</v>
      </c>
      <c r="U48" s="42">
        <f>U46/(1+Assumption_Hatchery!$C76)^U32</f>
        <v>43475.427044512289</v>
      </c>
      <c r="V48" s="42">
        <f>V46/(1+Assumption_Hatchery!$C76)^V32</f>
        <v>43527.085371114808</v>
      </c>
      <c r="W48" s="42">
        <f>W46/(1+Assumption_Hatchery!$C76)^W32</f>
        <v>26811.199156880033</v>
      </c>
      <c r="X48" s="42">
        <f>X46/(1+Assumption_Hatchery!$C76)^X32</f>
        <v>21481.140298047914</v>
      </c>
      <c r="Y48" s="42">
        <f>Y46/(1+Assumption_Hatchery!$C76)^Y32</f>
        <v>8481.9305673354556</v>
      </c>
      <c r="Z48" s="42">
        <f>Z46/(1+Assumption_Hatchery!$C76)^Z32</f>
        <v>0</v>
      </c>
    </row>
    <row r="49" spans="1:26" x14ac:dyDescent="0.25">
      <c r="B49" s="34"/>
      <c r="C49" s="34"/>
      <c r="D49" s="34"/>
      <c r="E49" s="34"/>
      <c r="F49" s="34"/>
      <c r="G49" s="34"/>
      <c r="H49" s="34"/>
      <c r="I49" s="34"/>
      <c r="J49" s="34"/>
      <c r="K49" s="34"/>
      <c r="L49" s="34"/>
    </row>
    <row r="50" spans="1:26" s="13" customFormat="1" x14ac:dyDescent="0.25">
      <c r="A50" s="26" t="s">
        <v>62</v>
      </c>
      <c r="B50" s="37">
        <f>NPV(Assumption_Hatchery!C76,C46:Z46)+B46</f>
        <v>172724.76068190837</v>
      </c>
      <c r="C50" s="43"/>
      <c r="D50" s="43"/>
      <c r="E50" s="43"/>
      <c r="F50" s="43"/>
      <c r="G50" s="43"/>
      <c r="H50" s="43"/>
      <c r="I50" s="43"/>
      <c r="J50" s="43"/>
      <c r="K50" s="43"/>
      <c r="L50" s="43"/>
    </row>
    <row r="52" spans="1:26" s="13" customFormat="1" x14ac:dyDescent="0.25">
      <c r="A52" s="26" t="s">
        <v>25</v>
      </c>
      <c r="B52" s="38">
        <f>IRR(B46:Z46)</f>
        <v>0.1332566241757549</v>
      </c>
      <c r="C52" s="4"/>
      <c r="D52" s="4"/>
      <c r="E52" s="4"/>
      <c r="F52" s="4"/>
      <c r="G52" s="4"/>
      <c r="H52" s="4"/>
      <c r="I52" s="4"/>
      <c r="J52" s="4"/>
      <c r="K52" s="4"/>
      <c r="L52" s="4"/>
    </row>
    <row r="54" spans="1:26" s="13" customFormat="1" x14ac:dyDescent="0.25">
      <c r="A54" s="27" t="s">
        <v>63</v>
      </c>
      <c r="B54" s="39">
        <f>B48</f>
        <v>0</v>
      </c>
      <c r="C54" s="39">
        <f>B54+C48</f>
        <v>-37220.1834862385</v>
      </c>
      <c r="D54" s="39">
        <f t="shared" ref="D54:Z54" si="14">C54+D48</f>
        <v>-95845.720057234154</v>
      </c>
      <c r="E54" s="39">
        <f t="shared" si="14"/>
        <v>-181911.42206081859</v>
      </c>
      <c r="F54" s="39">
        <f t="shared" si="14"/>
        <v>-225062.67571026212</v>
      </c>
      <c r="G54" s="39">
        <f t="shared" si="14"/>
        <v>-238872.72847418187</v>
      </c>
      <c r="H54" s="39">
        <f t="shared" si="14"/>
        <v>-269153.5515365951</v>
      </c>
      <c r="I54" s="39">
        <f t="shared" si="14"/>
        <v>-263988.70619831927</v>
      </c>
      <c r="J54" s="39">
        <f t="shared" si="14"/>
        <v>-251300.59600874854</v>
      </c>
      <c r="K54" s="39">
        <f t="shared" si="14"/>
        <v>-254049.47847901538</v>
      </c>
      <c r="L54" s="39">
        <f t="shared" si="14"/>
        <v>-229554.9489600097</v>
      </c>
      <c r="M54" s="39">
        <f t="shared" si="14"/>
        <v>-200541.55996850651</v>
      </c>
      <c r="N54" s="39">
        <f t="shared" si="14"/>
        <v>-185681.93769851897</v>
      </c>
      <c r="O54" s="39">
        <f t="shared" si="14"/>
        <v>-149895.04111782994</v>
      </c>
      <c r="P54" s="39">
        <f t="shared" si="14"/>
        <v>-111681.28514934075</v>
      </c>
      <c r="Q54" s="39">
        <f t="shared" si="14"/>
        <v>-86231.809137590259</v>
      </c>
      <c r="R54" s="39">
        <f t="shared" si="14"/>
        <v>-44716.814509292424</v>
      </c>
      <c r="S54" s="39">
        <f t="shared" si="14"/>
        <v>-2202.5417925938891</v>
      </c>
      <c r="T54" s="39">
        <f t="shared" si="14"/>
        <v>28947.978244018002</v>
      </c>
      <c r="U54" s="39">
        <f t="shared" si="14"/>
        <v>72423.405288530295</v>
      </c>
      <c r="V54" s="39">
        <f t="shared" si="14"/>
        <v>115950.4906596451</v>
      </c>
      <c r="W54" s="39">
        <f t="shared" si="14"/>
        <v>142761.68981652515</v>
      </c>
      <c r="X54" s="39">
        <f t="shared" si="14"/>
        <v>164242.83011457307</v>
      </c>
      <c r="Y54" s="39">
        <f t="shared" si="14"/>
        <v>172724.76068190852</v>
      </c>
      <c r="Z54" s="39">
        <f t="shared" si="14"/>
        <v>172724.76068190852</v>
      </c>
    </row>
    <row r="55" spans="1:26" ht="38.25" customHeight="1" x14ac:dyDescent="0.25">
      <c r="A55" s="11"/>
      <c r="B55" s="32"/>
      <c r="C55" s="76"/>
      <c r="D55" s="77"/>
      <c r="E55" s="32"/>
      <c r="F55" s="126"/>
      <c r="G55" s="32"/>
      <c r="H55" s="32"/>
      <c r="I55" s="32"/>
      <c r="J55" s="32"/>
      <c r="K55" s="32"/>
      <c r="L55" s="32"/>
      <c r="M55" s="11"/>
    </row>
    <row r="56" spans="1:26" s="1" customFormat="1" x14ac:dyDescent="0.25">
      <c r="A56" s="25"/>
      <c r="B56" s="45"/>
      <c r="C56" s="45"/>
      <c r="D56" s="45"/>
      <c r="E56" s="45"/>
      <c r="F56" s="45"/>
      <c r="G56" s="45"/>
      <c r="H56" s="45"/>
      <c r="I56" s="45"/>
      <c r="J56" s="45"/>
      <c r="K56" s="45"/>
      <c r="L56" s="45"/>
    </row>
    <row r="58" spans="1:26" ht="26.25" x14ac:dyDescent="0.25">
      <c r="F58" s="20" t="s">
        <v>111</v>
      </c>
    </row>
    <row r="59" spans="1:26" ht="38.25" customHeight="1" x14ac:dyDescent="0.25">
      <c r="A59" s="11" t="s">
        <v>169</v>
      </c>
      <c r="B59" s="32"/>
      <c r="C59" s="76"/>
      <c r="D59" s="77"/>
      <c r="E59" s="32"/>
      <c r="F59" s="32"/>
      <c r="G59" s="32"/>
      <c r="H59" s="32"/>
      <c r="I59" s="32"/>
      <c r="J59" s="32"/>
      <c r="K59" s="32"/>
      <c r="L59" s="32"/>
      <c r="M59" s="11"/>
    </row>
    <row r="61" spans="1:26" x14ac:dyDescent="0.25">
      <c r="A61" s="10" t="s">
        <v>22</v>
      </c>
      <c r="B61" s="28">
        <v>0</v>
      </c>
      <c r="C61" s="28">
        <v>1</v>
      </c>
      <c r="D61" s="28">
        <v>2</v>
      </c>
      <c r="E61" s="28">
        <v>3</v>
      </c>
      <c r="F61" s="28">
        <v>4</v>
      </c>
      <c r="G61" s="28">
        <v>5</v>
      </c>
      <c r="H61" s="28">
        <v>6</v>
      </c>
      <c r="I61" s="28">
        <v>7</v>
      </c>
      <c r="J61" s="28">
        <v>8</v>
      </c>
      <c r="K61" s="28">
        <v>9</v>
      </c>
      <c r="L61" s="28">
        <v>10</v>
      </c>
      <c r="M61" s="28">
        <v>11</v>
      </c>
      <c r="N61" s="28">
        <v>12</v>
      </c>
      <c r="O61" s="28">
        <v>13</v>
      </c>
      <c r="P61" s="28">
        <v>14</v>
      </c>
      <c r="Q61" s="28">
        <v>15</v>
      </c>
      <c r="R61" s="28">
        <v>16</v>
      </c>
      <c r="S61" s="28">
        <v>17</v>
      </c>
      <c r="T61" s="28">
        <v>18</v>
      </c>
      <c r="U61" s="28">
        <v>19</v>
      </c>
      <c r="V61" s="28">
        <v>20</v>
      </c>
      <c r="W61" s="28">
        <v>21</v>
      </c>
      <c r="X61" s="28">
        <v>22</v>
      </c>
      <c r="Y61" s="28">
        <v>23</v>
      </c>
      <c r="Z61" s="28">
        <v>24</v>
      </c>
    </row>
    <row r="62" spans="1:26" x14ac:dyDescent="0.25">
      <c r="A62" s="24" t="s">
        <v>23</v>
      </c>
    </row>
    <row r="63" spans="1:26" x14ac:dyDescent="0.25">
      <c r="A63" s="10" t="str">
        <f>A34</f>
        <v>Small Crab Sale ($)</v>
      </c>
      <c r="B63" s="33">
        <f>B6</f>
        <v>0</v>
      </c>
      <c r="C63" s="33">
        <f t="shared" ref="C63:Z63" si="15">C6</f>
        <v>160650.00000000003</v>
      </c>
      <c r="D63" s="33">
        <f t="shared" si="15"/>
        <v>409657.50000000006</v>
      </c>
      <c r="E63" s="33">
        <f t="shared" si="15"/>
        <v>635132.98800000001</v>
      </c>
      <c r="F63" s="33">
        <f t="shared" si="15"/>
        <v>852415.32600000012</v>
      </c>
      <c r="G63" s="33">
        <f t="shared" si="15"/>
        <v>869463.6325200001</v>
      </c>
      <c r="H63" s="33">
        <f t="shared" si="15"/>
        <v>842510.25991188013</v>
      </c>
      <c r="I63" s="33">
        <f t="shared" si="15"/>
        <v>904589.96327380801</v>
      </c>
      <c r="J63" s="33">
        <f t="shared" si="15"/>
        <v>922681.76253928419</v>
      </c>
      <c r="K63" s="33">
        <f t="shared" si="15"/>
        <v>894078.62790056644</v>
      </c>
      <c r="L63" s="33">
        <f t="shared" si="15"/>
        <v>959958.10574587132</v>
      </c>
      <c r="M63" s="33">
        <f t="shared" si="15"/>
        <v>979157.26786078862</v>
      </c>
      <c r="N63" s="33">
        <f t="shared" si="15"/>
        <v>948803.39255710435</v>
      </c>
      <c r="O63" s="33">
        <f t="shared" si="15"/>
        <v>1018715.2214823646</v>
      </c>
      <c r="P63" s="33">
        <f t="shared" si="15"/>
        <v>1039089.525912012</v>
      </c>
      <c r="Q63" s="33">
        <f t="shared" si="15"/>
        <v>1006877.7506087393</v>
      </c>
      <c r="R63" s="33">
        <f t="shared" si="15"/>
        <v>1081068.7427588571</v>
      </c>
      <c r="S63" s="33">
        <f t="shared" si="15"/>
        <v>1102690.1176140343</v>
      </c>
      <c r="T63" s="33">
        <f t="shared" si="15"/>
        <v>1068506.7239679992</v>
      </c>
      <c r="U63" s="33">
        <f t="shared" si="15"/>
        <v>1147238.7983656412</v>
      </c>
      <c r="V63" s="33">
        <f t="shared" si="15"/>
        <v>1170183.5743329541</v>
      </c>
      <c r="W63" s="33">
        <f t="shared" si="15"/>
        <v>907126.3068229059</v>
      </c>
      <c r="X63" s="33">
        <f t="shared" si="15"/>
        <v>608729.49536800268</v>
      </c>
      <c r="Y63" s="33">
        <f t="shared" si="15"/>
        <v>248361.63411014507</v>
      </c>
      <c r="Z63" s="33">
        <f t="shared" si="15"/>
        <v>0</v>
      </c>
    </row>
    <row r="64" spans="1:26" s="13" customFormat="1" x14ac:dyDescent="0.25">
      <c r="A64" s="24" t="s">
        <v>58</v>
      </c>
      <c r="B64" s="41">
        <f>B7</f>
        <v>0</v>
      </c>
      <c r="C64" s="41">
        <f t="shared" ref="C64:Z64" si="16">C7</f>
        <v>160650.00000000003</v>
      </c>
      <c r="D64" s="41">
        <f t="shared" si="16"/>
        <v>409657.50000000006</v>
      </c>
      <c r="E64" s="41">
        <f t="shared" si="16"/>
        <v>635132.98800000001</v>
      </c>
      <c r="F64" s="41">
        <f t="shared" si="16"/>
        <v>852415.32600000012</v>
      </c>
      <c r="G64" s="41">
        <f t="shared" si="16"/>
        <v>869463.6325200001</v>
      </c>
      <c r="H64" s="41">
        <f t="shared" si="16"/>
        <v>842510.25991188013</v>
      </c>
      <c r="I64" s="41">
        <f t="shared" si="16"/>
        <v>904589.96327380801</v>
      </c>
      <c r="J64" s="41">
        <f t="shared" si="16"/>
        <v>922681.76253928419</v>
      </c>
      <c r="K64" s="41">
        <f t="shared" si="16"/>
        <v>894078.62790056644</v>
      </c>
      <c r="L64" s="41">
        <f t="shared" si="16"/>
        <v>959958.10574587132</v>
      </c>
      <c r="M64" s="41">
        <f t="shared" si="16"/>
        <v>979157.26786078862</v>
      </c>
      <c r="N64" s="41">
        <f t="shared" si="16"/>
        <v>948803.39255710435</v>
      </c>
      <c r="O64" s="41">
        <f t="shared" si="16"/>
        <v>1018715.2214823646</v>
      </c>
      <c r="P64" s="41">
        <f t="shared" si="16"/>
        <v>1039089.525912012</v>
      </c>
      <c r="Q64" s="41">
        <f t="shared" si="16"/>
        <v>1006877.7506087393</v>
      </c>
      <c r="R64" s="41">
        <f t="shared" si="16"/>
        <v>1081068.7427588571</v>
      </c>
      <c r="S64" s="41">
        <f t="shared" si="16"/>
        <v>1102690.1176140343</v>
      </c>
      <c r="T64" s="41">
        <f t="shared" si="16"/>
        <v>1068506.7239679992</v>
      </c>
      <c r="U64" s="41">
        <f t="shared" si="16"/>
        <v>1147238.7983656412</v>
      </c>
      <c r="V64" s="41">
        <f t="shared" si="16"/>
        <v>1170183.5743329541</v>
      </c>
      <c r="W64" s="41">
        <f t="shared" si="16"/>
        <v>907126.3068229059</v>
      </c>
      <c r="X64" s="41">
        <f t="shared" si="16"/>
        <v>608729.49536800268</v>
      </c>
      <c r="Y64" s="41">
        <f t="shared" si="16"/>
        <v>248361.63411014507</v>
      </c>
      <c r="Z64" s="41">
        <f t="shared" si="16"/>
        <v>0</v>
      </c>
    </row>
    <row r="65" spans="1:26" x14ac:dyDescent="0.25">
      <c r="A65" s="24"/>
      <c r="B65" s="44"/>
      <c r="C65" s="44"/>
      <c r="D65" s="44"/>
      <c r="E65" s="44"/>
      <c r="F65" s="44"/>
      <c r="G65" s="44"/>
      <c r="H65" s="44"/>
      <c r="I65" s="44"/>
      <c r="J65" s="44"/>
      <c r="K65" s="44"/>
    </row>
    <row r="66" spans="1:26" x14ac:dyDescent="0.25">
      <c r="A66" s="24" t="s">
        <v>24</v>
      </c>
    </row>
    <row r="67" spans="1:26" x14ac:dyDescent="0.25">
      <c r="A67" s="9" t="str">
        <f>A10</f>
        <v>Crab Nursery Establishment</v>
      </c>
      <c r="B67" s="35">
        <f t="shared" ref="B67:Z67" si="17">B10</f>
        <v>0</v>
      </c>
      <c r="C67" s="35">
        <f t="shared" si="17"/>
        <v>40000</v>
      </c>
      <c r="D67" s="35">
        <f t="shared" si="17"/>
        <v>100000</v>
      </c>
      <c r="E67" s="35">
        <f t="shared" si="17"/>
        <v>160000</v>
      </c>
      <c r="F67" s="35">
        <f t="shared" si="17"/>
        <v>200000</v>
      </c>
      <c r="G67" s="35">
        <f t="shared" si="17"/>
        <v>200000</v>
      </c>
      <c r="H67" s="35">
        <f t="shared" si="17"/>
        <v>200000</v>
      </c>
      <c r="I67" s="35">
        <f t="shared" si="17"/>
        <v>200000</v>
      </c>
      <c r="J67" s="35">
        <f t="shared" si="17"/>
        <v>200000</v>
      </c>
      <c r="K67" s="35">
        <f t="shared" si="17"/>
        <v>200000</v>
      </c>
      <c r="L67" s="35">
        <f t="shared" si="17"/>
        <v>200000</v>
      </c>
      <c r="M67" s="35">
        <f t="shared" si="17"/>
        <v>200000</v>
      </c>
      <c r="N67" s="35">
        <f t="shared" si="17"/>
        <v>200000</v>
      </c>
      <c r="O67" s="35">
        <f t="shared" si="17"/>
        <v>200000</v>
      </c>
      <c r="P67" s="35">
        <f t="shared" si="17"/>
        <v>200000</v>
      </c>
      <c r="Q67" s="35">
        <f t="shared" si="17"/>
        <v>200000</v>
      </c>
      <c r="R67" s="35">
        <f t="shared" si="17"/>
        <v>200000</v>
      </c>
      <c r="S67" s="35">
        <f t="shared" si="17"/>
        <v>200000</v>
      </c>
      <c r="T67" s="35">
        <f t="shared" si="17"/>
        <v>200000</v>
      </c>
      <c r="U67" s="35">
        <f t="shared" si="17"/>
        <v>200000</v>
      </c>
      <c r="V67" s="35">
        <f t="shared" si="17"/>
        <v>200000</v>
      </c>
      <c r="W67" s="35">
        <f t="shared" si="17"/>
        <v>160000</v>
      </c>
      <c r="X67" s="35">
        <f t="shared" si="17"/>
        <v>100000</v>
      </c>
      <c r="Y67" s="35">
        <f t="shared" si="17"/>
        <v>40000</v>
      </c>
      <c r="Z67" s="35">
        <f t="shared" si="17"/>
        <v>0</v>
      </c>
    </row>
    <row r="68" spans="1:26" x14ac:dyDescent="0.25">
      <c r="A68" s="9" t="str">
        <f t="shared" ref="A68:A71" si="18">A11</f>
        <v>Operation Cost (Crablet purchase)</v>
      </c>
      <c r="B68" s="35">
        <f>B11</f>
        <v>0</v>
      </c>
      <c r="C68" s="35">
        <f t="shared" ref="C68:Z68" si="19">C11</f>
        <v>85000.000000000015</v>
      </c>
      <c r="D68" s="35">
        <f t="shared" si="19"/>
        <v>212500.00000000003</v>
      </c>
      <c r="E68" s="35">
        <f t="shared" si="19"/>
        <v>340000.00000000006</v>
      </c>
      <c r="F68" s="35">
        <f t="shared" si="19"/>
        <v>425000.00000000006</v>
      </c>
      <c r="G68" s="35">
        <f t="shared" si="19"/>
        <v>425000.00000000006</v>
      </c>
      <c r="H68" s="35">
        <f t="shared" si="19"/>
        <v>425000.00000000006</v>
      </c>
      <c r="I68" s="35">
        <f t="shared" si="19"/>
        <v>425000.00000000006</v>
      </c>
      <c r="J68" s="35">
        <f t="shared" si="19"/>
        <v>425000.00000000006</v>
      </c>
      <c r="K68" s="35">
        <f t="shared" si="19"/>
        <v>425000.00000000006</v>
      </c>
      <c r="L68" s="35">
        <f t="shared" si="19"/>
        <v>425000.00000000006</v>
      </c>
      <c r="M68" s="35">
        <f t="shared" si="19"/>
        <v>425000.00000000006</v>
      </c>
      <c r="N68" s="35">
        <f t="shared" si="19"/>
        <v>425000.00000000006</v>
      </c>
      <c r="O68" s="35">
        <f t="shared" si="19"/>
        <v>425000.00000000006</v>
      </c>
      <c r="P68" s="35">
        <f t="shared" si="19"/>
        <v>425000.00000000006</v>
      </c>
      <c r="Q68" s="35">
        <f t="shared" si="19"/>
        <v>425000.00000000006</v>
      </c>
      <c r="R68" s="35">
        <f t="shared" si="19"/>
        <v>425000.00000000006</v>
      </c>
      <c r="S68" s="35">
        <f t="shared" si="19"/>
        <v>425000.00000000006</v>
      </c>
      <c r="T68" s="35">
        <f t="shared" si="19"/>
        <v>425000.00000000006</v>
      </c>
      <c r="U68" s="35">
        <f t="shared" si="19"/>
        <v>425000.00000000006</v>
      </c>
      <c r="V68" s="35">
        <f t="shared" si="19"/>
        <v>425000.00000000006</v>
      </c>
      <c r="W68" s="35">
        <f t="shared" si="19"/>
        <v>340000.00000000006</v>
      </c>
      <c r="X68" s="35">
        <f t="shared" si="19"/>
        <v>212500.00000000003</v>
      </c>
      <c r="Y68" s="35">
        <f t="shared" si="19"/>
        <v>85000.000000000015</v>
      </c>
      <c r="Z68" s="35">
        <f t="shared" si="19"/>
        <v>0</v>
      </c>
    </row>
    <row r="69" spans="1:26" x14ac:dyDescent="0.25">
      <c r="A69" s="9" t="str">
        <f t="shared" si="18"/>
        <v>Feed</v>
      </c>
      <c r="B69" s="35">
        <f>B12</f>
        <v>0</v>
      </c>
      <c r="C69" s="35">
        <f t="shared" ref="C69:Z69" si="20">C12</f>
        <v>5000</v>
      </c>
      <c r="D69" s="35">
        <f t="shared" si="20"/>
        <v>12500</v>
      </c>
      <c r="E69" s="35">
        <f t="shared" si="20"/>
        <v>20299.999999999996</v>
      </c>
      <c r="F69" s="35">
        <f t="shared" si="20"/>
        <v>25000</v>
      </c>
      <c r="G69" s="35">
        <f t="shared" si="20"/>
        <v>25000</v>
      </c>
      <c r="H69" s="35">
        <f t="shared" si="20"/>
        <v>25374.999999999996</v>
      </c>
      <c r="I69" s="35">
        <f t="shared" si="20"/>
        <v>25000</v>
      </c>
      <c r="J69" s="35">
        <f t="shared" si="20"/>
        <v>25000</v>
      </c>
      <c r="K69" s="35">
        <f t="shared" si="20"/>
        <v>25374.999999999996</v>
      </c>
      <c r="L69" s="35">
        <f t="shared" si="20"/>
        <v>25000</v>
      </c>
      <c r="M69" s="35">
        <f t="shared" si="20"/>
        <v>25000</v>
      </c>
      <c r="N69" s="35">
        <f t="shared" si="20"/>
        <v>25374.999999999996</v>
      </c>
      <c r="O69" s="35">
        <f t="shared" si="20"/>
        <v>25000</v>
      </c>
      <c r="P69" s="35">
        <f t="shared" si="20"/>
        <v>25000</v>
      </c>
      <c r="Q69" s="35">
        <f t="shared" si="20"/>
        <v>25374.999999999996</v>
      </c>
      <c r="R69" s="35">
        <f t="shared" si="20"/>
        <v>25000</v>
      </c>
      <c r="S69" s="35">
        <f t="shared" si="20"/>
        <v>25000</v>
      </c>
      <c r="T69" s="35">
        <f t="shared" si="20"/>
        <v>25374.999999999996</v>
      </c>
      <c r="U69" s="35">
        <f t="shared" si="20"/>
        <v>25000</v>
      </c>
      <c r="V69" s="35">
        <f t="shared" si="20"/>
        <v>25000</v>
      </c>
      <c r="W69" s="35">
        <f t="shared" si="20"/>
        <v>20299.999999999996</v>
      </c>
      <c r="X69" s="35">
        <f t="shared" si="20"/>
        <v>12500</v>
      </c>
      <c r="Y69" s="35">
        <f t="shared" si="20"/>
        <v>5000</v>
      </c>
      <c r="Z69" s="35">
        <f t="shared" si="20"/>
        <v>0</v>
      </c>
    </row>
    <row r="70" spans="1:26" x14ac:dyDescent="0.25">
      <c r="A70" s="9" t="str">
        <f t="shared" si="18"/>
        <v>Land rent</v>
      </c>
      <c r="B70" s="35">
        <f>B13</f>
        <v>0</v>
      </c>
      <c r="C70" s="35">
        <f t="shared" ref="C70:Z70" si="21">C13</f>
        <v>4000</v>
      </c>
      <c r="D70" s="35">
        <f t="shared" si="21"/>
        <v>10000</v>
      </c>
      <c r="E70" s="35">
        <f t="shared" si="21"/>
        <v>16000</v>
      </c>
      <c r="F70" s="35">
        <f t="shared" si="21"/>
        <v>20000</v>
      </c>
      <c r="G70" s="35">
        <f t="shared" si="21"/>
        <v>20000</v>
      </c>
      <c r="H70" s="35">
        <f t="shared" si="21"/>
        <v>20000</v>
      </c>
      <c r="I70" s="35">
        <f t="shared" si="21"/>
        <v>20000</v>
      </c>
      <c r="J70" s="35">
        <f t="shared" si="21"/>
        <v>20000</v>
      </c>
      <c r="K70" s="35">
        <f t="shared" si="21"/>
        <v>20000</v>
      </c>
      <c r="L70" s="35">
        <f t="shared" si="21"/>
        <v>20000</v>
      </c>
      <c r="M70" s="35">
        <f t="shared" si="21"/>
        <v>20000</v>
      </c>
      <c r="N70" s="35">
        <f t="shared" si="21"/>
        <v>20000</v>
      </c>
      <c r="O70" s="35">
        <f t="shared" si="21"/>
        <v>20000</v>
      </c>
      <c r="P70" s="35">
        <f t="shared" si="21"/>
        <v>20000</v>
      </c>
      <c r="Q70" s="35">
        <f t="shared" si="21"/>
        <v>20000</v>
      </c>
      <c r="R70" s="35">
        <f t="shared" si="21"/>
        <v>20000</v>
      </c>
      <c r="S70" s="35">
        <f t="shared" si="21"/>
        <v>20000</v>
      </c>
      <c r="T70" s="35">
        <f t="shared" si="21"/>
        <v>20000</v>
      </c>
      <c r="U70" s="35">
        <f t="shared" si="21"/>
        <v>20000</v>
      </c>
      <c r="V70" s="35">
        <f t="shared" si="21"/>
        <v>20000</v>
      </c>
      <c r="W70" s="35">
        <f t="shared" si="21"/>
        <v>16000</v>
      </c>
      <c r="X70" s="35">
        <f t="shared" si="21"/>
        <v>10000</v>
      </c>
      <c r="Y70" s="35">
        <f t="shared" si="21"/>
        <v>4000</v>
      </c>
      <c r="Z70" s="35">
        <f t="shared" si="21"/>
        <v>0</v>
      </c>
    </row>
    <row r="71" spans="1:26" x14ac:dyDescent="0.25">
      <c r="A71" s="9" t="str">
        <f t="shared" si="18"/>
        <v>Labor</v>
      </c>
      <c r="B71" s="35">
        <f>B14</f>
        <v>0</v>
      </c>
      <c r="C71" s="35">
        <f t="shared" ref="C71:Z71" si="22">C14</f>
        <v>42420</v>
      </c>
      <c r="D71" s="35">
        <f t="shared" si="22"/>
        <v>107110.5</v>
      </c>
      <c r="E71" s="35">
        <f t="shared" si="22"/>
        <v>173090.56799999997</v>
      </c>
      <c r="F71" s="35">
        <f t="shared" si="22"/>
        <v>218526.84210000001</v>
      </c>
      <c r="G71" s="35">
        <f t="shared" si="22"/>
        <v>220712.11052099997</v>
      </c>
      <c r="H71" s="35">
        <f t="shared" si="22"/>
        <v>222919.23162621004</v>
      </c>
      <c r="I71" s="35">
        <f t="shared" si="22"/>
        <v>225148.42394247209</v>
      </c>
      <c r="J71" s="35">
        <f t="shared" si="22"/>
        <v>227399.90818189684</v>
      </c>
      <c r="K71" s="35">
        <f t="shared" si="22"/>
        <v>229673.90726371581</v>
      </c>
      <c r="L71" s="35">
        <f t="shared" si="22"/>
        <v>231970.64633635298</v>
      </c>
      <c r="M71" s="35">
        <f t="shared" si="22"/>
        <v>234290.35279971649</v>
      </c>
      <c r="N71" s="35">
        <f t="shared" si="22"/>
        <v>236633.25632771364</v>
      </c>
      <c r="O71" s="35">
        <f t="shared" si="22"/>
        <v>238999.5888909908</v>
      </c>
      <c r="P71" s="35">
        <f t="shared" si="22"/>
        <v>241389.58477990073</v>
      </c>
      <c r="Q71" s="35">
        <f t="shared" si="22"/>
        <v>243803.4806276997</v>
      </c>
      <c r="R71" s="35">
        <f t="shared" si="22"/>
        <v>246241.51543397675</v>
      </c>
      <c r="S71" s="35">
        <f t="shared" si="22"/>
        <v>248703.93058831652</v>
      </c>
      <c r="T71" s="35">
        <f t="shared" si="22"/>
        <v>251190.96989419969</v>
      </c>
      <c r="U71" s="35">
        <f t="shared" si="22"/>
        <v>253702.87959314164</v>
      </c>
      <c r="V71" s="35">
        <f t="shared" si="22"/>
        <v>256239.9083890731</v>
      </c>
      <c r="W71" s="35">
        <f t="shared" si="22"/>
        <v>207041.84597837101</v>
      </c>
      <c r="X71" s="35">
        <f t="shared" si="22"/>
        <v>130695.16527384675</v>
      </c>
      <c r="Y71" s="35">
        <f t="shared" si="22"/>
        <v>52800.846770634074</v>
      </c>
      <c r="Z71" s="35">
        <f t="shared" si="22"/>
        <v>0</v>
      </c>
    </row>
    <row r="72" spans="1:26" s="54" customFormat="1" x14ac:dyDescent="0.25">
      <c r="A72" s="56" t="s">
        <v>156</v>
      </c>
      <c r="B72" s="53">
        <f>B15*Assumption_Nursery!$C33</f>
        <v>0</v>
      </c>
      <c r="C72" s="53">
        <f>C15*Assumption_Nursery!$C33</f>
        <v>0</v>
      </c>
      <c r="D72" s="53">
        <f>D15*Assumption_Nursery!$C33</f>
        <v>0</v>
      </c>
      <c r="E72" s="53">
        <f>E15*Assumption_Nursery!$C33</f>
        <v>0</v>
      </c>
      <c r="F72" s="53">
        <f>F15*Assumption_Nursery!$C33</f>
        <v>0</v>
      </c>
      <c r="G72" s="53">
        <f>G15*Assumption_Nursery!$C33</f>
        <v>0</v>
      </c>
      <c r="H72" s="53">
        <f>H15*Assumption_Nursery!$C33</f>
        <v>0</v>
      </c>
      <c r="I72" s="53">
        <f>I15*Assumption_Nursery!$C33</f>
        <v>0</v>
      </c>
      <c r="J72" s="53">
        <f>J15*Assumption_Nursery!$C33</f>
        <v>0</v>
      </c>
      <c r="K72" s="53">
        <f>K15*Assumption_Nursery!$C33</f>
        <v>0</v>
      </c>
      <c r="L72" s="53">
        <f>L15*Assumption_Nursery!$C33</f>
        <v>0</v>
      </c>
      <c r="M72" s="53">
        <f>M15*Assumption_Nursery!$C33</f>
        <v>0</v>
      </c>
      <c r="N72" s="53">
        <f>N15*Assumption_Nursery!$C33</f>
        <v>0</v>
      </c>
      <c r="O72" s="53">
        <f>O15*Assumption_Nursery!$C33</f>
        <v>0</v>
      </c>
      <c r="P72" s="53">
        <f>P15*Assumption_Nursery!$C33</f>
        <v>0</v>
      </c>
      <c r="Q72" s="53">
        <f>Q15*Assumption_Nursery!$C33</f>
        <v>0</v>
      </c>
      <c r="R72" s="53">
        <f>R15*Assumption_Nursery!$C33</f>
        <v>0</v>
      </c>
      <c r="S72" s="53">
        <f>S15*Assumption_Nursery!$C33</f>
        <v>0</v>
      </c>
      <c r="T72" s="53">
        <f>T15*Assumption_Nursery!$C33</f>
        <v>0</v>
      </c>
      <c r="U72" s="53">
        <f>U15*Assumption_Nursery!$C33</f>
        <v>0</v>
      </c>
      <c r="V72" s="53">
        <f>V15*Assumption_Nursery!$C33</f>
        <v>0</v>
      </c>
      <c r="W72" s="53">
        <f>W15*Assumption_Nursery!$C33</f>
        <v>0</v>
      </c>
      <c r="X72" s="53">
        <f>X15*Assumption_Nursery!$C33</f>
        <v>0</v>
      </c>
      <c r="Y72" s="53">
        <f>Y15*Assumption_Nursery!$C33</f>
        <v>0</v>
      </c>
      <c r="Z72" s="53">
        <f>Z15*Assumption_Nursery!$C33</f>
        <v>0</v>
      </c>
    </row>
    <row r="73" spans="1:26" x14ac:dyDescent="0.25">
      <c r="A73" s="127" t="s">
        <v>59</v>
      </c>
      <c r="B73" s="40">
        <f t="shared" ref="B73:Z73" si="23">SUM(B67:B72)</f>
        <v>0</v>
      </c>
      <c r="C73" s="40">
        <f t="shared" si="23"/>
        <v>176420</v>
      </c>
      <c r="D73" s="40">
        <f t="shared" si="23"/>
        <v>442110.5</v>
      </c>
      <c r="E73" s="40">
        <f t="shared" si="23"/>
        <v>709390.56799999997</v>
      </c>
      <c r="F73" s="40">
        <f t="shared" si="23"/>
        <v>888526.84210000001</v>
      </c>
      <c r="G73" s="40">
        <f t="shared" si="23"/>
        <v>890712.110521</v>
      </c>
      <c r="H73" s="40">
        <f t="shared" si="23"/>
        <v>893294.23162621004</v>
      </c>
      <c r="I73" s="40">
        <f t="shared" si="23"/>
        <v>895148.42394247209</v>
      </c>
      <c r="J73" s="40">
        <f t="shared" si="23"/>
        <v>897399.9081818969</v>
      </c>
      <c r="K73" s="40">
        <f t="shared" si="23"/>
        <v>900048.90726371575</v>
      </c>
      <c r="L73" s="40">
        <f t="shared" si="23"/>
        <v>901970.64633635292</v>
      </c>
      <c r="M73" s="40">
        <f t="shared" si="23"/>
        <v>904290.35279971652</v>
      </c>
      <c r="N73" s="40">
        <f t="shared" si="23"/>
        <v>907008.25632771361</v>
      </c>
      <c r="O73" s="40">
        <f t="shared" si="23"/>
        <v>908999.58889099082</v>
      </c>
      <c r="P73" s="40">
        <f t="shared" si="23"/>
        <v>911389.58477990073</v>
      </c>
      <c r="Q73" s="40">
        <f t="shared" si="23"/>
        <v>914178.48062769976</v>
      </c>
      <c r="R73" s="40">
        <f t="shared" si="23"/>
        <v>916241.51543397678</v>
      </c>
      <c r="S73" s="40">
        <f t="shared" si="23"/>
        <v>918703.93058831652</v>
      </c>
      <c r="T73" s="40">
        <f t="shared" si="23"/>
        <v>921565.96989419963</v>
      </c>
      <c r="U73" s="40">
        <f t="shared" si="23"/>
        <v>923702.87959314161</v>
      </c>
      <c r="V73" s="40">
        <f t="shared" si="23"/>
        <v>926239.9083890731</v>
      </c>
      <c r="W73" s="40">
        <f t="shared" si="23"/>
        <v>743341.84597837098</v>
      </c>
      <c r="X73" s="40">
        <f t="shared" si="23"/>
        <v>465695.16527384677</v>
      </c>
      <c r="Y73" s="40">
        <f t="shared" si="23"/>
        <v>186800.84677063406</v>
      </c>
      <c r="Z73" s="40">
        <f t="shared" si="23"/>
        <v>0</v>
      </c>
    </row>
    <row r="74" spans="1:26" x14ac:dyDescent="0.25">
      <c r="B74" s="34"/>
      <c r="C74" s="34"/>
      <c r="D74" s="34"/>
      <c r="E74" s="34"/>
      <c r="F74" s="34"/>
      <c r="G74" s="34"/>
      <c r="H74" s="34"/>
      <c r="I74" s="34"/>
      <c r="J74" s="34"/>
      <c r="K74" s="34"/>
      <c r="L74" s="34"/>
    </row>
    <row r="75" spans="1:26" x14ac:dyDescent="0.25">
      <c r="A75" s="24" t="s">
        <v>60</v>
      </c>
      <c r="B75" s="36">
        <f t="shared" ref="B75:Z75" si="24">B64-B73</f>
        <v>0</v>
      </c>
      <c r="C75" s="36">
        <f t="shared" si="24"/>
        <v>-15769.999999999971</v>
      </c>
      <c r="D75" s="36">
        <f t="shared" si="24"/>
        <v>-32452.999999999942</v>
      </c>
      <c r="E75" s="36">
        <f t="shared" si="24"/>
        <v>-74257.579999999958</v>
      </c>
      <c r="F75" s="36">
        <f t="shared" si="24"/>
        <v>-36111.516099999892</v>
      </c>
      <c r="G75" s="36">
        <f t="shared" si="24"/>
        <v>-21248.478000999894</v>
      </c>
      <c r="H75" s="36">
        <f t="shared" si="24"/>
        <v>-50783.971714329906</v>
      </c>
      <c r="I75" s="36">
        <f t="shared" si="24"/>
        <v>9441.5393313359236</v>
      </c>
      <c r="J75" s="36">
        <f t="shared" si="24"/>
        <v>25281.854357387288</v>
      </c>
      <c r="K75" s="36">
        <f t="shared" si="24"/>
        <v>-5970.2793631493114</v>
      </c>
      <c r="L75" s="36">
        <f t="shared" si="24"/>
        <v>57987.4594095184</v>
      </c>
      <c r="M75" s="36">
        <f t="shared" si="24"/>
        <v>74866.915061072097</v>
      </c>
      <c r="N75" s="36">
        <f t="shared" si="24"/>
        <v>41795.136229390744</v>
      </c>
      <c r="O75" s="36">
        <f t="shared" si="24"/>
        <v>109715.63259137375</v>
      </c>
      <c r="P75" s="36">
        <f t="shared" si="24"/>
        <v>127699.94113211124</v>
      </c>
      <c r="Q75" s="36">
        <f t="shared" si="24"/>
        <v>92699.269981039572</v>
      </c>
      <c r="R75" s="36">
        <f t="shared" si="24"/>
        <v>164827.22732488031</v>
      </c>
      <c r="S75" s="36">
        <f t="shared" si="24"/>
        <v>183986.18702571781</v>
      </c>
      <c r="T75" s="36">
        <f t="shared" si="24"/>
        <v>146940.75407379959</v>
      </c>
      <c r="U75" s="36">
        <f t="shared" si="24"/>
        <v>223535.91877249954</v>
      </c>
      <c r="V75" s="36">
        <f t="shared" si="24"/>
        <v>243943.66594388103</v>
      </c>
      <c r="W75" s="36">
        <f t="shared" si="24"/>
        <v>163784.46084453491</v>
      </c>
      <c r="X75" s="36">
        <f t="shared" si="24"/>
        <v>143034.33009415591</v>
      </c>
      <c r="Y75" s="36">
        <f t="shared" si="24"/>
        <v>61560.787339511007</v>
      </c>
      <c r="Z75" s="36">
        <f t="shared" si="24"/>
        <v>0</v>
      </c>
    </row>
    <row r="76" spans="1:26" x14ac:dyDescent="0.25">
      <c r="B76" s="34"/>
      <c r="C76" s="34"/>
      <c r="D76" s="34"/>
      <c r="E76" s="34"/>
      <c r="F76" s="34"/>
      <c r="G76" s="34"/>
      <c r="H76" s="34"/>
      <c r="I76" s="34"/>
      <c r="J76" s="34"/>
      <c r="K76" s="34"/>
      <c r="L76" s="34"/>
    </row>
    <row r="77" spans="1:26" s="13" customFormat="1" x14ac:dyDescent="0.25">
      <c r="A77" s="24" t="s">
        <v>61</v>
      </c>
      <c r="B77" s="42">
        <f>B75/(1+Assumption_Hatchery!$C76)^B61</f>
        <v>0</v>
      </c>
      <c r="C77" s="42">
        <f>C75/(1+Assumption_Hatchery!$C76)^C61</f>
        <v>-14467.889908256853</v>
      </c>
      <c r="D77" s="42">
        <f>D75/(1+Assumption_Hatchery!$C76)^D61</f>
        <v>-27315.040821479623</v>
      </c>
      <c r="E77" s="42">
        <f>E75/(1+Assumption_Hatchery!$C76)^E61</f>
        <v>-57340.476545312842</v>
      </c>
      <c r="F77" s="42">
        <f>F75/(1+Assumption_Hatchery!$C76)^F61</f>
        <v>-25582.308415026662</v>
      </c>
      <c r="G77" s="42">
        <f>G75/(1+Assumption_Hatchery!$C76)^G61</f>
        <v>-13810.052763919753</v>
      </c>
      <c r="H77" s="42">
        <f>H75/(1+Assumption_Hatchery!$C76)^H61</f>
        <v>-30280.823062413201</v>
      </c>
      <c r="I77" s="42">
        <f>I75/(1+Assumption_Hatchery!$C76)^I61</f>
        <v>5164.8453382758262</v>
      </c>
      <c r="J77" s="42">
        <f>J75/(1+Assumption_Hatchery!$C76)^J61</f>
        <v>12688.11018957072</v>
      </c>
      <c r="K77" s="42">
        <f>K75/(1+Assumption_Hatchery!$C76)^K61</f>
        <v>-2748.882470266833</v>
      </c>
      <c r="L77" s="42">
        <f>L75/(1+Assumption_Hatchery!$C76)^L61</f>
        <v>24494.529519005675</v>
      </c>
      <c r="M77" s="42">
        <f>M75/(1+Assumption_Hatchery!$C76)^M61</f>
        <v>29013.388991503183</v>
      </c>
      <c r="N77" s="42">
        <f>N75/(1+Assumption_Hatchery!$C76)^N61</f>
        <v>14859.622269987532</v>
      </c>
      <c r="O77" s="42">
        <f>O75/(1+Assumption_Hatchery!$C76)^O61</f>
        <v>35786.896580689026</v>
      </c>
      <c r="P77" s="42">
        <f>P75/(1+Assumption_Hatchery!$C76)^P61</f>
        <v>38213.755968489189</v>
      </c>
      <c r="Q77" s="42">
        <f>Q75/(1+Assumption_Hatchery!$C76)^Q61</f>
        <v>25449.476011750499</v>
      </c>
      <c r="R77" s="42">
        <f>R75/(1+Assumption_Hatchery!$C76)^R61</f>
        <v>41514.994628297834</v>
      </c>
      <c r="S77" s="42">
        <f>S75/(1+Assumption_Hatchery!$C76)^S61</f>
        <v>42514.272716698535</v>
      </c>
      <c r="T77" s="42">
        <f>T75/(1+Assumption_Hatchery!$C76)^T61</f>
        <v>31150.520036611892</v>
      </c>
      <c r="U77" s="42">
        <f>U75/(1+Assumption_Hatchery!$C76)^U61</f>
        <v>43475.427044512289</v>
      </c>
      <c r="V77" s="42">
        <f>V75/(1+Assumption_Hatchery!$C76)^V61</f>
        <v>43527.085371114808</v>
      </c>
      <c r="W77" s="42">
        <f>W75/(1+Assumption_Hatchery!$C76)^W61</f>
        <v>26811.199156880033</v>
      </c>
      <c r="X77" s="42">
        <f>X75/(1+Assumption_Hatchery!$C76)^X61</f>
        <v>21481.140298047914</v>
      </c>
      <c r="Y77" s="42">
        <f>Y75/(1+Assumption_Hatchery!$C76)^Y61</f>
        <v>8481.9305673354556</v>
      </c>
      <c r="Z77" s="42">
        <f>Z75/(1+Assumption_Hatchery!$C76)^Z61</f>
        <v>0</v>
      </c>
    </row>
    <row r="78" spans="1:26" x14ac:dyDescent="0.25">
      <c r="B78" s="34"/>
      <c r="C78" s="34"/>
      <c r="D78" s="34"/>
      <c r="E78" s="34"/>
      <c r="F78" s="34"/>
      <c r="G78" s="34"/>
      <c r="H78" s="34"/>
      <c r="I78" s="34"/>
      <c r="J78" s="34"/>
      <c r="K78" s="34"/>
      <c r="L78" s="34"/>
    </row>
    <row r="79" spans="1:26" s="13" customFormat="1" x14ac:dyDescent="0.25">
      <c r="A79" s="26" t="s">
        <v>62</v>
      </c>
      <c r="B79" s="37">
        <f>NPV(Assumption_Hatchery!C76,C75:Z75)+B75</f>
        <v>273081.72070209455</v>
      </c>
      <c r="C79" s="43"/>
      <c r="D79" s="43"/>
      <c r="E79" s="43"/>
      <c r="F79" s="43"/>
      <c r="G79" s="43"/>
      <c r="H79" s="43"/>
      <c r="I79" s="43"/>
      <c r="J79" s="43"/>
      <c r="K79" s="43"/>
      <c r="L79" s="43"/>
    </row>
    <row r="81" spans="1:26" s="13" customFormat="1" x14ac:dyDescent="0.25">
      <c r="A81" s="26" t="s">
        <v>25</v>
      </c>
      <c r="B81" s="38">
        <f>IRR(B75:Z75)</f>
        <v>0.18052562288918339</v>
      </c>
      <c r="C81" s="4"/>
      <c r="D81" s="4"/>
      <c r="E81" s="4"/>
      <c r="F81" s="4"/>
      <c r="G81" s="4"/>
      <c r="H81" s="4"/>
      <c r="I81" s="4"/>
      <c r="J81" s="4"/>
      <c r="K81" s="4"/>
      <c r="L81" s="4"/>
    </row>
    <row r="83" spans="1:26" s="13" customFormat="1" x14ac:dyDescent="0.25">
      <c r="A83" s="27" t="s">
        <v>63</v>
      </c>
      <c r="B83" s="39">
        <f>B77</f>
        <v>0</v>
      </c>
      <c r="C83" s="39">
        <f>B83+C77</f>
        <v>-14467.889908256853</v>
      </c>
      <c r="D83" s="39">
        <f t="shared" ref="D83:Z83" si="25">C83+D77</f>
        <v>-41782.930729736472</v>
      </c>
      <c r="E83" s="39">
        <f t="shared" si="25"/>
        <v>-99123.407275049307</v>
      </c>
      <c r="F83" s="39">
        <f t="shared" si="25"/>
        <v>-124705.71569007597</v>
      </c>
      <c r="G83" s="39">
        <f t="shared" si="25"/>
        <v>-138515.76845399573</v>
      </c>
      <c r="H83" s="39">
        <f t="shared" si="25"/>
        <v>-168796.59151640892</v>
      </c>
      <c r="I83" s="39">
        <f t="shared" si="25"/>
        <v>-163631.74617813309</v>
      </c>
      <c r="J83" s="39">
        <f t="shared" si="25"/>
        <v>-150943.63598856237</v>
      </c>
      <c r="K83" s="39">
        <f t="shared" si="25"/>
        <v>-153692.5184588292</v>
      </c>
      <c r="L83" s="39">
        <f t="shared" si="25"/>
        <v>-129197.98893982352</v>
      </c>
      <c r="M83" s="39">
        <f t="shared" si="25"/>
        <v>-100184.59994832033</v>
      </c>
      <c r="N83" s="39">
        <f t="shared" si="25"/>
        <v>-85324.977678332798</v>
      </c>
      <c r="O83" s="39">
        <f t="shared" si="25"/>
        <v>-49538.081097643771</v>
      </c>
      <c r="P83" s="39">
        <f t="shared" si="25"/>
        <v>-11324.325129154582</v>
      </c>
      <c r="Q83" s="39">
        <f t="shared" si="25"/>
        <v>14125.150882595917</v>
      </c>
      <c r="R83" s="39">
        <f t="shared" si="25"/>
        <v>55640.145510893752</v>
      </c>
      <c r="S83" s="39">
        <f t="shared" si="25"/>
        <v>98154.418227592279</v>
      </c>
      <c r="T83" s="39">
        <f t="shared" si="25"/>
        <v>129304.93826420417</v>
      </c>
      <c r="U83" s="39">
        <f t="shared" si="25"/>
        <v>172780.36530871646</v>
      </c>
      <c r="V83" s="39">
        <f t="shared" si="25"/>
        <v>216307.45067983127</v>
      </c>
      <c r="W83" s="39">
        <f t="shared" si="25"/>
        <v>243118.64983671129</v>
      </c>
      <c r="X83" s="39">
        <f t="shared" si="25"/>
        <v>264599.79013475921</v>
      </c>
      <c r="Y83" s="39">
        <f t="shared" si="25"/>
        <v>273081.72070209467</v>
      </c>
      <c r="Z83" s="39">
        <f t="shared" si="25"/>
        <v>273081.72070209467</v>
      </c>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2:Z83"/>
  <sheetViews>
    <sheetView showGridLines="0" topLeftCell="D57" zoomScale="85" zoomScaleNormal="85" workbookViewId="0">
      <selection activeCell="T83" sqref="T83"/>
    </sheetView>
  </sheetViews>
  <sheetFormatPr defaultColWidth="9" defaultRowHeight="15" x14ac:dyDescent="0.25"/>
  <cols>
    <col min="1" max="1" width="40.7109375" style="10" customWidth="1"/>
    <col min="2" max="2" width="12.7109375" style="28" customWidth="1"/>
    <col min="3" max="3" width="13" style="28" customWidth="1"/>
    <col min="4" max="4" width="17" style="28" customWidth="1"/>
    <col min="5" max="6" width="12.5703125" style="28" customWidth="1"/>
    <col min="7" max="7" width="11.85546875" style="28" customWidth="1"/>
    <col min="8" max="8" width="12.28515625" style="28" customWidth="1"/>
    <col min="9" max="9" width="11.7109375" style="28" customWidth="1"/>
    <col min="10" max="10" width="13" style="28" customWidth="1"/>
    <col min="11" max="11" width="12.7109375" style="28" customWidth="1"/>
    <col min="12" max="12" width="12.28515625" style="28" customWidth="1"/>
    <col min="13" max="23" width="13.7109375" style="3" customWidth="1"/>
    <col min="24" max="24" width="15.7109375" style="3" customWidth="1"/>
    <col min="25" max="25" width="11" style="3" customWidth="1"/>
    <col min="26" max="26" width="12.85546875" style="3" customWidth="1"/>
    <col min="27" max="16384" width="9" style="3"/>
  </cols>
  <sheetData>
    <row r="2" spans="1:26" ht="38.25" customHeight="1" x14ac:dyDescent="0.25">
      <c r="A2" s="11" t="s">
        <v>169</v>
      </c>
      <c r="B2" s="32"/>
      <c r="C2" s="76"/>
      <c r="D2" s="77"/>
      <c r="E2" s="32"/>
      <c r="F2" s="126" t="s">
        <v>106</v>
      </c>
      <c r="G2" s="32"/>
      <c r="H2" s="32"/>
      <c r="I2" s="32"/>
      <c r="J2" s="32"/>
      <c r="K2" s="32"/>
      <c r="L2" s="32"/>
      <c r="M2" s="11"/>
    </row>
    <row r="3" spans="1:26" ht="15" customHeight="1" x14ac:dyDescent="0.25">
      <c r="A3" s="23"/>
      <c r="B3" s="32"/>
      <c r="C3" s="32"/>
      <c r="D3" s="32"/>
      <c r="E3" s="32"/>
      <c r="F3" s="32"/>
      <c r="G3" s="32"/>
      <c r="H3" s="32"/>
      <c r="I3" s="32"/>
      <c r="J3" s="32"/>
      <c r="K3" s="32"/>
      <c r="L3" s="32"/>
      <c r="M3" s="11"/>
    </row>
    <row r="4" spans="1:26" x14ac:dyDescent="0.25">
      <c r="A4" s="10" t="s">
        <v>22</v>
      </c>
      <c r="B4" s="28">
        <v>0</v>
      </c>
      <c r="C4" s="28">
        <v>1</v>
      </c>
      <c r="D4" s="28">
        <v>2</v>
      </c>
      <c r="E4" s="28">
        <v>3</v>
      </c>
      <c r="F4" s="28">
        <v>4</v>
      </c>
      <c r="G4" s="28">
        <v>5</v>
      </c>
      <c r="H4" s="28">
        <v>6</v>
      </c>
      <c r="I4" s="28">
        <v>7</v>
      </c>
      <c r="J4" s="28">
        <v>8</v>
      </c>
      <c r="K4" s="28">
        <v>9</v>
      </c>
      <c r="L4" s="28">
        <v>10</v>
      </c>
      <c r="M4" s="28">
        <v>11</v>
      </c>
      <c r="N4" s="28">
        <v>12</v>
      </c>
      <c r="O4" s="28">
        <v>13</v>
      </c>
      <c r="P4" s="28">
        <v>14</v>
      </c>
      <c r="Q4" s="28">
        <v>15</v>
      </c>
      <c r="R4" s="28">
        <v>16</v>
      </c>
      <c r="S4" s="28">
        <v>17</v>
      </c>
      <c r="T4" s="28">
        <v>18</v>
      </c>
      <c r="U4" s="28">
        <v>19</v>
      </c>
      <c r="V4" s="28">
        <v>20</v>
      </c>
      <c r="W4" s="28">
        <v>21</v>
      </c>
      <c r="X4" s="28">
        <v>22</v>
      </c>
      <c r="Y4" s="28">
        <v>23</v>
      </c>
      <c r="Z4" s="28">
        <v>24</v>
      </c>
    </row>
    <row r="5" spans="1:26" x14ac:dyDescent="0.25">
      <c r="A5" s="24" t="s">
        <v>23</v>
      </c>
    </row>
    <row r="6" spans="1:26" x14ac:dyDescent="0.25">
      <c r="A6" s="10" t="s">
        <v>170</v>
      </c>
      <c r="B6" s="33">
        <f>Assumption_Nursery!D18*Assumption_Nursery!D149*Assumption_Nursery!D150*(1+Assumption_Nursery!D151)^Assumption_Nursery!D148</f>
        <v>0</v>
      </c>
      <c r="C6" s="33">
        <f>Assumption_Nursery!E18*Assumption_Nursery!E149*Assumption_Nursery!E150*(1+Assumption_Nursery!E151)^Assumption_Nursery!E148</f>
        <v>160650.00000000003</v>
      </c>
      <c r="D6" s="33">
        <f>Assumption_Nursery!F18*Assumption_Nursery!F149*Assumption_Nursery!F150*(1+Assumption_Nursery!F151)^Assumption_Nursery!F148</f>
        <v>409657.50000000006</v>
      </c>
      <c r="E6" s="166">
        <f>Assumption_Nursery!G18*Assumption_Nursery!G149*Assumption_Nursery!G150*(1+Assumption_Nursery!G151)^Assumption_Nursery!G148*(1+Assumption_Nursery!$S121)</f>
        <v>597025.00871999993</v>
      </c>
      <c r="F6" s="33">
        <f>Assumption_Nursery!H18*Assumption_Nursery!H149*Assumption_Nursery!H150*(1+Assumption_Nursery!H151)^Assumption_Nursery!H148</f>
        <v>852415.32600000012</v>
      </c>
      <c r="G6" s="33">
        <f>Assumption_Nursery!I18*Assumption_Nursery!I149*Assumption_Nursery!I150*(1+Assumption_Nursery!I151)^Assumption_Nursery!I148</f>
        <v>869463.6325200001</v>
      </c>
      <c r="H6" s="166">
        <f>Assumption_Nursery!J18*Assumption_Nursery!J149*Assumption_Nursery!J150*(1+Assumption_Nursery!J151)^Assumption_Nursery!J148*(1+Assumption_Nursery!$S121)</f>
        <v>791959.64431716723</v>
      </c>
      <c r="I6" s="33">
        <f>Assumption_Nursery!K18*Assumption_Nursery!K149*Assumption_Nursery!K150*(1+Assumption_Nursery!K151)^Assumption_Nursery!K148</f>
        <v>904589.96327380801</v>
      </c>
      <c r="J6" s="33">
        <f>Assumption_Nursery!L18*Assumption_Nursery!L149*Assumption_Nursery!L150*(1+Assumption_Nursery!L151)^Assumption_Nursery!L148</f>
        <v>922681.76253928419</v>
      </c>
      <c r="K6" s="166">
        <f>Assumption_Nursery!M18*Assumption_Nursery!M149*Assumption_Nursery!M150*(1+Assumption_Nursery!M151)^Assumption_Nursery!M148*(1+Assumption_Nursery!$S121)</f>
        <v>840433.91022653237</v>
      </c>
      <c r="L6" s="33">
        <f>Assumption_Nursery!N18*Assumption_Nursery!N149*Assumption_Nursery!N150*(1+Assumption_Nursery!N151)^Assumption_Nursery!N148</f>
        <v>959958.10574587132</v>
      </c>
      <c r="M6" s="33">
        <f>Assumption_Nursery!O18*Assumption_Nursery!O149*Assumption_Nursery!O150*(1+Assumption_Nursery!O151)^Assumption_Nursery!O148</f>
        <v>979157.26786078862</v>
      </c>
      <c r="N6" s="166">
        <f>Assumption_Nursery!P18*Assumption_Nursery!P149*Assumption_Nursery!P150*(1+Assumption_Nursery!P151)^Assumption_Nursery!P148*(1+Assumption_Nursery!$S121)</f>
        <v>891875.18900367804</v>
      </c>
      <c r="O6" s="33">
        <f>Assumption_Nursery!Q18*Assumption_Nursery!Q149*Assumption_Nursery!Q150*(1+Assumption_Nursery!Q151)^Assumption_Nursery!Q148</f>
        <v>1018715.2214823646</v>
      </c>
      <c r="P6" s="33">
        <f>Assumption_Nursery!R18*Assumption_Nursery!R149*Assumption_Nursery!R150*(1+Assumption_Nursery!R151)^Assumption_Nursery!R148</f>
        <v>1039089.525912012</v>
      </c>
      <c r="Q6" s="166">
        <f>Assumption_Nursery!S18*Assumption_Nursery!S149*Assumption_Nursery!S150*(1+Assumption_Nursery!S151)^Assumption_Nursery!S148*(1+Assumption_Nursery!$S121)</f>
        <v>946465.08557221491</v>
      </c>
      <c r="R6" s="33">
        <f>Assumption_Nursery!T18*Assumption_Nursery!T149*Assumption_Nursery!T150*(1+Assumption_Nursery!T151)^Assumption_Nursery!T148</f>
        <v>1081068.7427588571</v>
      </c>
      <c r="S6" s="33">
        <f>Assumption_Nursery!U18*Assumption_Nursery!U149*Assumption_Nursery!U150*(1+Assumption_Nursery!U151)^Assumption_Nursery!U148</f>
        <v>1102690.1176140343</v>
      </c>
      <c r="T6" s="166">
        <f>Assumption_Nursery!V18*Assumption_Nursery!V149*Assumption_Nursery!V150*(1+Assumption_Nursery!V151)^Assumption_Nursery!V148*(1+Assumption_Nursery!$S121)</f>
        <v>1004396.3205299192</v>
      </c>
      <c r="U6" s="33">
        <f>Assumption_Nursery!W18*Assumption_Nursery!W149*Assumption_Nursery!W150*(1+Assumption_Nursery!W151)^Assumption_Nursery!W148</f>
        <v>1147238.7983656412</v>
      </c>
      <c r="V6" s="33">
        <f>Assumption_Nursery!X18*Assumption_Nursery!X149*Assumption_Nursery!X150*(1+Assumption_Nursery!X151)^Assumption_Nursery!X148</f>
        <v>1170183.5743329541</v>
      </c>
      <c r="W6" s="166">
        <f>Assumption_Nursery!Y18*Assumption_Nursery!Y149*Assumption_Nursery!Y150*(1+Assumption_Nursery!Y151)^Assumption_Nursery!Y148*(1+Assumption_Nursery!$S121)</f>
        <v>852698.72841353144</v>
      </c>
      <c r="X6" s="33">
        <f>Assumption_Nursery!Z18*Assumption_Nursery!Z149*Assumption_Nursery!Z150*(1+Assumption_Nursery!Z151)^Assumption_Nursery!Z148</f>
        <v>608729.49536800268</v>
      </c>
      <c r="Y6" s="33">
        <f>Assumption_Nursery!AA18*Assumption_Nursery!AA149*Assumption_Nursery!AA150*(1+Assumption_Nursery!AA151)^Assumption_Nursery!AA148</f>
        <v>248361.63411014507</v>
      </c>
      <c r="Z6" s="166">
        <f>Assumption_Nursery!AB18*Assumption_Nursery!AB149*Assumption_Nursery!AB150*(1+Assumption_Nursery!AB151)^Assumption_Nursery!AB148*(1+Assumption_Nursery!$S121)</f>
        <v>0</v>
      </c>
    </row>
    <row r="7" spans="1:26" s="13" customFormat="1" x14ac:dyDescent="0.25">
      <c r="A7" s="24" t="s">
        <v>58</v>
      </c>
      <c r="B7" s="41">
        <f>B6</f>
        <v>0</v>
      </c>
      <c r="C7" s="41">
        <f t="shared" ref="C7:Z7" si="0">C6</f>
        <v>160650.00000000003</v>
      </c>
      <c r="D7" s="41">
        <f t="shared" si="0"/>
        <v>409657.50000000006</v>
      </c>
      <c r="E7" s="41">
        <f t="shared" si="0"/>
        <v>597025.00871999993</v>
      </c>
      <c r="F7" s="41">
        <f t="shared" si="0"/>
        <v>852415.32600000012</v>
      </c>
      <c r="G7" s="41">
        <f t="shared" si="0"/>
        <v>869463.6325200001</v>
      </c>
      <c r="H7" s="41">
        <f t="shared" si="0"/>
        <v>791959.64431716723</v>
      </c>
      <c r="I7" s="41">
        <f t="shared" si="0"/>
        <v>904589.96327380801</v>
      </c>
      <c r="J7" s="41">
        <f t="shared" si="0"/>
        <v>922681.76253928419</v>
      </c>
      <c r="K7" s="41">
        <f t="shared" si="0"/>
        <v>840433.91022653237</v>
      </c>
      <c r="L7" s="41">
        <f t="shared" si="0"/>
        <v>959958.10574587132</v>
      </c>
      <c r="M7" s="41">
        <f t="shared" si="0"/>
        <v>979157.26786078862</v>
      </c>
      <c r="N7" s="41">
        <f t="shared" si="0"/>
        <v>891875.18900367804</v>
      </c>
      <c r="O7" s="41">
        <f t="shared" si="0"/>
        <v>1018715.2214823646</v>
      </c>
      <c r="P7" s="41">
        <f t="shared" si="0"/>
        <v>1039089.525912012</v>
      </c>
      <c r="Q7" s="41">
        <f t="shared" si="0"/>
        <v>946465.08557221491</v>
      </c>
      <c r="R7" s="41">
        <f t="shared" si="0"/>
        <v>1081068.7427588571</v>
      </c>
      <c r="S7" s="41">
        <f t="shared" si="0"/>
        <v>1102690.1176140343</v>
      </c>
      <c r="T7" s="41">
        <f t="shared" si="0"/>
        <v>1004396.3205299192</v>
      </c>
      <c r="U7" s="41">
        <f t="shared" si="0"/>
        <v>1147238.7983656412</v>
      </c>
      <c r="V7" s="41">
        <f t="shared" si="0"/>
        <v>1170183.5743329541</v>
      </c>
      <c r="W7" s="41">
        <f t="shared" si="0"/>
        <v>852698.72841353144</v>
      </c>
      <c r="X7" s="41">
        <f t="shared" si="0"/>
        <v>608729.49536800268</v>
      </c>
      <c r="Y7" s="41">
        <f t="shared" si="0"/>
        <v>248361.63411014507</v>
      </c>
      <c r="Z7" s="41">
        <f t="shared" si="0"/>
        <v>0</v>
      </c>
    </row>
    <row r="8" spans="1:26" x14ac:dyDescent="0.25">
      <c r="A8" s="24"/>
      <c r="B8" s="44"/>
      <c r="C8" s="44"/>
      <c r="D8" s="44"/>
      <c r="E8" s="44"/>
      <c r="F8" s="44"/>
      <c r="G8" s="44"/>
      <c r="H8" s="44"/>
      <c r="I8" s="44"/>
      <c r="J8" s="44"/>
      <c r="K8" s="44"/>
    </row>
    <row r="9" spans="1:26" x14ac:dyDescent="0.25">
      <c r="A9" s="24" t="s">
        <v>24</v>
      </c>
    </row>
    <row r="10" spans="1:26" x14ac:dyDescent="0.25">
      <c r="A10" s="9" t="s">
        <v>69</v>
      </c>
      <c r="B10" s="35">
        <f>Assumption_Nursery!D18*Assumption_Nursery!D155</f>
        <v>0</v>
      </c>
      <c r="C10" s="35">
        <f>Assumption_Nursery!E18*Assumption_Nursery!E155</f>
        <v>40000</v>
      </c>
      <c r="D10" s="35">
        <f>Assumption_Nursery!F18*Assumption_Nursery!F155</f>
        <v>100000</v>
      </c>
      <c r="E10" s="35">
        <f>Assumption_Nursery!G18*Assumption_Nursery!G155</f>
        <v>160000</v>
      </c>
      <c r="F10" s="35">
        <f>Assumption_Nursery!H18*Assumption_Nursery!H155</f>
        <v>200000</v>
      </c>
      <c r="G10" s="35">
        <f>Assumption_Nursery!I18*Assumption_Nursery!I155</f>
        <v>200000</v>
      </c>
      <c r="H10" s="35">
        <f>Assumption_Nursery!J18*Assumption_Nursery!J155</f>
        <v>200000</v>
      </c>
      <c r="I10" s="35">
        <f>Assumption_Nursery!K18*Assumption_Nursery!K155</f>
        <v>200000</v>
      </c>
      <c r="J10" s="35">
        <f>Assumption_Nursery!L18*Assumption_Nursery!L155</f>
        <v>200000</v>
      </c>
      <c r="K10" s="35">
        <f>Assumption_Nursery!M18*Assumption_Nursery!M155</f>
        <v>200000</v>
      </c>
      <c r="L10" s="35">
        <f>Assumption_Nursery!N18*Assumption_Nursery!N155</f>
        <v>200000</v>
      </c>
      <c r="M10" s="35">
        <f>Assumption_Nursery!O18*Assumption_Nursery!O155</f>
        <v>200000</v>
      </c>
      <c r="N10" s="35">
        <f>Assumption_Nursery!P18*Assumption_Nursery!P155</f>
        <v>200000</v>
      </c>
      <c r="O10" s="35">
        <f>Assumption_Nursery!Q18*Assumption_Nursery!Q155</f>
        <v>200000</v>
      </c>
      <c r="P10" s="35">
        <f>Assumption_Nursery!R18*Assumption_Nursery!R155</f>
        <v>200000</v>
      </c>
      <c r="Q10" s="35">
        <f>Assumption_Nursery!S18*Assumption_Nursery!S155</f>
        <v>200000</v>
      </c>
      <c r="R10" s="35">
        <f>Assumption_Nursery!T18*Assumption_Nursery!T155</f>
        <v>200000</v>
      </c>
      <c r="S10" s="35">
        <f>Assumption_Nursery!U18*Assumption_Nursery!U155</f>
        <v>200000</v>
      </c>
      <c r="T10" s="35">
        <f>Assumption_Nursery!V18*Assumption_Nursery!V155</f>
        <v>200000</v>
      </c>
      <c r="U10" s="35">
        <f>Assumption_Nursery!W18*Assumption_Nursery!W155</f>
        <v>200000</v>
      </c>
      <c r="V10" s="35">
        <f>Assumption_Nursery!X18*Assumption_Nursery!X155</f>
        <v>200000</v>
      </c>
      <c r="W10" s="35">
        <f>Assumption_Nursery!Y18*Assumption_Nursery!Y155</f>
        <v>160000</v>
      </c>
      <c r="X10" s="35">
        <f>Assumption_Nursery!Z18*Assumption_Nursery!Z155</f>
        <v>100000</v>
      </c>
      <c r="Y10" s="35">
        <f>Assumption_Nursery!AA18*Assumption_Nursery!AA155</f>
        <v>40000</v>
      </c>
      <c r="Z10" s="35">
        <f>Assumption_Nursery!AB18*Assumption_Nursery!AB155</f>
        <v>0</v>
      </c>
    </row>
    <row r="11" spans="1:26" x14ac:dyDescent="0.25">
      <c r="A11" s="9" t="s">
        <v>70</v>
      </c>
      <c r="B11" s="35">
        <f>Assumption_Nursery!D18*Assumption_Nursery!D156</f>
        <v>0</v>
      </c>
      <c r="C11" s="35">
        <f>Assumption_Nursery!E18*Assumption_Nursery!E156</f>
        <v>85000.000000000015</v>
      </c>
      <c r="D11" s="35">
        <f>Assumption_Nursery!F18*Assumption_Nursery!F156</f>
        <v>212500.00000000003</v>
      </c>
      <c r="E11" s="35">
        <f>Assumption_Nursery!G18*Assumption_Nursery!G156</f>
        <v>340000.00000000006</v>
      </c>
      <c r="F11" s="35">
        <f>Assumption_Nursery!H18*Assumption_Nursery!H156</f>
        <v>425000.00000000006</v>
      </c>
      <c r="G11" s="35">
        <f>Assumption_Nursery!I18*Assumption_Nursery!I156</f>
        <v>425000.00000000006</v>
      </c>
      <c r="H11" s="35">
        <f>Assumption_Nursery!J18*Assumption_Nursery!J156</f>
        <v>425000.00000000006</v>
      </c>
      <c r="I11" s="35">
        <f>Assumption_Nursery!K18*Assumption_Nursery!K156</f>
        <v>425000.00000000006</v>
      </c>
      <c r="J11" s="35">
        <f>Assumption_Nursery!L18*Assumption_Nursery!L156</f>
        <v>425000.00000000006</v>
      </c>
      <c r="K11" s="35">
        <f>Assumption_Nursery!M18*Assumption_Nursery!M156</f>
        <v>425000.00000000006</v>
      </c>
      <c r="L11" s="35">
        <f>Assumption_Nursery!N18*Assumption_Nursery!N156</f>
        <v>425000.00000000006</v>
      </c>
      <c r="M11" s="35">
        <f>Assumption_Nursery!O18*Assumption_Nursery!O156</f>
        <v>425000.00000000006</v>
      </c>
      <c r="N11" s="35">
        <f>Assumption_Nursery!P18*Assumption_Nursery!P156</f>
        <v>425000.00000000006</v>
      </c>
      <c r="O11" s="35">
        <f>Assumption_Nursery!Q18*Assumption_Nursery!Q156</f>
        <v>425000.00000000006</v>
      </c>
      <c r="P11" s="35">
        <f>Assumption_Nursery!R18*Assumption_Nursery!R156</f>
        <v>425000.00000000006</v>
      </c>
      <c r="Q11" s="35">
        <f>Assumption_Nursery!S18*Assumption_Nursery!S156</f>
        <v>425000.00000000006</v>
      </c>
      <c r="R11" s="35">
        <f>Assumption_Nursery!T18*Assumption_Nursery!T156</f>
        <v>425000.00000000006</v>
      </c>
      <c r="S11" s="35">
        <f>Assumption_Nursery!U18*Assumption_Nursery!U156</f>
        <v>425000.00000000006</v>
      </c>
      <c r="T11" s="35">
        <f>Assumption_Nursery!V18*Assumption_Nursery!V156</f>
        <v>425000.00000000006</v>
      </c>
      <c r="U11" s="35">
        <f>Assumption_Nursery!W18*Assumption_Nursery!W156</f>
        <v>425000.00000000006</v>
      </c>
      <c r="V11" s="35">
        <f>Assumption_Nursery!X18*Assumption_Nursery!X156</f>
        <v>425000.00000000006</v>
      </c>
      <c r="W11" s="35">
        <f>Assumption_Nursery!Y18*Assumption_Nursery!Y156</f>
        <v>340000.00000000006</v>
      </c>
      <c r="X11" s="35">
        <f>Assumption_Nursery!Z18*Assumption_Nursery!Z156</f>
        <v>212500.00000000003</v>
      </c>
      <c r="Y11" s="35">
        <f>Assumption_Nursery!AA18*Assumption_Nursery!AA156</f>
        <v>85000.000000000015</v>
      </c>
      <c r="Z11" s="35">
        <f>Assumption_Nursery!AB18*Assumption_Nursery!AB156</f>
        <v>0</v>
      </c>
    </row>
    <row r="12" spans="1:26" x14ac:dyDescent="0.25">
      <c r="A12" s="9" t="s">
        <v>39</v>
      </c>
      <c r="B12" s="35">
        <f>Assumption_Nursery!D18*Assumption_Nursery!D157</f>
        <v>0</v>
      </c>
      <c r="C12" s="35">
        <f>Assumption_Nursery!E18*Assumption_Nursery!E157</f>
        <v>5000</v>
      </c>
      <c r="D12" s="35">
        <f>Assumption_Nursery!F18*Assumption_Nursery!F157</f>
        <v>12500</v>
      </c>
      <c r="E12" s="167">
        <f>Assumption_Nursery!G18*Assumption_Nursery!G157*(1+Assumption_Nursery!$S129)</f>
        <v>20807.499999999993</v>
      </c>
      <c r="F12" s="35">
        <f>Assumption_Nursery!H18*Assumption_Nursery!H157</f>
        <v>25000</v>
      </c>
      <c r="G12" s="35">
        <f>Assumption_Nursery!I18*Assumption_Nursery!I157</f>
        <v>25000</v>
      </c>
      <c r="H12" s="167">
        <f>Assumption_Nursery!J18*Assumption_Nursery!J157*(1+Assumption_Nursery!$S129)</f>
        <v>26009.374999999993</v>
      </c>
      <c r="I12" s="35">
        <f>Assumption_Nursery!K18*Assumption_Nursery!K157</f>
        <v>25000</v>
      </c>
      <c r="J12" s="35">
        <f>Assumption_Nursery!L18*Assumption_Nursery!L157</f>
        <v>25000</v>
      </c>
      <c r="K12" s="167">
        <f>Assumption_Nursery!M18*Assumption_Nursery!M157*(1+Assumption_Nursery!$S129)</f>
        <v>26009.374999999993</v>
      </c>
      <c r="L12" s="35">
        <f>Assumption_Nursery!N18*Assumption_Nursery!N157</f>
        <v>25000</v>
      </c>
      <c r="M12" s="35">
        <f>Assumption_Nursery!O18*Assumption_Nursery!O157</f>
        <v>25000</v>
      </c>
      <c r="N12" s="167">
        <f>Assumption_Nursery!P18*Assumption_Nursery!P157*(1+Assumption_Nursery!$S129)</f>
        <v>26009.374999999993</v>
      </c>
      <c r="O12" s="35">
        <f>Assumption_Nursery!Q18*Assumption_Nursery!Q157</f>
        <v>25000</v>
      </c>
      <c r="P12" s="35">
        <f>Assumption_Nursery!R18*Assumption_Nursery!R157</f>
        <v>25000</v>
      </c>
      <c r="Q12" s="167">
        <f>Assumption_Nursery!S18*Assumption_Nursery!S157*(1+Assumption_Nursery!$S129)</f>
        <v>26009.374999999993</v>
      </c>
      <c r="R12" s="35">
        <f>Assumption_Nursery!T18*Assumption_Nursery!T157</f>
        <v>25000</v>
      </c>
      <c r="S12" s="35">
        <f>Assumption_Nursery!U18*Assumption_Nursery!U157</f>
        <v>25000</v>
      </c>
      <c r="T12" s="167">
        <f>Assumption_Nursery!V18*Assumption_Nursery!V157*(1+Assumption_Nursery!$S129)</f>
        <v>26009.374999999993</v>
      </c>
      <c r="U12" s="35">
        <f>Assumption_Nursery!W18*Assumption_Nursery!W157</f>
        <v>25000</v>
      </c>
      <c r="V12" s="35">
        <f>Assumption_Nursery!X18*Assumption_Nursery!X157</f>
        <v>25000</v>
      </c>
      <c r="W12" s="167">
        <f>Assumption_Nursery!Y18*Assumption_Nursery!Y157*(1+Assumption_Nursery!$S129)</f>
        <v>20807.499999999993</v>
      </c>
      <c r="X12" s="35">
        <f>Assumption_Nursery!Z18*Assumption_Nursery!Z157</f>
        <v>12500</v>
      </c>
      <c r="Y12" s="35">
        <f>Assumption_Nursery!AA18*Assumption_Nursery!AA157</f>
        <v>5000</v>
      </c>
      <c r="Z12" s="167">
        <f>Assumption_Nursery!AB18*Assumption_Nursery!AB157*(1+Assumption_Nursery!$S129)</f>
        <v>0</v>
      </c>
    </row>
    <row r="13" spans="1:26" x14ac:dyDescent="0.25">
      <c r="A13" s="9" t="s">
        <v>166</v>
      </c>
      <c r="B13" s="35">
        <f>Assumption_Nursery!D18*Assumption_Nursery!D158</f>
        <v>0</v>
      </c>
      <c r="C13" s="35">
        <f>Assumption_Nursery!E18*Assumption_Nursery!E158</f>
        <v>4000</v>
      </c>
      <c r="D13" s="35">
        <f>Assumption_Nursery!F18*Assumption_Nursery!F158</f>
        <v>10000</v>
      </c>
      <c r="E13" s="158">
        <f>Assumption_Nursery!G18*Assumption_Nursery!G158</f>
        <v>16000</v>
      </c>
      <c r="F13" s="35">
        <f>Assumption_Nursery!H18*Assumption_Nursery!H158</f>
        <v>20000</v>
      </c>
      <c r="G13" s="35">
        <f>Assumption_Nursery!I18*Assumption_Nursery!I158</f>
        <v>20000</v>
      </c>
      <c r="H13" s="158">
        <f>Assumption_Nursery!J18*Assumption_Nursery!J158*(1+Assumption_Nursery!$S130)</f>
        <v>20000</v>
      </c>
      <c r="I13" s="35">
        <f>Assumption_Nursery!K18*Assumption_Nursery!K158</f>
        <v>20000</v>
      </c>
      <c r="J13" s="35">
        <f>Assumption_Nursery!L18*Assumption_Nursery!L158</f>
        <v>20000</v>
      </c>
      <c r="K13" s="158">
        <f>Assumption_Nursery!M18*Assumption_Nursery!M158*(1+Assumption_Nursery!$S130)</f>
        <v>20000</v>
      </c>
      <c r="L13" s="35">
        <f>Assumption_Nursery!N18*Assumption_Nursery!N158</f>
        <v>20000</v>
      </c>
      <c r="M13" s="35">
        <f>Assumption_Nursery!O18*Assumption_Nursery!O158</f>
        <v>20000</v>
      </c>
      <c r="N13" s="158">
        <f>Assumption_Nursery!P18*Assumption_Nursery!P158*(1+Assumption_Nursery!$S130)</f>
        <v>20000</v>
      </c>
      <c r="O13" s="35">
        <f>Assumption_Nursery!Q18*Assumption_Nursery!Q158</f>
        <v>20000</v>
      </c>
      <c r="P13" s="35">
        <f>Assumption_Nursery!R18*Assumption_Nursery!R158</f>
        <v>20000</v>
      </c>
      <c r="Q13" s="158">
        <f>Assumption_Nursery!S18*Assumption_Nursery!S158*(1+Assumption_Nursery!$S130)</f>
        <v>20000</v>
      </c>
      <c r="R13" s="35">
        <f>Assumption_Nursery!T18*Assumption_Nursery!T158</f>
        <v>20000</v>
      </c>
      <c r="S13" s="35">
        <f>Assumption_Nursery!U18*Assumption_Nursery!U158</f>
        <v>20000</v>
      </c>
      <c r="T13" s="158">
        <f>Assumption_Nursery!V18*Assumption_Nursery!V158*(1+Assumption_Nursery!$S130)</f>
        <v>20000</v>
      </c>
      <c r="U13" s="35">
        <f>Assumption_Nursery!W18*Assumption_Nursery!W158</f>
        <v>20000</v>
      </c>
      <c r="V13" s="35">
        <f>Assumption_Nursery!X18*Assumption_Nursery!X158</f>
        <v>20000</v>
      </c>
      <c r="W13" s="158">
        <f>Assumption_Nursery!Y18*Assumption_Nursery!Y158*(1+Assumption_Nursery!$S130)</f>
        <v>16000</v>
      </c>
      <c r="X13" s="35">
        <f>Assumption_Nursery!Z18*Assumption_Nursery!Z158</f>
        <v>10000</v>
      </c>
      <c r="Y13" s="35">
        <f>Assumption_Nursery!AA18*Assumption_Nursery!AA158</f>
        <v>4000</v>
      </c>
      <c r="Z13" s="158">
        <f>Assumption_Nursery!AB18*Assumption_Nursery!AB158*(1+Assumption_Nursery!$S130)</f>
        <v>0</v>
      </c>
    </row>
    <row r="14" spans="1:26" x14ac:dyDescent="0.25">
      <c r="A14" s="9" t="s">
        <v>15</v>
      </c>
      <c r="B14" s="35">
        <f>BaU_Nursery!B14</f>
        <v>0</v>
      </c>
      <c r="C14" s="35">
        <f>BaU_Nursery!C14</f>
        <v>42420</v>
      </c>
      <c r="D14" s="35">
        <f>BaU_Nursery!D14</f>
        <v>107110.5</v>
      </c>
      <c r="E14" s="35">
        <f>BaU_Nursery!E14</f>
        <v>173090.56799999997</v>
      </c>
      <c r="F14" s="35">
        <f>BaU_Nursery!F14</f>
        <v>218526.84210000001</v>
      </c>
      <c r="G14" s="35">
        <f>BaU_Nursery!G14</f>
        <v>220712.11052099997</v>
      </c>
      <c r="H14" s="35">
        <f>BaU_Nursery!H14</f>
        <v>222919.23162621004</v>
      </c>
      <c r="I14" s="35">
        <f>BaU_Nursery!I14</f>
        <v>225148.42394247209</v>
      </c>
      <c r="J14" s="35">
        <f>BaU_Nursery!J14</f>
        <v>227399.90818189684</v>
      </c>
      <c r="K14" s="35">
        <f>BaU_Nursery!K14</f>
        <v>229673.90726371581</v>
      </c>
      <c r="L14" s="35">
        <f>BaU_Nursery!L14</f>
        <v>231970.64633635298</v>
      </c>
      <c r="M14" s="35">
        <f>BaU_Nursery!M14</f>
        <v>234290.35279971649</v>
      </c>
      <c r="N14" s="35">
        <f>BaU_Nursery!N14</f>
        <v>236633.25632771364</v>
      </c>
      <c r="O14" s="35">
        <f>BaU_Nursery!O14</f>
        <v>238999.5888909908</v>
      </c>
      <c r="P14" s="35">
        <f>BaU_Nursery!P14</f>
        <v>241389.58477990073</v>
      </c>
      <c r="Q14" s="35">
        <f>BaU_Nursery!Q14</f>
        <v>243803.4806276997</v>
      </c>
      <c r="R14" s="35">
        <f>BaU_Nursery!R14</f>
        <v>246241.51543397675</v>
      </c>
      <c r="S14" s="35">
        <f>BaU_Nursery!S14</f>
        <v>248703.93058831652</v>
      </c>
      <c r="T14" s="35">
        <f>BaU_Nursery!T14</f>
        <v>251190.96989419969</v>
      </c>
      <c r="U14" s="35">
        <f>BaU_Nursery!U14</f>
        <v>253702.87959314164</v>
      </c>
      <c r="V14" s="35">
        <f>BaU_Nursery!V14</f>
        <v>256239.9083890731</v>
      </c>
      <c r="W14" s="35">
        <f>BaU_Nursery!W14</f>
        <v>207041.84597837101</v>
      </c>
      <c r="X14" s="35">
        <f>BaU_Nursery!X14</f>
        <v>130695.16527384675</v>
      </c>
      <c r="Y14" s="35">
        <f>BaU_Nursery!Y14</f>
        <v>52800.846770634074</v>
      </c>
      <c r="Z14" s="35">
        <f>BaU_Nursery!Z14</f>
        <v>0</v>
      </c>
    </row>
    <row r="15" spans="1:26" s="54" customFormat="1" x14ac:dyDescent="0.25">
      <c r="A15" s="56" t="s">
        <v>156</v>
      </c>
      <c r="B15" s="53">
        <f>Assumption_Nursery!D43</f>
        <v>0</v>
      </c>
      <c r="C15" s="53">
        <f>Assumption_Nursery!E43</f>
        <v>74400</v>
      </c>
      <c r="D15" s="53">
        <f>Assumption_Nursery!F43</f>
        <v>111600</v>
      </c>
      <c r="E15" s="53">
        <f>Assumption_Nursery!G43</f>
        <v>111600</v>
      </c>
      <c r="F15" s="53">
        <f>Assumption_Nursery!H43</f>
        <v>74400</v>
      </c>
      <c r="G15" s="53">
        <f>Assumption_Nursery!I43</f>
        <v>0</v>
      </c>
      <c r="H15" s="53">
        <f>Assumption_Nursery!J43</f>
        <v>0</v>
      </c>
      <c r="I15" s="53">
        <f>Assumption_Nursery!K43</f>
        <v>0</v>
      </c>
      <c r="J15" s="53">
        <f>Assumption_Nursery!L43</f>
        <v>0</v>
      </c>
      <c r="K15" s="53">
        <f>Assumption_Nursery!M43</f>
        <v>0</v>
      </c>
      <c r="L15" s="53">
        <f>Assumption_Nursery!N43</f>
        <v>0</v>
      </c>
      <c r="M15" s="53">
        <f>Assumption_Nursery!O43</f>
        <v>0</v>
      </c>
      <c r="N15" s="53">
        <f>Assumption_Nursery!P43</f>
        <v>0</v>
      </c>
      <c r="O15" s="53">
        <f>Assumption_Nursery!Q43</f>
        <v>0</v>
      </c>
      <c r="P15" s="53">
        <f>Assumption_Nursery!R43</f>
        <v>0</v>
      </c>
      <c r="Q15" s="53">
        <f>Assumption_Nursery!S43</f>
        <v>0</v>
      </c>
      <c r="R15" s="53">
        <f>Assumption_Nursery!T43</f>
        <v>0</v>
      </c>
      <c r="S15" s="53">
        <f>Assumption_Nursery!U43</f>
        <v>0</v>
      </c>
      <c r="T15" s="53">
        <f>Assumption_Nursery!V43</f>
        <v>0</v>
      </c>
      <c r="U15" s="53">
        <f>Assumption_Nursery!W43</f>
        <v>0</v>
      </c>
      <c r="V15" s="53">
        <f>Assumption_Nursery!X43</f>
        <v>0</v>
      </c>
      <c r="W15" s="53">
        <f>Assumption_Nursery!Y43</f>
        <v>0</v>
      </c>
      <c r="X15" s="53">
        <f>Assumption_Nursery!Z43</f>
        <v>0</v>
      </c>
      <c r="Y15" s="53">
        <f>Assumption_Nursery!AA43</f>
        <v>0</v>
      </c>
      <c r="Z15" s="53">
        <f>Assumption_Nursery!AB43</f>
        <v>0</v>
      </c>
    </row>
    <row r="16" spans="1:26" x14ac:dyDescent="0.25">
      <c r="A16" s="127" t="s">
        <v>59</v>
      </c>
      <c r="B16" s="40">
        <f t="shared" ref="B16:Z16" si="1">SUM(B10:B15)</f>
        <v>0</v>
      </c>
      <c r="C16" s="40">
        <f t="shared" si="1"/>
        <v>250820</v>
      </c>
      <c r="D16" s="40">
        <f t="shared" si="1"/>
        <v>553710.5</v>
      </c>
      <c r="E16" s="40">
        <f t="shared" si="1"/>
        <v>821498.06799999997</v>
      </c>
      <c r="F16" s="40">
        <f t="shared" si="1"/>
        <v>962926.84210000001</v>
      </c>
      <c r="G16" s="40">
        <f t="shared" si="1"/>
        <v>890712.110521</v>
      </c>
      <c r="H16" s="40">
        <f t="shared" si="1"/>
        <v>893928.60662621004</v>
      </c>
      <c r="I16" s="40">
        <f t="shared" si="1"/>
        <v>895148.42394247209</v>
      </c>
      <c r="J16" s="40">
        <f t="shared" si="1"/>
        <v>897399.9081818969</v>
      </c>
      <c r="K16" s="40">
        <f t="shared" si="1"/>
        <v>900683.28226371575</v>
      </c>
      <c r="L16" s="40">
        <f t="shared" si="1"/>
        <v>901970.64633635292</v>
      </c>
      <c r="M16" s="40">
        <f t="shared" si="1"/>
        <v>904290.35279971652</v>
      </c>
      <c r="N16" s="40">
        <f t="shared" si="1"/>
        <v>907642.63132771361</v>
      </c>
      <c r="O16" s="40">
        <f t="shared" si="1"/>
        <v>908999.58889099082</v>
      </c>
      <c r="P16" s="40">
        <f t="shared" si="1"/>
        <v>911389.58477990073</v>
      </c>
      <c r="Q16" s="40">
        <f t="shared" si="1"/>
        <v>914812.85562769976</v>
      </c>
      <c r="R16" s="40">
        <f t="shared" si="1"/>
        <v>916241.51543397678</v>
      </c>
      <c r="S16" s="40">
        <f t="shared" si="1"/>
        <v>918703.93058831652</v>
      </c>
      <c r="T16" s="40">
        <f t="shared" si="1"/>
        <v>922200.34489419963</v>
      </c>
      <c r="U16" s="40">
        <f t="shared" si="1"/>
        <v>923702.87959314161</v>
      </c>
      <c r="V16" s="40">
        <f t="shared" si="1"/>
        <v>926239.9083890731</v>
      </c>
      <c r="W16" s="40">
        <f t="shared" si="1"/>
        <v>743849.34597837098</v>
      </c>
      <c r="X16" s="40">
        <f t="shared" si="1"/>
        <v>465695.16527384677</v>
      </c>
      <c r="Y16" s="40">
        <f t="shared" si="1"/>
        <v>186800.84677063406</v>
      </c>
      <c r="Z16" s="40">
        <f t="shared" si="1"/>
        <v>0</v>
      </c>
    </row>
    <row r="17" spans="1:26" x14ac:dyDescent="0.25">
      <c r="B17" s="34"/>
      <c r="C17" s="34"/>
      <c r="D17" s="34"/>
      <c r="E17" s="34"/>
      <c r="F17" s="34"/>
      <c r="G17" s="34"/>
      <c r="H17" s="34"/>
      <c r="I17" s="34"/>
      <c r="J17" s="34"/>
      <c r="K17" s="34"/>
      <c r="L17" s="34"/>
    </row>
    <row r="18" spans="1:26" x14ac:dyDescent="0.25">
      <c r="A18" s="24" t="s">
        <v>60</v>
      </c>
      <c r="B18" s="36">
        <f t="shared" ref="B18:Z18" si="2">B7-B16</f>
        <v>0</v>
      </c>
      <c r="C18" s="36">
        <f t="shared" si="2"/>
        <v>-90169.999999999971</v>
      </c>
      <c r="D18" s="36">
        <f t="shared" si="2"/>
        <v>-144052.99999999994</v>
      </c>
      <c r="E18" s="36">
        <f t="shared" si="2"/>
        <v>-224473.05928000004</v>
      </c>
      <c r="F18" s="36">
        <f t="shared" si="2"/>
        <v>-110511.51609999989</v>
      </c>
      <c r="G18" s="36">
        <f t="shared" si="2"/>
        <v>-21248.478000999894</v>
      </c>
      <c r="H18" s="36">
        <f t="shared" si="2"/>
        <v>-101968.96230904281</v>
      </c>
      <c r="I18" s="36">
        <f t="shared" si="2"/>
        <v>9441.5393313359236</v>
      </c>
      <c r="J18" s="36">
        <f t="shared" si="2"/>
        <v>25281.854357387288</v>
      </c>
      <c r="K18" s="36">
        <f t="shared" si="2"/>
        <v>-60249.372037183377</v>
      </c>
      <c r="L18" s="36">
        <f t="shared" si="2"/>
        <v>57987.4594095184</v>
      </c>
      <c r="M18" s="36">
        <f t="shared" si="2"/>
        <v>74866.915061072097</v>
      </c>
      <c r="N18" s="36">
        <f t="shared" si="2"/>
        <v>-15767.442324035568</v>
      </c>
      <c r="O18" s="36">
        <f t="shared" si="2"/>
        <v>109715.63259137375</v>
      </c>
      <c r="P18" s="36">
        <f t="shared" si="2"/>
        <v>127699.94113211124</v>
      </c>
      <c r="Q18" s="36">
        <f t="shared" si="2"/>
        <v>31652.229944515158</v>
      </c>
      <c r="R18" s="36">
        <f t="shared" si="2"/>
        <v>164827.22732488031</v>
      </c>
      <c r="S18" s="36">
        <f t="shared" si="2"/>
        <v>183986.18702571781</v>
      </c>
      <c r="T18" s="36">
        <f t="shared" si="2"/>
        <v>82195.975635719602</v>
      </c>
      <c r="U18" s="36">
        <f t="shared" si="2"/>
        <v>223535.91877249954</v>
      </c>
      <c r="V18" s="36">
        <f t="shared" si="2"/>
        <v>243943.66594388103</v>
      </c>
      <c r="W18" s="36">
        <f t="shared" si="2"/>
        <v>108849.38243516046</v>
      </c>
      <c r="X18" s="36">
        <f t="shared" si="2"/>
        <v>143034.33009415591</v>
      </c>
      <c r="Y18" s="36">
        <f t="shared" si="2"/>
        <v>61560.787339511007</v>
      </c>
      <c r="Z18" s="36">
        <f t="shared" si="2"/>
        <v>0</v>
      </c>
    </row>
    <row r="19" spans="1:26" x14ac:dyDescent="0.25">
      <c r="B19" s="34"/>
      <c r="C19" s="34"/>
      <c r="D19" s="34"/>
      <c r="E19" s="34"/>
      <c r="F19" s="34"/>
      <c r="G19" s="34"/>
      <c r="H19" s="34"/>
      <c r="I19" s="34"/>
      <c r="J19" s="34"/>
      <c r="K19" s="34"/>
      <c r="L19" s="34"/>
    </row>
    <row r="20" spans="1:26" s="13" customFormat="1" x14ac:dyDescent="0.25">
      <c r="A20" s="24" t="s">
        <v>61</v>
      </c>
      <c r="B20" s="42">
        <f>B18/(1+Assumption_Hatchery!$C76)^B4</f>
        <v>0</v>
      </c>
      <c r="C20" s="42">
        <f>C18/(1+Assumption_Hatchery!$C76)^C4</f>
        <v>-82724.770642201809</v>
      </c>
      <c r="D20" s="42">
        <f>D18/(1+Assumption_Hatchery!$C76)^D4</f>
        <v>-121246.52807002771</v>
      </c>
      <c r="E20" s="42">
        <f>E18/(1+Assumption_Hatchery!$C76)^E4</f>
        <v>-173334.38809478399</v>
      </c>
      <c r="F20" s="42">
        <f>F18/(1+Assumption_Hatchery!$C76)^F4</f>
        <v>-78289.144118277283</v>
      </c>
      <c r="G20" s="42">
        <f>G18/(1+Assumption_Hatchery!$C76)^G4</f>
        <v>-13810.052763919753</v>
      </c>
      <c r="H20" s="42">
        <f>H18/(1+Assumption_Hatchery!$C76)^H4</f>
        <v>-60800.760580660462</v>
      </c>
      <c r="I20" s="42">
        <f>I18/(1+Assumption_Hatchery!$C76)^I4</f>
        <v>5164.8453382758262</v>
      </c>
      <c r="J20" s="42">
        <f>J18/(1+Assumption_Hatchery!$C76)^J4</f>
        <v>12688.11018957072</v>
      </c>
      <c r="K20" s="42">
        <f>K18/(1+Assumption_Hatchery!$C76)^K4</f>
        <v>-27740.484584331858</v>
      </c>
      <c r="L20" s="42">
        <f>L18/(1+Assumption_Hatchery!$C76)^L4</f>
        <v>24494.529519005675</v>
      </c>
      <c r="M20" s="42">
        <f>M18/(1+Assumption_Hatchery!$C76)^M4</f>
        <v>29013.388991503183</v>
      </c>
      <c r="N20" s="42">
        <f>N18/(1+Assumption_Hatchery!$C76)^N4</f>
        <v>-5605.8732722642044</v>
      </c>
      <c r="O20" s="42">
        <f>O18/(1+Assumption_Hatchery!$C76)^O4</f>
        <v>35786.896580689026</v>
      </c>
      <c r="P20" s="42">
        <f>P18/(1+Assumption_Hatchery!$C76)^P4</f>
        <v>38213.755968489189</v>
      </c>
      <c r="Q20" s="42">
        <f>Q18/(1+Assumption_Hatchery!$C76)^Q4</f>
        <v>8689.7412121596062</v>
      </c>
      <c r="R20" s="42">
        <f>R18/(1+Assumption_Hatchery!$C76)^R4</f>
        <v>41514.994628297834</v>
      </c>
      <c r="S20" s="42">
        <f>S18/(1+Assumption_Hatchery!$C76)^S4</f>
        <v>42514.272716698535</v>
      </c>
      <c r="T20" s="42">
        <f>T18/(1+Assumption_Hatchery!$C76)^T4</f>
        <v>17425.032300320076</v>
      </c>
      <c r="U20" s="42">
        <f>U18/(1+Assumption_Hatchery!$C76)^U4</f>
        <v>43475.427044512289</v>
      </c>
      <c r="V20" s="42">
        <f>V18/(1+Assumption_Hatchery!$C76)^V4</f>
        <v>43527.085371114808</v>
      </c>
      <c r="W20" s="42">
        <f>W18/(1+Assumption_Hatchery!$C76)^W4</f>
        <v>17818.433174454996</v>
      </c>
      <c r="X20" s="42">
        <f>X18/(1+Assumption_Hatchery!$C76)^X4</f>
        <v>21481.140298047914</v>
      </c>
      <c r="Y20" s="42">
        <f>Y18/(1+Assumption_Hatchery!$C76)^Y4</f>
        <v>8481.9305673354556</v>
      </c>
      <c r="Z20" s="42">
        <f>Z18/(1+Assumption_Hatchery!$C76)^Z4</f>
        <v>0</v>
      </c>
    </row>
    <row r="21" spans="1:26" x14ac:dyDescent="0.25">
      <c r="B21" s="34"/>
      <c r="C21" s="34"/>
      <c r="D21" s="34"/>
      <c r="E21" s="34"/>
      <c r="F21" s="34"/>
      <c r="G21" s="34"/>
      <c r="H21" s="34"/>
      <c r="I21" s="34"/>
      <c r="J21" s="34"/>
      <c r="K21" s="34"/>
      <c r="L21" s="34"/>
    </row>
    <row r="22" spans="1:26" s="13" customFormat="1" x14ac:dyDescent="0.25">
      <c r="A22" s="26" t="s">
        <v>62</v>
      </c>
      <c r="B22" s="37">
        <f>NPV(Assumption_Hatchery!C76,C18:Z18)+B18</f>
        <v>-173262.41822599227</v>
      </c>
      <c r="C22" s="43"/>
      <c r="D22" s="43"/>
      <c r="E22" s="43"/>
      <c r="F22" s="43"/>
      <c r="G22" s="43"/>
      <c r="H22" s="43"/>
      <c r="I22" s="43"/>
      <c r="J22" s="43"/>
      <c r="K22" s="43"/>
      <c r="L22" s="43"/>
    </row>
    <row r="24" spans="1:26" s="13" customFormat="1" x14ac:dyDescent="0.25">
      <c r="A24" s="26" t="s">
        <v>25</v>
      </c>
      <c r="B24" s="38">
        <f>IRR(B18:Z18)</f>
        <v>5.9250638034703762E-2</v>
      </c>
      <c r="C24" s="4"/>
      <c r="D24" s="4"/>
      <c r="E24" s="4"/>
      <c r="F24" s="4"/>
      <c r="G24" s="4"/>
      <c r="H24" s="4"/>
      <c r="I24" s="4"/>
      <c r="J24" s="4"/>
      <c r="K24" s="4"/>
      <c r="L24" s="4"/>
    </row>
    <row r="26" spans="1:26" s="13" customFormat="1" x14ac:dyDescent="0.25">
      <c r="A26" s="27" t="s">
        <v>63</v>
      </c>
      <c r="B26" s="39">
        <f>B20</f>
        <v>0</v>
      </c>
      <c r="C26" s="39">
        <f>B26+C20</f>
        <v>-82724.770642201809</v>
      </c>
      <c r="D26" s="39">
        <f t="shared" ref="D26:Z26" si="3">C26+D20</f>
        <v>-203971.29871222953</v>
      </c>
      <c r="E26" s="39">
        <f t="shared" si="3"/>
        <v>-377305.68680701352</v>
      </c>
      <c r="F26" s="39">
        <f t="shared" si="3"/>
        <v>-455594.83092529082</v>
      </c>
      <c r="G26" s="39">
        <f t="shared" si="3"/>
        <v>-469404.88368921058</v>
      </c>
      <c r="H26" s="39">
        <f t="shared" si="3"/>
        <v>-530205.64426987106</v>
      </c>
      <c r="I26" s="39">
        <f t="shared" si="3"/>
        <v>-525040.79893159529</v>
      </c>
      <c r="J26" s="39">
        <f t="shared" si="3"/>
        <v>-512352.68874202459</v>
      </c>
      <c r="K26" s="39">
        <f t="shared" si="3"/>
        <v>-540093.17332635645</v>
      </c>
      <c r="L26" s="39">
        <f t="shared" si="3"/>
        <v>-515598.64380735077</v>
      </c>
      <c r="M26" s="39">
        <f t="shared" si="3"/>
        <v>-486585.25481584761</v>
      </c>
      <c r="N26" s="39">
        <f t="shared" si="3"/>
        <v>-492191.12808811181</v>
      </c>
      <c r="O26" s="39">
        <f t="shared" si="3"/>
        <v>-456404.23150742281</v>
      </c>
      <c r="P26" s="39">
        <f t="shared" si="3"/>
        <v>-418190.47553893365</v>
      </c>
      <c r="Q26" s="39">
        <f t="shared" si="3"/>
        <v>-409500.73432677402</v>
      </c>
      <c r="R26" s="39">
        <f t="shared" si="3"/>
        <v>-367985.73969847616</v>
      </c>
      <c r="S26" s="39">
        <f t="shared" si="3"/>
        <v>-325471.46698177763</v>
      </c>
      <c r="T26" s="39">
        <f t="shared" si="3"/>
        <v>-308046.43468145758</v>
      </c>
      <c r="U26" s="39">
        <f t="shared" si="3"/>
        <v>-264571.00763694529</v>
      </c>
      <c r="V26" s="39">
        <f t="shared" si="3"/>
        <v>-221043.92226583048</v>
      </c>
      <c r="W26" s="39">
        <f t="shared" si="3"/>
        <v>-203225.48909137549</v>
      </c>
      <c r="X26" s="39">
        <f t="shared" si="3"/>
        <v>-181744.34879332758</v>
      </c>
      <c r="Y26" s="39">
        <f t="shared" si="3"/>
        <v>-173262.41822599212</v>
      </c>
      <c r="Z26" s="39">
        <f t="shared" si="3"/>
        <v>-173262.41822599212</v>
      </c>
    </row>
    <row r="28" spans="1:26" s="1" customFormat="1" x14ac:dyDescent="0.25">
      <c r="A28" s="25"/>
      <c r="B28" s="45"/>
      <c r="C28" s="45"/>
      <c r="D28" s="45"/>
      <c r="E28" s="45"/>
      <c r="F28" s="45"/>
      <c r="G28" s="45"/>
      <c r="H28" s="45"/>
      <c r="I28" s="45"/>
      <c r="J28" s="45"/>
      <c r="K28" s="45"/>
      <c r="L28" s="45"/>
    </row>
    <row r="30" spans="1:26" ht="38.25" customHeight="1" x14ac:dyDescent="0.25">
      <c r="A30" s="11" t="s">
        <v>169</v>
      </c>
      <c r="B30" s="32"/>
      <c r="C30" s="76"/>
      <c r="D30" s="77"/>
      <c r="E30" s="32"/>
      <c r="F30" s="126" t="s">
        <v>105</v>
      </c>
      <c r="G30" s="32"/>
      <c r="H30" s="32"/>
      <c r="I30" s="32"/>
      <c r="J30" s="32"/>
      <c r="K30" s="32"/>
      <c r="L30" s="32"/>
      <c r="M30" s="11"/>
    </row>
    <row r="31" spans="1:26" ht="38.25" customHeight="1" x14ac:dyDescent="0.25">
      <c r="A31" s="11"/>
      <c r="B31" s="32"/>
      <c r="C31" s="76"/>
      <c r="D31" s="77"/>
      <c r="E31" s="32"/>
      <c r="F31" s="126"/>
      <c r="G31" s="32"/>
      <c r="H31" s="32"/>
      <c r="I31" s="32"/>
      <c r="J31" s="32"/>
      <c r="K31" s="32"/>
      <c r="L31" s="32"/>
      <c r="M31" s="11"/>
    </row>
    <row r="32" spans="1:26" x14ac:dyDescent="0.25">
      <c r="A32" s="10" t="s">
        <v>22</v>
      </c>
      <c r="B32" s="28">
        <v>0</v>
      </c>
      <c r="C32" s="28">
        <v>1</v>
      </c>
      <c r="D32" s="28">
        <v>2</v>
      </c>
      <c r="E32" s="28">
        <v>3</v>
      </c>
      <c r="F32" s="28">
        <v>4</v>
      </c>
      <c r="G32" s="28">
        <v>5</v>
      </c>
      <c r="H32" s="28">
        <v>6</v>
      </c>
      <c r="I32" s="28">
        <v>7</v>
      </c>
      <c r="J32" s="28">
        <v>8</v>
      </c>
      <c r="K32" s="28">
        <v>9</v>
      </c>
      <c r="L32" s="28">
        <v>10</v>
      </c>
      <c r="M32" s="28">
        <v>11</v>
      </c>
      <c r="N32" s="28">
        <v>12</v>
      </c>
      <c r="O32" s="28">
        <v>13</v>
      </c>
      <c r="P32" s="28">
        <v>14</v>
      </c>
      <c r="Q32" s="28">
        <v>15</v>
      </c>
      <c r="R32" s="28">
        <v>16</v>
      </c>
      <c r="S32" s="28">
        <v>17</v>
      </c>
      <c r="T32" s="28">
        <v>18</v>
      </c>
      <c r="U32" s="28">
        <v>19</v>
      </c>
      <c r="V32" s="28">
        <v>20</v>
      </c>
      <c r="W32" s="28">
        <v>21</v>
      </c>
      <c r="X32" s="28">
        <v>22</v>
      </c>
      <c r="Y32" s="28">
        <v>23</v>
      </c>
      <c r="Z32" s="28">
        <v>24</v>
      </c>
    </row>
    <row r="33" spans="1:26" x14ac:dyDescent="0.25">
      <c r="A33" s="24" t="s">
        <v>23</v>
      </c>
    </row>
    <row r="34" spans="1:26" x14ac:dyDescent="0.25">
      <c r="A34" s="10" t="str">
        <f t="shared" ref="A34:Z34" si="4">A6</f>
        <v>Small Crab Sale ($)</v>
      </c>
      <c r="B34" s="33">
        <f t="shared" si="4"/>
        <v>0</v>
      </c>
      <c r="C34" s="33">
        <f t="shared" si="4"/>
        <v>160650.00000000003</v>
      </c>
      <c r="D34" s="33">
        <f t="shared" si="4"/>
        <v>409657.50000000006</v>
      </c>
      <c r="E34" s="33">
        <f t="shared" si="4"/>
        <v>597025.00871999993</v>
      </c>
      <c r="F34" s="33">
        <f t="shared" si="4"/>
        <v>852415.32600000012</v>
      </c>
      <c r="G34" s="33">
        <f t="shared" si="4"/>
        <v>869463.6325200001</v>
      </c>
      <c r="H34" s="33">
        <f t="shared" si="4"/>
        <v>791959.64431716723</v>
      </c>
      <c r="I34" s="33">
        <f t="shared" si="4"/>
        <v>904589.96327380801</v>
      </c>
      <c r="J34" s="33">
        <f t="shared" si="4"/>
        <v>922681.76253928419</v>
      </c>
      <c r="K34" s="33">
        <f t="shared" si="4"/>
        <v>840433.91022653237</v>
      </c>
      <c r="L34" s="33">
        <f t="shared" si="4"/>
        <v>959958.10574587132</v>
      </c>
      <c r="M34" s="33">
        <f t="shared" si="4"/>
        <v>979157.26786078862</v>
      </c>
      <c r="N34" s="33">
        <f t="shared" si="4"/>
        <v>891875.18900367804</v>
      </c>
      <c r="O34" s="33">
        <f t="shared" si="4"/>
        <v>1018715.2214823646</v>
      </c>
      <c r="P34" s="33">
        <f t="shared" si="4"/>
        <v>1039089.525912012</v>
      </c>
      <c r="Q34" s="33">
        <f t="shared" si="4"/>
        <v>946465.08557221491</v>
      </c>
      <c r="R34" s="33">
        <f t="shared" si="4"/>
        <v>1081068.7427588571</v>
      </c>
      <c r="S34" s="33">
        <f t="shared" si="4"/>
        <v>1102690.1176140343</v>
      </c>
      <c r="T34" s="33">
        <f t="shared" si="4"/>
        <v>1004396.3205299192</v>
      </c>
      <c r="U34" s="33">
        <f t="shared" si="4"/>
        <v>1147238.7983656412</v>
      </c>
      <c r="V34" s="33">
        <f t="shared" si="4"/>
        <v>1170183.5743329541</v>
      </c>
      <c r="W34" s="33">
        <f t="shared" si="4"/>
        <v>852698.72841353144</v>
      </c>
      <c r="X34" s="33">
        <f t="shared" si="4"/>
        <v>608729.49536800268</v>
      </c>
      <c r="Y34" s="33">
        <f t="shared" si="4"/>
        <v>248361.63411014507</v>
      </c>
      <c r="Z34" s="33">
        <f t="shared" si="4"/>
        <v>0</v>
      </c>
    </row>
    <row r="35" spans="1:26" s="13" customFormat="1" x14ac:dyDescent="0.25">
      <c r="A35" s="24" t="s">
        <v>58</v>
      </c>
      <c r="B35" s="41">
        <f>B7</f>
        <v>0</v>
      </c>
      <c r="C35" s="41">
        <f t="shared" ref="C35:Z35" si="5">C7</f>
        <v>160650.00000000003</v>
      </c>
      <c r="D35" s="41">
        <f t="shared" si="5"/>
        <v>409657.50000000006</v>
      </c>
      <c r="E35" s="41">
        <f t="shared" si="5"/>
        <v>597025.00871999993</v>
      </c>
      <c r="F35" s="41">
        <f t="shared" si="5"/>
        <v>852415.32600000012</v>
      </c>
      <c r="G35" s="41">
        <f t="shared" si="5"/>
        <v>869463.6325200001</v>
      </c>
      <c r="H35" s="41">
        <f t="shared" si="5"/>
        <v>791959.64431716723</v>
      </c>
      <c r="I35" s="41">
        <f t="shared" si="5"/>
        <v>904589.96327380801</v>
      </c>
      <c r="J35" s="41">
        <f t="shared" si="5"/>
        <v>922681.76253928419</v>
      </c>
      <c r="K35" s="41">
        <f t="shared" si="5"/>
        <v>840433.91022653237</v>
      </c>
      <c r="L35" s="41">
        <f t="shared" si="5"/>
        <v>959958.10574587132</v>
      </c>
      <c r="M35" s="41">
        <f t="shared" si="5"/>
        <v>979157.26786078862</v>
      </c>
      <c r="N35" s="41">
        <f t="shared" si="5"/>
        <v>891875.18900367804</v>
      </c>
      <c r="O35" s="41">
        <f t="shared" si="5"/>
        <v>1018715.2214823646</v>
      </c>
      <c r="P35" s="41">
        <f t="shared" si="5"/>
        <v>1039089.525912012</v>
      </c>
      <c r="Q35" s="41">
        <f t="shared" si="5"/>
        <v>946465.08557221491</v>
      </c>
      <c r="R35" s="41">
        <f t="shared" si="5"/>
        <v>1081068.7427588571</v>
      </c>
      <c r="S35" s="41">
        <f t="shared" si="5"/>
        <v>1102690.1176140343</v>
      </c>
      <c r="T35" s="41">
        <f t="shared" si="5"/>
        <v>1004396.3205299192</v>
      </c>
      <c r="U35" s="41">
        <f t="shared" si="5"/>
        <v>1147238.7983656412</v>
      </c>
      <c r="V35" s="41">
        <f t="shared" si="5"/>
        <v>1170183.5743329541</v>
      </c>
      <c r="W35" s="41">
        <f t="shared" si="5"/>
        <v>852698.72841353144</v>
      </c>
      <c r="X35" s="41">
        <f t="shared" si="5"/>
        <v>608729.49536800268</v>
      </c>
      <c r="Y35" s="41">
        <f t="shared" si="5"/>
        <v>248361.63411014507</v>
      </c>
      <c r="Z35" s="41">
        <f t="shared" si="5"/>
        <v>0</v>
      </c>
    </row>
    <row r="36" spans="1:26" x14ac:dyDescent="0.25">
      <c r="A36" s="24"/>
      <c r="B36" s="44"/>
      <c r="C36" s="44"/>
      <c r="D36" s="44"/>
      <c r="E36" s="44"/>
      <c r="F36" s="44"/>
      <c r="G36" s="44"/>
      <c r="H36" s="44"/>
      <c r="I36" s="44"/>
      <c r="J36" s="44"/>
      <c r="K36" s="44"/>
    </row>
    <row r="37" spans="1:26" x14ac:dyDescent="0.25">
      <c r="A37" s="24" t="s">
        <v>24</v>
      </c>
    </row>
    <row r="38" spans="1:26" x14ac:dyDescent="0.25">
      <c r="A38" s="9" t="str">
        <f t="shared" ref="A38:Z38" si="6">A10</f>
        <v>Crab Nursery Establishment</v>
      </c>
      <c r="B38" s="35">
        <f t="shared" si="6"/>
        <v>0</v>
      </c>
      <c r="C38" s="35">
        <f t="shared" si="6"/>
        <v>40000</v>
      </c>
      <c r="D38" s="35">
        <f t="shared" si="6"/>
        <v>100000</v>
      </c>
      <c r="E38" s="35">
        <f t="shared" si="6"/>
        <v>160000</v>
      </c>
      <c r="F38" s="35">
        <f t="shared" si="6"/>
        <v>200000</v>
      </c>
      <c r="G38" s="35">
        <f t="shared" si="6"/>
        <v>200000</v>
      </c>
      <c r="H38" s="35">
        <f t="shared" si="6"/>
        <v>200000</v>
      </c>
      <c r="I38" s="35">
        <f t="shared" si="6"/>
        <v>200000</v>
      </c>
      <c r="J38" s="35">
        <f t="shared" si="6"/>
        <v>200000</v>
      </c>
      <c r="K38" s="35">
        <f t="shared" si="6"/>
        <v>200000</v>
      </c>
      <c r="L38" s="35">
        <f t="shared" si="6"/>
        <v>200000</v>
      </c>
      <c r="M38" s="35">
        <f t="shared" si="6"/>
        <v>200000</v>
      </c>
      <c r="N38" s="35">
        <f t="shared" si="6"/>
        <v>200000</v>
      </c>
      <c r="O38" s="35">
        <f t="shared" si="6"/>
        <v>200000</v>
      </c>
      <c r="P38" s="35">
        <f t="shared" si="6"/>
        <v>200000</v>
      </c>
      <c r="Q38" s="35">
        <f t="shared" si="6"/>
        <v>200000</v>
      </c>
      <c r="R38" s="35">
        <f t="shared" si="6"/>
        <v>200000</v>
      </c>
      <c r="S38" s="35">
        <f t="shared" si="6"/>
        <v>200000</v>
      </c>
      <c r="T38" s="35">
        <f t="shared" si="6"/>
        <v>200000</v>
      </c>
      <c r="U38" s="35">
        <f t="shared" si="6"/>
        <v>200000</v>
      </c>
      <c r="V38" s="35">
        <f t="shared" si="6"/>
        <v>200000</v>
      </c>
      <c r="W38" s="35">
        <f t="shared" si="6"/>
        <v>160000</v>
      </c>
      <c r="X38" s="35">
        <f t="shared" si="6"/>
        <v>100000</v>
      </c>
      <c r="Y38" s="35">
        <f t="shared" si="6"/>
        <v>40000</v>
      </c>
      <c r="Z38" s="35">
        <f t="shared" si="6"/>
        <v>0</v>
      </c>
    </row>
    <row r="39" spans="1:26" x14ac:dyDescent="0.25">
      <c r="A39" s="9" t="str">
        <f>A11</f>
        <v>Operation Cost (Crablet purchase)</v>
      </c>
      <c r="B39" s="35">
        <f t="shared" ref="B39:Z39" si="7">B11</f>
        <v>0</v>
      </c>
      <c r="C39" s="35">
        <f t="shared" si="7"/>
        <v>85000.000000000015</v>
      </c>
      <c r="D39" s="35">
        <f t="shared" si="7"/>
        <v>212500.00000000003</v>
      </c>
      <c r="E39" s="35">
        <f t="shared" si="7"/>
        <v>340000.00000000006</v>
      </c>
      <c r="F39" s="35">
        <f t="shared" si="7"/>
        <v>425000.00000000006</v>
      </c>
      <c r="G39" s="35">
        <f t="shared" si="7"/>
        <v>425000.00000000006</v>
      </c>
      <c r="H39" s="35">
        <f t="shared" si="7"/>
        <v>425000.00000000006</v>
      </c>
      <c r="I39" s="35">
        <f t="shared" si="7"/>
        <v>425000.00000000006</v>
      </c>
      <c r="J39" s="35">
        <f t="shared" si="7"/>
        <v>425000.00000000006</v>
      </c>
      <c r="K39" s="35">
        <f t="shared" si="7"/>
        <v>425000.00000000006</v>
      </c>
      <c r="L39" s="35">
        <f t="shared" si="7"/>
        <v>425000.00000000006</v>
      </c>
      <c r="M39" s="35">
        <f t="shared" si="7"/>
        <v>425000.00000000006</v>
      </c>
      <c r="N39" s="35">
        <f t="shared" si="7"/>
        <v>425000.00000000006</v>
      </c>
      <c r="O39" s="35">
        <f t="shared" si="7"/>
        <v>425000.00000000006</v>
      </c>
      <c r="P39" s="35">
        <f t="shared" si="7"/>
        <v>425000.00000000006</v>
      </c>
      <c r="Q39" s="35">
        <f t="shared" si="7"/>
        <v>425000.00000000006</v>
      </c>
      <c r="R39" s="35">
        <f t="shared" si="7"/>
        <v>425000.00000000006</v>
      </c>
      <c r="S39" s="35">
        <f t="shared" si="7"/>
        <v>425000.00000000006</v>
      </c>
      <c r="T39" s="35">
        <f t="shared" si="7"/>
        <v>425000.00000000006</v>
      </c>
      <c r="U39" s="35">
        <f t="shared" si="7"/>
        <v>425000.00000000006</v>
      </c>
      <c r="V39" s="35">
        <f t="shared" si="7"/>
        <v>425000.00000000006</v>
      </c>
      <c r="W39" s="35">
        <f t="shared" si="7"/>
        <v>340000.00000000006</v>
      </c>
      <c r="X39" s="35">
        <f t="shared" si="7"/>
        <v>212500.00000000003</v>
      </c>
      <c r="Y39" s="35">
        <f t="shared" si="7"/>
        <v>85000.000000000015</v>
      </c>
      <c r="Z39" s="35">
        <f t="shared" si="7"/>
        <v>0</v>
      </c>
    </row>
    <row r="40" spans="1:26" x14ac:dyDescent="0.25">
      <c r="A40" s="9" t="str">
        <f>A12</f>
        <v>Feed</v>
      </c>
      <c r="B40" s="35">
        <f t="shared" ref="B40:Z40" si="8">B12</f>
        <v>0</v>
      </c>
      <c r="C40" s="35">
        <f t="shared" si="8"/>
        <v>5000</v>
      </c>
      <c r="D40" s="35">
        <f t="shared" si="8"/>
        <v>12500</v>
      </c>
      <c r="E40" s="35">
        <f t="shared" si="8"/>
        <v>20807.499999999993</v>
      </c>
      <c r="F40" s="35">
        <f t="shared" si="8"/>
        <v>25000</v>
      </c>
      <c r="G40" s="35">
        <f t="shared" si="8"/>
        <v>25000</v>
      </c>
      <c r="H40" s="35">
        <f t="shared" si="8"/>
        <v>26009.374999999993</v>
      </c>
      <c r="I40" s="35">
        <f t="shared" si="8"/>
        <v>25000</v>
      </c>
      <c r="J40" s="35">
        <f t="shared" si="8"/>
        <v>25000</v>
      </c>
      <c r="K40" s="35">
        <f t="shared" si="8"/>
        <v>26009.374999999993</v>
      </c>
      <c r="L40" s="35">
        <f t="shared" si="8"/>
        <v>25000</v>
      </c>
      <c r="M40" s="35">
        <f t="shared" si="8"/>
        <v>25000</v>
      </c>
      <c r="N40" s="35">
        <f t="shared" si="8"/>
        <v>26009.374999999993</v>
      </c>
      <c r="O40" s="35">
        <f t="shared" si="8"/>
        <v>25000</v>
      </c>
      <c r="P40" s="35">
        <f t="shared" si="8"/>
        <v>25000</v>
      </c>
      <c r="Q40" s="35">
        <f t="shared" si="8"/>
        <v>26009.374999999993</v>
      </c>
      <c r="R40" s="35">
        <f t="shared" si="8"/>
        <v>25000</v>
      </c>
      <c r="S40" s="35">
        <f t="shared" si="8"/>
        <v>25000</v>
      </c>
      <c r="T40" s="35">
        <f t="shared" si="8"/>
        <v>26009.374999999993</v>
      </c>
      <c r="U40" s="35">
        <f t="shared" si="8"/>
        <v>25000</v>
      </c>
      <c r="V40" s="35">
        <f t="shared" si="8"/>
        <v>25000</v>
      </c>
      <c r="W40" s="35">
        <f t="shared" si="8"/>
        <v>20807.499999999993</v>
      </c>
      <c r="X40" s="35">
        <f t="shared" si="8"/>
        <v>12500</v>
      </c>
      <c r="Y40" s="35">
        <f t="shared" si="8"/>
        <v>5000</v>
      </c>
      <c r="Z40" s="35">
        <f t="shared" si="8"/>
        <v>0</v>
      </c>
    </row>
    <row r="41" spans="1:26" x14ac:dyDescent="0.25">
      <c r="A41" s="9" t="str">
        <f>A13</f>
        <v>Land rent</v>
      </c>
      <c r="B41" s="35">
        <f t="shared" ref="B41:Z42" si="9">B13</f>
        <v>0</v>
      </c>
      <c r="C41" s="35">
        <f t="shared" si="9"/>
        <v>4000</v>
      </c>
      <c r="D41" s="35">
        <f t="shared" si="9"/>
        <v>10000</v>
      </c>
      <c r="E41" s="35">
        <f t="shared" si="9"/>
        <v>16000</v>
      </c>
      <c r="F41" s="35">
        <f t="shared" si="9"/>
        <v>20000</v>
      </c>
      <c r="G41" s="35">
        <f t="shared" si="9"/>
        <v>20000</v>
      </c>
      <c r="H41" s="35">
        <f t="shared" si="9"/>
        <v>20000</v>
      </c>
      <c r="I41" s="35">
        <f t="shared" si="9"/>
        <v>20000</v>
      </c>
      <c r="J41" s="35">
        <f t="shared" si="9"/>
        <v>20000</v>
      </c>
      <c r="K41" s="35">
        <f t="shared" si="9"/>
        <v>20000</v>
      </c>
      <c r="L41" s="35">
        <f t="shared" si="9"/>
        <v>20000</v>
      </c>
      <c r="M41" s="35">
        <f t="shared" si="9"/>
        <v>20000</v>
      </c>
      <c r="N41" s="35">
        <f t="shared" si="9"/>
        <v>20000</v>
      </c>
      <c r="O41" s="35">
        <f t="shared" si="9"/>
        <v>20000</v>
      </c>
      <c r="P41" s="35">
        <f t="shared" si="9"/>
        <v>20000</v>
      </c>
      <c r="Q41" s="35">
        <f t="shared" si="9"/>
        <v>20000</v>
      </c>
      <c r="R41" s="35">
        <f t="shared" si="9"/>
        <v>20000</v>
      </c>
      <c r="S41" s="35">
        <f t="shared" si="9"/>
        <v>20000</v>
      </c>
      <c r="T41" s="35">
        <f t="shared" si="9"/>
        <v>20000</v>
      </c>
      <c r="U41" s="35">
        <f t="shared" si="9"/>
        <v>20000</v>
      </c>
      <c r="V41" s="35">
        <f t="shared" si="9"/>
        <v>20000</v>
      </c>
      <c r="W41" s="35">
        <f t="shared" si="9"/>
        <v>16000</v>
      </c>
      <c r="X41" s="35">
        <f t="shared" si="9"/>
        <v>10000</v>
      </c>
      <c r="Y41" s="35">
        <f t="shared" si="9"/>
        <v>4000</v>
      </c>
      <c r="Z41" s="35">
        <f t="shared" si="9"/>
        <v>0</v>
      </c>
    </row>
    <row r="42" spans="1:26" x14ac:dyDescent="0.25">
      <c r="A42" s="9" t="str">
        <f>A14</f>
        <v>Labor</v>
      </c>
      <c r="B42" s="35">
        <f t="shared" si="9"/>
        <v>0</v>
      </c>
      <c r="C42" s="35">
        <f t="shared" si="9"/>
        <v>42420</v>
      </c>
      <c r="D42" s="35">
        <f t="shared" si="9"/>
        <v>107110.5</v>
      </c>
      <c r="E42" s="35">
        <f t="shared" si="9"/>
        <v>173090.56799999997</v>
      </c>
      <c r="F42" s="35">
        <f t="shared" si="9"/>
        <v>218526.84210000001</v>
      </c>
      <c r="G42" s="35">
        <f t="shared" si="9"/>
        <v>220712.11052099997</v>
      </c>
      <c r="H42" s="35">
        <f t="shared" si="9"/>
        <v>222919.23162621004</v>
      </c>
      <c r="I42" s="35">
        <f t="shared" si="9"/>
        <v>225148.42394247209</v>
      </c>
      <c r="J42" s="35">
        <f t="shared" si="9"/>
        <v>227399.90818189684</v>
      </c>
      <c r="K42" s="35">
        <f t="shared" si="9"/>
        <v>229673.90726371581</v>
      </c>
      <c r="L42" s="35">
        <f t="shared" si="9"/>
        <v>231970.64633635298</v>
      </c>
      <c r="M42" s="35">
        <f t="shared" si="9"/>
        <v>234290.35279971649</v>
      </c>
      <c r="N42" s="35">
        <f t="shared" si="9"/>
        <v>236633.25632771364</v>
      </c>
      <c r="O42" s="35">
        <f t="shared" si="9"/>
        <v>238999.5888909908</v>
      </c>
      <c r="P42" s="35">
        <f t="shared" si="9"/>
        <v>241389.58477990073</v>
      </c>
      <c r="Q42" s="35">
        <f t="shared" si="9"/>
        <v>243803.4806276997</v>
      </c>
      <c r="R42" s="35">
        <f t="shared" si="9"/>
        <v>246241.51543397675</v>
      </c>
      <c r="S42" s="35">
        <f t="shared" si="9"/>
        <v>248703.93058831652</v>
      </c>
      <c r="T42" s="35">
        <f t="shared" si="9"/>
        <v>251190.96989419969</v>
      </c>
      <c r="U42" s="35">
        <f t="shared" si="9"/>
        <v>253702.87959314164</v>
      </c>
      <c r="V42" s="35">
        <f t="shared" si="9"/>
        <v>256239.9083890731</v>
      </c>
      <c r="W42" s="35">
        <f t="shared" si="9"/>
        <v>207041.84597837101</v>
      </c>
      <c r="X42" s="35">
        <f t="shared" si="9"/>
        <v>130695.16527384675</v>
      </c>
      <c r="Y42" s="35">
        <f t="shared" si="9"/>
        <v>52800.846770634074</v>
      </c>
      <c r="Z42" s="35">
        <f t="shared" si="9"/>
        <v>0</v>
      </c>
    </row>
    <row r="43" spans="1:26" s="54" customFormat="1" x14ac:dyDescent="0.25">
      <c r="A43" s="56" t="str">
        <f t="shared" ref="A43" si="10">A15</f>
        <v>Debt Service</v>
      </c>
      <c r="B43" s="53">
        <f>Assumption_Nursery!D53</f>
        <v>0</v>
      </c>
      <c r="C43" s="53">
        <f>Assumption_Nursery!E53</f>
        <v>24800</v>
      </c>
      <c r="D43" s="53">
        <f>Assumption_Nursery!F53</f>
        <v>37200</v>
      </c>
      <c r="E43" s="53">
        <f>Assumption_Nursery!G53</f>
        <v>37200</v>
      </c>
      <c r="F43" s="53">
        <f>Assumption_Nursery!H53</f>
        <v>24800</v>
      </c>
      <c r="G43" s="53">
        <f>Assumption_Nursery!I53</f>
        <v>0</v>
      </c>
      <c r="H43" s="53">
        <f>Assumption_Nursery!J53</f>
        <v>0</v>
      </c>
      <c r="I43" s="53">
        <f>Assumption_Nursery!K53</f>
        <v>0</v>
      </c>
      <c r="J43" s="53">
        <f>Assumption_Nursery!L53</f>
        <v>0</v>
      </c>
      <c r="K43" s="53">
        <f>Assumption_Nursery!M53</f>
        <v>0</v>
      </c>
      <c r="L43" s="53">
        <f>Assumption_Nursery!N53</f>
        <v>0</v>
      </c>
      <c r="M43" s="53">
        <f>Assumption_Nursery!O53</f>
        <v>0</v>
      </c>
      <c r="N43" s="53">
        <f>Assumption_Nursery!P53</f>
        <v>0</v>
      </c>
      <c r="O43" s="53">
        <f>Assumption_Nursery!Q53</f>
        <v>0</v>
      </c>
      <c r="P43" s="53">
        <f>Assumption_Nursery!R53</f>
        <v>0</v>
      </c>
      <c r="Q43" s="53">
        <f>Assumption_Nursery!S53</f>
        <v>0</v>
      </c>
      <c r="R43" s="53">
        <f>Assumption_Nursery!T53</f>
        <v>0</v>
      </c>
      <c r="S43" s="53">
        <f>Assumption_Nursery!U53</f>
        <v>0</v>
      </c>
      <c r="T43" s="53">
        <f>Assumption_Nursery!V53</f>
        <v>0</v>
      </c>
      <c r="U43" s="53">
        <f>Assumption_Nursery!W53</f>
        <v>0</v>
      </c>
      <c r="V43" s="53">
        <f>Assumption_Nursery!X53</f>
        <v>0</v>
      </c>
      <c r="W43" s="53">
        <f>Assumption_Nursery!Y53</f>
        <v>0</v>
      </c>
      <c r="X43" s="53">
        <f>Assumption_Nursery!Z53</f>
        <v>0</v>
      </c>
      <c r="Y43" s="53">
        <f>Assumption_Nursery!AA53</f>
        <v>0</v>
      </c>
      <c r="Z43" s="53">
        <f>Assumption_Nursery!AB53</f>
        <v>0</v>
      </c>
    </row>
    <row r="44" spans="1:26" x14ac:dyDescent="0.25">
      <c r="A44" s="127" t="s">
        <v>59</v>
      </c>
      <c r="B44" s="40">
        <f t="shared" ref="B44:Z44" si="11">SUM(B38:B43)</f>
        <v>0</v>
      </c>
      <c r="C44" s="40">
        <f t="shared" si="11"/>
        <v>201220</v>
      </c>
      <c r="D44" s="40">
        <f t="shared" si="11"/>
        <v>479310.5</v>
      </c>
      <c r="E44" s="40">
        <f t="shared" si="11"/>
        <v>747098.06799999997</v>
      </c>
      <c r="F44" s="40">
        <f t="shared" si="11"/>
        <v>913326.84210000001</v>
      </c>
      <c r="G44" s="40">
        <f t="shared" si="11"/>
        <v>890712.110521</v>
      </c>
      <c r="H44" s="40">
        <f t="shared" si="11"/>
        <v>893928.60662621004</v>
      </c>
      <c r="I44" s="40">
        <f t="shared" si="11"/>
        <v>895148.42394247209</v>
      </c>
      <c r="J44" s="40">
        <f t="shared" si="11"/>
        <v>897399.9081818969</v>
      </c>
      <c r="K44" s="40">
        <f t="shared" si="11"/>
        <v>900683.28226371575</v>
      </c>
      <c r="L44" s="40">
        <f t="shared" si="11"/>
        <v>901970.64633635292</v>
      </c>
      <c r="M44" s="40">
        <f t="shared" si="11"/>
        <v>904290.35279971652</v>
      </c>
      <c r="N44" s="40">
        <f t="shared" si="11"/>
        <v>907642.63132771361</v>
      </c>
      <c r="O44" s="40">
        <f t="shared" si="11"/>
        <v>908999.58889099082</v>
      </c>
      <c r="P44" s="40">
        <f t="shared" si="11"/>
        <v>911389.58477990073</v>
      </c>
      <c r="Q44" s="40">
        <f t="shared" si="11"/>
        <v>914812.85562769976</v>
      </c>
      <c r="R44" s="40">
        <f t="shared" si="11"/>
        <v>916241.51543397678</v>
      </c>
      <c r="S44" s="40">
        <f t="shared" si="11"/>
        <v>918703.93058831652</v>
      </c>
      <c r="T44" s="40">
        <f t="shared" si="11"/>
        <v>922200.34489419963</v>
      </c>
      <c r="U44" s="40">
        <f t="shared" si="11"/>
        <v>923702.87959314161</v>
      </c>
      <c r="V44" s="40">
        <f t="shared" si="11"/>
        <v>926239.9083890731</v>
      </c>
      <c r="W44" s="40">
        <f t="shared" si="11"/>
        <v>743849.34597837098</v>
      </c>
      <c r="X44" s="40">
        <f t="shared" si="11"/>
        <v>465695.16527384677</v>
      </c>
      <c r="Y44" s="40">
        <f t="shared" si="11"/>
        <v>186800.84677063406</v>
      </c>
      <c r="Z44" s="40">
        <f t="shared" si="11"/>
        <v>0</v>
      </c>
    </row>
    <row r="45" spans="1:26" x14ac:dyDescent="0.25">
      <c r="B45" s="34"/>
      <c r="C45" s="34"/>
      <c r="D45" s="34"/>
      <c r="E45" s="34"/>
      <c r="F45" s="34"/>
      <c r="G45" s="34"/>
      <c r="H45" s="34"/>
      <c r="I45" s="34"/>
      <c r="J45" s="34"/>
      <c r="K45" s="34"/>
      <c r="L45" s="34"/>
    </row>
    <row r="46" spans="1:26" x14ac:dyDescent="0.25">
      <c r="A46" s="24" t="s">
        <v>60</v>
      </c>
      <c r="B46" s="36">
        <f t="shared" ref="B46:Z46" si="12">B35-B44</f>
        <v>0</v>
      </c>
      <c r="C46" s="36">
        <f t="shared" si="12"/>
        <v>-40569.999999999971</v>
      </c>
      <c r="D46" s="36">
        <f t="shared" si="12"/>
        <v>-69652.999999999942</v>
      </c>
      <c r="E46" s="36">
        <f t="shared" si="12"/>
        <v>-150073.05928000004</v>
      </c>
      <c r="F46" s="36">
        <f t="shared" si="12"/>
        <v>-60911.516099999892</v>
      </c>
      <c r="G46" s="36">
        <f t="shared" si="12"/>
        <v>-21248.478000999894</v>
      </c>
      <c r="H46" s="36">
        <f t="shared" si="12"/>
        <v>-101968.96230904281</v>
      </c>
      <c r="I46" s="36">
        <f t="shared" si="12"/>
        <v>9441.5393313359236</v>
      </c>
      <c r="J46" s="36">
        <f t="shared" si="12"/>
        <v>25281.854357387288</v>
      </c>
      <c r="K46" s="36">
        <f t="shared" si="12"/>
        <v>-60249.372037183377</v>
      </c>
      <c r="L46" s="36">
        <f t="shared" si="12"/>
        <v>57987.4594095184</v>
      </c>
      <c r="M46" s="36">
        <f t="shared" si="12"/>
        <v>74866.915061072097</v>
      </c>
      <c r="N46" s="36">
        <f t="shared" si="12"/>
        <v>-15767.442324035568</v>
      </c>
      <c r="O46" s="36">
        <f t="shared" si="12"/>
        <v>109715.63259137375</v>
      </c>
      <c r="P46" s="36">
        <f t="shared" si="12"/>
        <v>127699.94113211124</v>
      </c>
      <c r="Q46" s="36">
        <f t="shared" si="12"/>
        <v>31652.229944515158</v>
      </c>
      <c r="R46" s="36">
        <f t="shared" si="12"/>
        <v>164827.22732488031</v>
      </c>
      <c r="S46" s="36">
        <f t="shared" si="12"/>
        <v>183986.18702571781</v>
      </c>
      <c r="T46" s="36">
        <f t="shared" si="12"/>
        <v>82195.975635719602</v>
      </c>
      <c r="U46" s="36">
        <f t="shared" si="12"/>
        <v>223535.91877249954</v>
      </c>
      <c r="V46" s="36">
        <f t="shared" si="12"/>
        <v>243943.66594388103</v>
      </c>
      <c r="W46" s="36">
        <f t="shared" si="12"/>
        <v>108849.38243516046</v>
      </c>
      <c r="X46" s="36">
        <f t="shared" si="12"/>
        <v>143034.33009415591</v>
      </c>
      <c r="Y46" s="36">
        <f t="shared" si="12"/>
        <v>61560.787339511007</v>
      </c>
      <c r="Z46" s="36">
        <f t="shared" si="12"/>
        <v>0</v>
      </c>
    </row>
    <row r="47" spans="1:26" x14ac:dyDescent="0.25">
      <c r="B47" s="34"/>
      <c r="C47" s="34"/>
      <c r="D47" s="34"/>
      <c r="E47" s="34"/>
      <c r="F47" s="34"/>
      <c r="G47" s="34"/>
      <c r="H47" s="34"/>
      <c r="I47" s="34"/>
      <c r="J47" s="34"/>
      <c r="K47" s="34"/>
      <c r="L47" s="34"/>
    </row>
    <row r="48" spans="1:26" s="13" customFormat="1" x14ac:dyDescent="0.25">
      <c r="A48" s="24" t="s">
        <v>61</v>
      </c>
      <c r="B48" s="42">
        <f>B46/(1+Assumption_Hatchery!$C76)^B32</f>
        <v>0</v>
      </c>
      <c r="C48" s="42">
        <f>C46/(1+Assumption_Hatchery!$C76)^C32</f>
        <v>-37220.1834862385</v>
      </c>
      <c r="D48" s="42">
        <f>D46/(1+Assumption_Hatchery!$C76)^D32</f>
        <v>-58625.536570995653</v>
      </c>
      <c r="E48" s="42">
        <f>E46/(1+Assumption_Hatchery!$C76)^E32</f>
        <v>-115883.93717824081</v>
      </c>
      <c r="F48" s="42">
        <f>F46/(1+Assumption_Hatchery!$C76)^F32</f>
        <v>-43151.253649443534</v>
      </c>
      <c r="G48" s="42">
        <f>G46/(1+Assumption_Hatchery!$C76)^G32</f>
        <v>-13810.052763919753</v>
      </c>
      <c r="H48" s="42">
        <f>H46/(1+Assumption_Hatchery!$C76)^H32</f>
        <v>-60800.760580660462</v>
      </c>
      <c r="I48" s="42">
        <f>I46/(1+Assumption_Hatchery!$C76)^I32</f>
        <v>5164.8453382758262</v>
      </c>
      <c r="J48" s="42">
        <f>J46/(1+Assumption_Hatchery!$C76)^J32</f>
        <v>12688.11018957072</v>
      </c>
      <c r="K48" s="42">
        <f>K46/(1+Assumption_Hatchery!$C76)^K32</f>
        <v>-27740.484584331858</v>
      </c>
      <c r="L48" s="42">
        <f>L46/(1+Assumption_Hatchery!$C76)^L32</f>
        <v>24494.529519005675</v>
      </c>
      <c r="M48" s="42">
        <f>M46/(1+Assumption_Hatchery!$C76)^M32</f>
        <v>29013.388991503183</v>
      </c>
      <c r="N48" s="42">
        <f>N46/(1+Assumption_Hatchery!$C76)^N32</f>
        <v>-5605.8732722642044</v>
      </c>
      <c r="O48" s="42">
        <f>O46/(1+Assumption_Hatchery!$C76)^O32</f>
        <v>35786.896580689026</v>
      </c>
      <c r="P48" s="42">
        <f>P46/(1+Assumption_Hatchery!$C76)^P32</f>
        <v>38213.755968489189</v>
      </c>
      <c r="Q48" s="42">
        <f>Q46/(1+Assumption_Hatchery!$C76)^Q32</f>
        <v>8689.7412121596062</v>
      </c>
      <c r="R48" s="42">
        <f>R46/(1+Assumption_Hatchery!$C76)^R32</f>
        <v>41514.994628297834</v>
      </c>
      <c r="S48" s="42">
        <f>S46/(1+Assumption_Hatchery!$C76)^S32</f>
        <v>42514.272716698535</v>
      </c>
      <c r="T48" s="42">
        <f>T46/(1+Assumption_Hatchery!$C76)^T32</f>
        <v>17425.032300320076</v>
      </c>
      <c r="U48" s="42">
        <f>U46/(1+Assumption_Hatchery!$C76)^U32</f>
        <v>43475.427044512289</v>
      </c>
      <c r="V48" s="42">
        <f>V46/(1+Assumption_Hatchery!$C76)^V32</f>
        <v>43527.085371114808</v>
      </c>
      <c r="W48" s="42">
        <f>W46/(1+Assumption_Hatchery!$C76)^W32</f>
        <v>17818.433174454996</v>
      </c>
      <c r="X48" s="42">
        <f>X46/(1+Assumption_Hatchery!$C76)^X32</f>
        <v>21481.140298047914</v>
      </c>
      <c r="Y48" s="42">
        <f>Y46/(1+Assumption_Hatchery!$C76)^Y32</f>
        <v>8481.9305673354556</v>
      </c>
      <c r="Z48" s="42">
        <f>Z46/(1+Assumption_Hatchery!$C76)^Z32</f>
        <v>0</v>
      </c>
    </row>
    <row r="49" spans="1:26" x14ac:dyDescent="0.25">
      <c r="B49" s="34"/>
      <c r="C49" s="34"/>
      <c r="D49" s="34"/>
      <c r="E49" s="34"/>
      <c r="F49" s="34"/>
      <c r="G49" s="34"/>
      <c r="H49" s="34"/>
      <c r="I49" s="34"/>
      <c r="J49" s="34"/>
      <c r="K49" s="34"/>
      <c r="L49" s="34"/>
    </row>
    <row r="50" spans="1:26" s="13" customFormat="1" x14ac:dyDescent="0.25">
      <c r="A50" s="26" t="s">
        <v>62</v>
      </c>
      <c r="B50" s="37">
        <f>NPV(Assumption_Hatchery!C76,C46:Z46)+B46</f>
        <v>27451.501814380281</v>
      </c>
      <c r="C50" s="43"/>
      <c r="D50" s="43"/>
      <c r="E50" s="43"/>
      <c r="F50" s="43"/>
      <c r="G50" s="43"/>
      <c r="H50" s="43"/>
      <c r="I50" s="43"/>
      <c r="J50" s="43"/>
      <c r="K50" s="43"/>
      <c r="L50" s="43"/>
    </row>
    <row r="52" spans="1:26" s="13" customFormat="1" x14ac:dyDescent="0.25">
      <c r="A52" s="26" t="s">
        <v>25</v>
      </c>
      <c r="B52" s="38">
        <f>IRR(B46:Z46)</f>
        <v>9.6585087839360151E-2</v>
      </c>
      <c r="C52" s="4"/>
      <c r="D52" s="4"/>
      <c r="E52" s="4"/>
      <c r="F52" s="4"/>
      <c r="G52" s="4"/>
      <c r="H52" s="4"/>
      <c r="I52" s="4"/>
      <c r="J52" s="4"/>
      <c r="K52" s="4"/>
      <c r="L52" s="4"/>
    </row>
    <row r="54" spans="1:26" s="13" customFormat="1" x14ac:dyDescent="0.25">
      <c r="A54" s="27" t="s">
        <v>63</v>
      </c>
      <c r="B54" s="39">
        <f>B48</f>
        <v>0</v>
      </c>
      <c r="C54" s="39">
        <f>B54+C48</f>
        <v>-37220.1834862385</v>
      </c>
      <c r="D54" s="39">
        <f t="shared" ref="D54:Z54" si="13">C54+D48</f>
        <v>-95845.720057234154</v>
      </c>
      <c r="E54" s="39">
        <f t="shared" si="13"/>
        <v>-211729.65723547497</v>
      </c>
      <c r="F54" s="39">
        <f t="shared" si="13"/>
        <v>-254880.9108849185</v>
      </c>
      <c r="G54" s="39">
        <f t="shared" si="13"/>
        <v>-268690.96364883822</v>
      </c>
      <c r="H54" s="39">
        <f t="shared" si="13"/>
        <v>-329491.72422949871</v>
      </c>
      <c r="I54" s="39">
        <f t="shared" si="13"/>
        <v>-324326.87889122288</v>
      </c>
      <c r="J54" s="39">
        <f t="shared" si="13"/>
        <v>-311638.76870165218</v>
      </c>
      <c r="K54" s="39">
        <f t="shared" si="13"/>
        <v>-339379.25328598404</v>
      </c>
      <c r="L54" s="39">
        <f t="shared" si="13"/>
        <v>-314884.72376697836</v>
      </c>
      <c r="M54" s="39">
        <f t="shared" si="13"/>
        <v>-285871.3347754752</v>
      </c>
      <c r="N54" s="39">
        <f t="shared" si="13"/>
        <v>-291477.2080477394</v>
      </c>
      <c r="O54" s="39">
        <f t="shared" si="13"/>
        <v>-255690.31146705037</v>
      </c>
      <c r="P54" s="39">
        <f t="shared" si="13"/>
        <v>-217476.55549856118</v>
      </c>
      <c r="Q54" s="39">
        <f t="shared" si="13"/>
        <v>-208786.81428640158</v>
      </c>
      <c r="R54" s="39">
        <f t="shared" si="13"/>
        <v>-167271.81965810375</v>
      </c>
      <c r="S54" s="39">
        <f t="shared" si="13"/>
        <v>-124757.54694140522</v>
      </c>
      <c r="T54" s="39">
        <f t="shared" si="13"/>
        <v>-107332.51464108514</v>
      </c>
      <c r="U54" s="39">
        <f t="shared" si="13"/>
        <v>-63857.087596572856</v>
      </c>
      <c r="V54" s="39">
        <f t="shared" si="13"/>
        <v>-20330.002225458047</v>
      </c>
      <c r="W54" s="39">
        <f t="shared" si="13"/>
        <v>-2511.5690510030508</v>
      </c>
      <c r="X54" s="39">
        <f t="shared" si="13"/>
        <v>18969.571247044863</v>
      </c>
      <c r="Y54" s="39">
        <f t="shared" si="13"/>
        <v>27451.501814380317</v>
      </c>
      <c r="Z54" s="39">
        <f t="shared" si="13"/>
        <v>27451.501814380317</v>
      </c>
    </row>
    <row r="55" spans="1:26" ht="38.25" customHeight="1" x14ac:dyDescent="0.25">
      <c r="A55" s="11"/>
      <c r="B55" s="32"/>
      <c r="C55" s="76"/>
      <c r="D55" s="77"/>
      <c r="E55" s="32"/>
      <c r="F55" s="126"/>
      <c r="G55" s="32"/>
      <c r="H55" s="32"/>
      <c r="I55" s="32"/>
      <c r="J55" s="32"/>
      <c r="K55" s="32"/>
      <c r="L55" s="32"/>
      <c r="M55" s="11"/>
    </row>
    <row r="56" spans="1:26" s="1" customFormat="1" x14ac:dyDescent="0.25">
      <c r="A56" s="25"/>
      <c r="B56" s="45"/>
      <c r="C56" s="45"/>
      <c r="D56" s="45"/>
      <c r="E56" s="45"/>
      <c r="F56" s="45"/>
      <c r="G56" s="45"/>
      <c r="H56" s="45"/>
      <c r="I56" s="45"/>
      <c r="J56" s="45"/>
      <c r="K56" s="45"/>
      <c r="L56" s="45"/>
    </row>
    <row r="58" spans="1:26" ht="26.25" x14ac:dyDescent="0.25">
      <c r="F58" s="20" t="s">
        <v>111</v>
      </c>
    </row>
    <row r="59" spans="1:26" ht="38.25" customHeight="1" x14ac:dyDescent="0.25">
      <c r="A59" s="11" t="s">
        <v>169</v>
      </c>
      <c r="B59" s="32"/>
      <c r="C59" s="76"/>
      <c r="D59" s="77"/>
      <c r="E59" s="32"/>
      <c r="F59" s="32"/>
      <c r="G59" s="32"/>
      <c r="H59" s="32"/>
      <c r="I59" s="32"/>
      <c r="J59" s="32"/>
      <c r="K59" s="32"/>
      <c r="L59" s="32"/>
      <c r="M59" s="11"/>
    </row>
    <row r="61" spans="1:26" x14ac:dyDescent="0.25">
      <c r="A61" s="10" t="s">
        <v>22</v>
      </c>
      <c r="B61" s="28">
        <v>0</v>
      </c>
      <c r="C61" s="28">
        <v>1</v>
      </c>
      <c r="D61" s="28">
        <v>2</v>
      </c>
      <c r="E61" s="28">
        <v>3</v>
      </c>
      <c r="F61" s="28">
        <v>4</v>
      </c>
      <c r="G61" s="28">
        <v>5</v>
      </c>
      <c r="H61" s="28">
        <v>6</v>
      </c>
      <c r="I61" s="28">
        <v>7</v>
      </c>
      <c r="J61" s="28">
        <v>8</v>
      </c>
      <c r="K61" s="28">
        <v>9</v>
      </c>
      <c r="L61" s="28">
        <v>10</v>
      </c>
      <c r="M61" s="28">
        <v>11</v>
      </c>
      <c r="N61" s="28">
        <v>12</v>
      </c>
      <c r="O61" s="28">
        <v>13</v>
      </c>
      <c r="P61" s="28">
        <v>14</v>
      </c>
      <c r="Q61" s="28">
        <v>15</v>
      </c>
      <c r="R61" s="28">
        <v>16</v>
      </c>
      <c r="S61" s="28">
        <v>17</v>
      </c>
      <c r="T61" s="28">
        <v>18</v>
      </c>
      <c r="U61" s="28">
        <v>19</v>
      </c>
      <c r="V61" s="28">
        <v>20</v>
      </c>
      <c r="W61" s="28">
        <v>21</v>
      </c>
      <c r="X61" s="28">
        <v>22</v>
      </c>
      <c r="Y61" s="28">
        <v>23</v>
      </c>
      <c r="Z61" s="28">
        <v>24</v>
      </c>
    </row>
    <row r="62" spans="1:26" x14ac:dyDescent="0.25">
      <c r="A62" s="24" t="s">
        <v>23</v>
      </c>
    </row>
    <row r="63" spans="1:26" x14ac:dyDescent="0.25">
      <c r="A63" s="10" t="str">
        <f>A34</f>
        <v>Small Crab Sale ($)</v>
      </c>
      <c r="B63" s="33">
        <f t="shared" ref="B63:Z63" si="14">B6</f>
        <v>0</v>
      </c>
      <c r="C63" s="33">
        <f t="shared" si="14"/>
        <v>160650.00000000003</v>
      </c>
      <c r="D63" s="33">
        <f t="shared" si="14"/>
        <v>409657.50000000006</v>
      </c>
      <c r="E63" s="33">
        <f t="shared" si="14"/>
        <v>597025.00871999993</v>
      </c>
      <c r="F63" s="33">
        <f t="shared" si="14"/>
        <v>852415.32600000012</v>
      </c>
      <c r="G63" s="33">
        <f t="shared" si="14"/>
        <v>869463.6325200001</v>
      </c>
      <c r="H63" s="33">
        <f t="shared" si="14"/>
        <v>791959.64431716723</v>
      </c>
      <c r="I63" s="33">
        <f t="shared" si="14"/>
        <v>904589.96327380801</v>
      </c>
      <c r="J63" s="33">
        <f t="shared" si="14"/>
        <v>922681.76253928419</v>
      </c>
      <c r="K63" s="33">
        <f t="shared" si="14"/>
        <v>840433.91022653237</v>
      </c>
      <c r="L63" s="33">
        <f t="shared" si="14"/>
        <v>959958.10574587132</v>
      </c>
      <c r="M63" s="33">
        <f t="shared" si="14"/>
        <v>979157.26786078862</v>
      </c>
      <c r="N63" s="33">
        <f t="shared" si="14"/>
        <v>891875.18900367804</v>
      </c>
      <c r="O63" s="33">
        <f t="shared" si="14"/>
        <v>1018715.2214823646</v>
      </c>
      <c r="P63" s="33">
        <f t="shared" si="14"/>
        <v>1039089.525912012</v>
      </c>
      <c r="Q63" s="33">
        <f t="shared" si="14"/>
        <v>946465.08557221491</v>
      </c>
      <c r="R63" s="33">
        <f t="shared" si="14"/>
        <v>1081068.7427588571</v>
      </c>
      <c r="S63" s="33">
        <f t="shared" si="14"/>
        <v>1102690.1176140343</v>
      </c>
      <c r="T63" s="33">
        <f t="shared" si="14"/>
        <v>1004396.3205299192</v>
      </c>
      <c r="U63" s="33">
        <f t="shared" si="14"/>
        <v>1147238.7983656412</v>
      </c>
      <c r="V63" s="33">
        <f t="shared" si="14"/>
        <v>1170183.5743329541</v>
      </c>
      <c r="W63" s="33">
        <f t="shared" si="14"/>
        <v>852698.72841353144</v>
      </c>
      <c r="X63" s="33">
        <f t="shared" si="14"/>
        <v>608729.49536800268</v>
      </c>
      <c r="Y63" s="33">
        <f t="shared" si="14"/>
        <v>248361.63411014507</v>
      </c>
      <c r="Z63" s="33">
        <f t="shared" si="14"/>
        <v>0</v>
      </c>
    </row>
    <row r="64" spans="1:26" s="13" customFormat="1" x14ac:dyDescent="0.25">
      <c r="A64" s="24" t="s">
        <v>58</v>
      </c>
      <c r="B64" s="41">
        <f t="shared" ref="B64:Z64" si="15">B7</f>
        <v>0</v>
      </c>
      <c r="C64" s="41">
        <f t="shared" si="15"/>
        <v>160650.00000000003</v>
      </c>
      <c r="D64" s="41">
        <f t="shared" si="15"/>
        <v>409657.50000000006</v>
      </c>
      <c r="E64" s="41">
        <f t="shared" si="15"/>
        <v>597025.00871999993</v>
      </c>
      <c r="F64" s="41">
        <f t="shared" si="15"/>
        <v>852415.32600000012</v>
      </c>
      <c r="G64" s="41">
        <f t="shared" si="15"/>
        <v>869463.6325200001</v>
      </c>
      <c r="H64" s="41">
        <f t="shared" si="15"/>
        <v>791959.64431716723</v>
      </c>
      <c r="I64" s="41">
        <f t="shared" si="15"/>
        <v>904589.96327380801</v>
      </c>
      <c r="J64" s="41">
        <f t="shared" si="15"/>
        <v>922681.76253928419</v>
      </c>
      <c r="K64" s="41">
        <f t="shared" si="15"/>
        <v>840433.91022653237</v>
      </c>
      <c r="L64" s="41">
        <f t="shared" si="15"/>
        <v>959958.10574587132</v>
      </c>
      <c r="M64" s="41">
        <f t="shared" si="15"/>
        <v>979157.26786078862</v>
      </c>
      <c r="N64" s="41">
        <f t="shared" si="15"/>
        <v>891875.18900367804</v>
      </c>
      <c r="O64" s="41">
        <f t="shared" si="15"/>
        <v>1018715.2214823646</v>
      </c>
      <c r="P64" s="41">
        <f t="shared" si="15"/>
        <v>1039089.525912012</v>
      </c>
      <c r="Q64" s="41">
        <f t="shared" si="15"/>
        <v>946465.08557221491</v>
      </c>
      <c r="R64" s="41">
        <f t="shared" si="15"/>
        <v>1081068.7427588571</v>
      </c>
      <c r="S64" s="41">
        <f t="shared" si="15"/>
        <v>1102690.1176140343</v>
      </c>
      <c r="T64" s="41">
        <f t="shared" si="15"/>
        <v>1004396.3205299192</v>
      </c>
      <c r="U64" s="41">
        <f t="shared" si="15"/>
        <v>1147238.7983656412</v>
      </c>
      <c r="V64" s="41">
        <f t="shared" si="15"/>
        <v>1170183.5743329541</v>
      </c>
      <c r="W64" s="41">
        <f t="shared" si="15"/>
        <v>852698.72841353144</v>
      </c>
      <c r="X64" s="41">
        <f t="shared" si="15"/>
        <v>608729.49536800268</v>
      </c>
      <c r="Y64" s="41">
        <f t="shared" si="15"/>
        <v>248361.63411014507</v>
      </c>
      <c r="Z64" s="41">
        <f t="shared" si="15"/>
        <v>0</v>
      </c>
    </row>
    <row r="65" spans="1:26" x14ac:dyDescent="0.25">
      <c r="A65" s="24"/>
      <c r="B65" s="44"/>
      <c r="C65" s="44"/>
      <c r="D65" s="44"/>
      <c r="E65" s="44"/>
      <c r="F65" s="44"/>
      <c r="G65" s="44"/>
      <c r="H65" s="44"/>
      <c r="I65" s="44"/>
      <c r="J65" s="44"/>
      <c r="K65" s="44"/>
    </row>
    <row r="66" spans="1:26" x14ac:dyDescent="0.25">
      <c r="A66" s="24" t="s">
        <v>24</v>
      </c>
    </row>
    <row r="67" spans="1:26" x14ac:dyDescent="0.25">
      <c r="A67" s="9" t="str">
        <f>A10</f>
        <v>Crab Nursery Establishment</v>
      </c>
      <c r="B67" s="35">
        <f t="shared" ref="B67:Z67" si="16">B10</f>
        <v>0</v>
      </c>
      <c r="C67" s="35">
        <f t="shared" si="16"/>
        <v>40000</v>
      </c>
      <c r="D67" s="35">
        <f t="shared" si="16"/>
        <v>100000</v>
      </c>
      <c r="E67" s="35">
        <f t="shared" si="16"/>
        <v>160000</v>
      </c>
      <c r="F67" s="35">
        <f t="shared" si="16"/>
        <v>200000</v>
      </c>
      <c r="G67" s="35">
        <f t="shared" si="16"/>
        <v>200000</v>
      </c>
      <c r="H67" s="35">
        <f t="shared" si="16"/>
        <v>200000</v>
      </c>
      <c r="I67" s="35">
        <f t="shared" si="16"/>
        <v>200000</v>
      </c>
      <c r="J67" s="35">
        <f t="shared" si="16"/>
        <v>200000</v>
      </c>
      <c r="K67" s="35">
        <f t="shared" si="16"/>
        <v>200000</v>
      </c>
      <c r="L67" s="35">
        <f t="shared" si="16"/>
        <v>200000</v>
      </c>
      <c r="M67" s="35">
        <f t="shared" si="16"/>
        <v>200000</v>
      </c>
      <c r="N67" s="35">
        <f t="shared" si="16"/>
        <v>200000</v>
      </c>
      <c r="O67" s="35">
        <f t="shared" si="16"/>
        <v>200000</v>
      </c>
      <c r="P67" s="35">
        <f t="shared" si="16"/>
        <v>200000</v>
      </c>
      <c r="Q67" s="35">
        <f t="shared" si="16"/>
        <v>200000</v>
      </c>
      <c r="R67" s="35">
        <f t="shared" si="16"/>
        <v>200000</v>
      </c>
      <c r="S67" s="35">
        <f t="shared" si="16"/>
        <v>200000</v>
      </c>
      <c r="T67" s="35">
        <f t="shared" si="16"/>
        <v>200000</v>
      </c>
      <c r="U67" s="35">
        <f t="shared" si="16"/>
        <v>200000</v>
      </c>
      <c r="V67" s="35">
        <f t="shared" si="16"/>
        <v>200000</v>
      </c>
      <c r="W67" s="35">
        <f t="shared" si="16"/>
        <v>160000</v>
      </c>
      <c r="X67" s="35">
        <f t="shared" si="16"/>
        <v>100000</v>
      </c>
      <c r="Y67" s="35">
        <f t="shared" si="16"/>
        <v>40000</v>
      </c>
      <c r="Z67" s="35">
        <f t="shared" si="16"/>
        <v>0</v>
      </c>
    </row>
    <row r="68" spans="1:26" x14ac:dyDescent="0.25">
      <c r="A68" s="9" t="str">
        <f t="shared" ref="A68:A71" si="17">A11</f>
        <v>Operation Cost (Crablet purchase)</v>
      </c>
      <c r="B68" s="35">
        <f>B11</f>
        <v>0</v>
      </c>
      <c r="C68" s="35">
        <f t="shared" ref="C68:Z68" si="18">C11</f>
        <v>85000.000000000015</v>
      </c>
      <c r="D68" s="35">
        <f t="shared" si="18"/>
        <v>212500.00000000003</v>
      </c>
      <c r="E68" s="35">
        <f t="shared" si="18"/>
        <v>340000.00000000006</v>
      </c>
      <c r="F68" s="35">
        <f t="shared" si="18"/>
        <v>425000.00000000006</v>
      </c>
      <c r="G68" s="35">
        <f t="shared" si="18"/>
        <v>425000.00000000006</v>
      </c>
      <c r="H68" s="35">
        <f t="shared" si="18"/>
        <v>425000.00000000006</v>
      </c>
      <c r="I68" s="35">
        <f t="shared" si="18"/>
        <v>425000.00000000006</v>
      </c>
      <c r="J68" s="35">
        <f t="shared" si="18"/>
        <v>425000.00000000006</v>
      </c>
      <c r="K68" s="35">
        <f t="shared" si="18"/>
        <v>425000.00000000006</v>
      </c>
      <c r="L68" s="35">
        <f t="shared" si="18"/>
        <v>425000.00000000006</v>
      </c>
      <c r="M68" s="35">
        <f t="shared" si="18"/>
        <v>425000.00000000006</v>
      </c>
      <c r="N68" s="35">
        <f t="shared" si="18"/>
        <v>425000.00000000006</v>
      </c>
      <c r="O68" s="35">
        <f t="shared" si="18"/>
        <v>425000.00000000006</v>
      </c>
      <c r="P68" s="35">
        <f t="shared" si="18"/>
        <v>425000.00000000006</v>
      </c>
      <c r="Q68" s="35">
        <f t="shared" si="18"/>
        <v>425000.00000000006</v>
      </c>
      <c r="R68" s="35">
        <f t="shared" si="18"/>
        <v>425000.00000000006</v>
      </c>
      <c r="S68" s="35">
        <f t="shared" si="18"/>
        <v>425000.00000000006</v>
      </c>
      <c r="T68" s="35">
        <f t="shared" si="18"/>
        <v>425000.00000000006</v>
      </c>
      <c r="U68" s="35">
        <f t="shared" si="18"/>
        <v>425000.00000000006</v>
      </c>
      <c r="V68" s="35">
        <f t="shared" si="18"/>
        <v>425000.00000000006</v>
      </c>
      <c r="W68" s="35">
        <f t="shared" si="18"/>
        <v>340000.00000000006</v>
      </c>
      <c r="X68" s="35">
        <f t="shared" si="18"/>
        <v>212500.00000000003</v>
      </c>
      <c r="Y68" s="35">
        <f t="shared" si="18"/>
        <v>85000.000000000015</v>
      </c>
      <c r="Z68" s="35">
        <f t="shared" si="18"/>
        <v>0</v>
      </c>
    </row>
    <row r="69" spans="1:26" x14ac:dyDescent="0.25">
      <c r="A69" s="9" t="str">
        <f t="shared" si="17"/>
        <v>Feed</v>
      </c>
      <c r="B69" s="35">
        <f>B12</f>
        <v>0</v>
      </c>
      <c r="C69" s="35">
        <f t="shared" ref="C69:Z69" si="19">C12</f>
        <v>5000</v>
      </c>
      <c r="D69" s="35">
        <f t="shared" si="19"/>
        <v>12500</v>
      </c>
      <c r="E69" s="35">
        <f t="shared" si="19"/>
        <v>20807.499999999993</v>
      </c>
      <c r="F69" s="35">
        <f t="shared" si="19"/>
        <v>25000</v>
      </c>
      <c r="G69" s="35">
        <f t="shared" si="19"/>
        <v>25000</v>
      </c>
      <c r="H69" s="35">
        <f t="shared" si="19"/>
        <v>26009.374999999993</v>
      </c>
      <c r="I69" s="35">
        <f t="shared" si="19"/>
        <v>25000</v>
      </c>
      <c r="J69" s="35">
        <f t="shared" si="19"/>
        <v>25000</v>
      </c>
      <c r="K69" s="35">
        <f t="shared" si="19"/>
        <v>26009.374999999993</v>
      </c>
      <c r="L69" s="35">
        <f t="shared" si="19"/>
        <v>25000</v>
      </c>
      <c r="M69" s="35">
        <f t="shared" si="19"/>
        <v>25000</v>
      </c>
      <c r="N69" s="35">
        <f t="shared" si="19"/>
        <v>26009.374999999993</v>
      </c>
      <c r="O69" s="35">
        <f t="shared" si="19"/>
        <v>25000</v>
      </c>
      <c r="P69" s="35">
        <f t="shared" si="19"/>
        <v>25000</v>
      </c>
      <c r="Q69" s="35">
        <f t="shared" si="19"/>
        <v>26009.374999999993</v>
      </c>
      <c r="R69" s="35">
        <f t="shared" si="19"/>
        <v>25000</v>
      </c>
      <c r="S69" s="35">
        <f t="shared" si="19"/>
        <v>25000</v>
      </c>
      <c r="T69" s="35">
        <f t="shared" si="19"/>
        <v>26009.374999999993</v>
      </c>
      <c r="U69" s="35">
        <f t="shared" si="19"/>
        <v>25000</v>
      </c>
      <c r="V69" s="35">
        <f t="shared" si="19"/>
        <v>25000</v>
      </c>
      <c r="W69" s="35">
        <f t="shared" si="19"/>
        <v>20807.499999999993</v>
      </c>
      <c r="X69" s="35">
        <f t="shared" si="19"/>
        <v>12500</v>
      </c>
      <c r="Y69" s="35">
        <f t="shared" si="19"/>
        <v>5000</v>
      </c>
      <c r="Z69" s="35">
        <f t="shared" si="19"/>
        <v>0</v>
      </c>
    </row>
    <row r="70" spans="1:26" x14ac:dyDescent="0.25">
      <c r="A70" s="9" t="str">
        <f t="shared" si="17"/>
        <v>Land rent</v>
      </c>
      <c r="B70" s="35">
        <f>B13</f>
        <v>0</v>
      </c>
      <c r="C70" s="35">
        <f t="shared" ref="C70:Z70" si="20">C13</f>
        <v>4000</v>
      </c>
      <c r="D70" s="35">
        <f t="shared" si="20"/>
        <v>10000</v>
      </c>
      <c r="E70" s="35">
        <f t="shared" si="20"/>
        <v>16000</v>
      </c>
      <c r="F70" s="35">
        <f t="shared" si="20"/>
        <v>20000</v>
      </c>
      <c r="G70" s="35">
        <f t="shared" si="20"/>
        <v>20000</v>
      </c>
      <c r="H70" s="35">
        <f t="shared" si="20"/>
        <v>20000</v>
      </c>
      <c r="I70" s="35">
        <f t="shared" si="20"/>
        <v>20000</v>
      </c>
      <c r="J70" s="35">
        <f t="shared" si="20"/>
        <v>20000</v>
      </c>
      <c r="K70" s="35">
        <f t="shared" si="20"/>
        <v>20000</v>
      </c>
      <c r="L70" s="35">
        <f t="shared" si="20"/>
        <v>20000</v>
      </c>
      <c r="M70" s="35">
        <f t="shared" si="20"/>
        <v>20000</v>
      </c>
      <c r="N70" s="35">
        <f t="shared" si="20"/>
        <v>20000</v>
      </c>
      <c r="O70" s="35">
        <f t="shared" si="20"/>
        <v>20000</v>
      </c>
      <c r="P70" s="35">
        <f t="shared" si="20"/>
        <v>20000</v>
      </c>
      <c r="Q70" s="35">
        <f t="shared" si="20"/>
        <v>20000</v>
      </c>
      <c r="R70" s="35">
        <f t="shared" si="20"/>
        <v>20000</v>
      </c>
      <c r="S70" s="35">
        <f t="shared" si="20"/>
        <v>20000</v>
      </c>
      <c r="T70" s="35">
        <f t="shared" si="20"/>
        <v>20000</v>
      </c>
      <c r="U70" s="35">
        <f t="shared" si="20"/>
        <v>20000</v>
      </c>
      <c r="V70" s="35">
        <f t="shared" si="20"/>
        <v>20000</v>
      </c>
      <c r="W70" s="35">
        <f t="shared" si="20"/>
        <v>16000</v>
      </c>
      <c r="X70" s="35">
        <f t="shared" si="20"/>
        <v>10000</v>
      </c>
      <c r="Y70" s="35">
        <f t="shared" si="20"/>
        <v>4000</v>
      </c>
      <c r="Z70" s="35">
        <f t="shared" si="20"/>
        <v>0</v>
      </c>
    </row>
    <row r="71" spans="1:26" x14ac:dyDescent="0.25">
      <c r="A71" s="9" t="str">
        <f t="shared" si="17"/>
        <v>Labor</v>
      </c>
      <c r="B71" s="35">
        <f>B14</f>
        <v>0</v>
      </c>
      <c r="C71" s="35">
        <f>C14</f>
        <v>42420</v>
      </c>
      <c r="D71" s="35">
        <f t="shared" ref="D71:Z71" si="21">D14</f>
        <v>107110.5</v>
      </c>
      <c r="E71" s="35">
        <f t="shared" si="21"/>
        <v>173090.56799999997</v>
      </c>
      <c r="F71" s="35">
        <f t="shared" si="21"/>
        <v>218526.84210000001</v>
      </c>
      <c r="G71" s="35">
        <f t="shared" si="21"/>
        <v>220712.11052099997</v>
      </c>
      <c r="H71" s="35">
        <f t="shared" si="21"/>
        <v>222919.23162621004</v>
      </c>
      <c r="I71" s="35">
        <f t="shared" si="21"/>
        <v>225148.42394247209</v>
      </c>
      <c r="J71" s="35">
        <f t="shared" si="21"/>
        <v>227399.90818189684</v>
      </c>
      <c r="K71" s="35">
        <f t="shared" si="21"/>
        <v>229673.90726371581</v>
      </c>
      <c r="L71" s="35">
        <f t="shared" si="21"/>
        <v>231970.64633635298</v>
      </c>
      <c r="M71" s="35">
        <f t="shared" si="21"/>
        <v>234290.35279971649</v>
      </c>
      <c r="N71" s="35">
        <f t="shared" si="21"/>
        <v>236633.25632771364</v>
      </c>
      <c r="O71" s="35">
        <f t="shared" si="21"/>
        <v>238999.5888909908</v>
      </c>
      <c r="P71" s="35">
        <f t="shared" si="21"/>
        <v>241389.58477990073</v>
      </c>
      <c r="Q71" s="35">
        <f t="shared" si="21"/>
        <v>243803.4806276997</v>
      </c>
      <c r="R71" s="35">
        <f t="shared" si="21"/>
        <v>246241.51543397675</v>
      </c>
      <c r="S71" s="35">
        <f t="shared" si="21"/>
        <v>248703.93058831652</v>
      </c>
      <c r="T71" s="35">
        <f t="shared" si="21"/>
        <v>251190.96989419969</v>
      </c>
      <c r="U71" s="35">
        <f t="shared" si="21"/>
        <v>253702.87959314164</v>
      </c>
      <c r="V71" s="35">
        <f t="shared" si="21"/>
        <v>256239.9083890731</v>
      </c>
      <c r="W71" s="35">
        <f t="shared" si="21"/>
        <v>207041.84597837101</v>
      </c>
      <c r="X71" s="35">
        <f t="shared" si="21"/>
        <v>130695.16527384675</v>
      </c>
      <c r="Y71" s="35">
        <f t="shared" si="21"/>
        <v>52800.846770634074</v>
      </c>
      <c r="Z71" s="35">
        <f t="shared" si="21"/>
        <v>0</v>
      </c>
    </row>
    <row r="72" spans="1:26" s="54" customFormat="1" x14ac:dyDescent="0.25">
      <c r="A72" s="56" t="s">
        <v>156</v>
      </c>
      <c r="B72" s="53">
        <f>B15*Assumption_Nursery!$C33</f>
        <v>0</v>
      </c>
      <c r="C72" s="53">
        <f>C15*Assumption_Nursery!$C33</f>
        <v>0</v>
      </c>
      <c r="D72" s="53">
        <f>D15*Assumption_Nursery!$C33</f>
        <v>0</v>
      </c>
      <c r="E72" s="53">
        <f>E15*Assumption_Nursery!$C33</f>
        <v>0</v>
      </c>
      <c r="F72" s="53">
        <f>F15*Assumption_Nursery!$C33</f>
        <v>0</v>
      </c>
      <c r="G72" s="53">
        <f>G15*Assumption_Nursery!$C33</f>
        <v>0</v>
      </c>
      <c r="H72" s="53">
        <f>H15*Assumption_Nursery!$C33</f>
        <v>0</v>
      </c>
      <c r="I72" s="53">
        <f>I15*Assumption_Nursery!$C33</f>
        <v>0</v>
      </c>
      <c r="J72" s="53">
        <f>J15*Assumption_Nursery!$C33</f>
        <v>0</v>
      </c>
      <c r="K72" s="53">
        <f>K15*Assumption_Nursery!$C33</f>
        <v>0</v>
      </c>
      <c r="L72" s="53">
        <f>L15*Assumption_Nursery!$C33</f>
        <v>0</v>
      </c>
      <c r="M72" s="53">
        <f>M15*Assumption_Nursery!$C33</f>
        <v>0</v>
      </c>
      <c r="N72" s="53">
        <f>N15*Assumption_Nursery!$C33</f>
        <v>0</v>
      </c>
      <c r="O72" s="53">
        <f>O15*Assumption_Nursery!$C33</f>
        <v>0</v>
      </c>
      <c r="P72" s="53">
        <f>P15*Assumption_Nursery!$C33</f>
        <v>0</v>
      </c>
      <c r="Q72" s="53">
        <f>Q15*Assumption_Nursery!$C33</f>
        <v>0</v>
      </c>
      <c r="R72" s="53">
        <f>R15*Assumption_Nursery!$C33</f>
        <v>0</v>
      </c>
      <c r="S72" s="53">
        <f>S15*Assumption_Nursery!$C33</f>
        <v>0</v>
      </c>
      <c r="T72" s="53">
        <f>T15*Assumption_Nursery!$C33</f>
        <v>0</v>
      </c>
      <c r="U72" s="53">
        <f>U15*Assumption_Nursery!$C33</f>
        <v>0</v>
      </c>
      <c r="V72" s="53">
        <f>V15*Assumption_Nursery!$C33</f>
        <v>0</v>
      </c>
      <c r="W72" s="53">
        <f>W15*Assumption_Nursery!$C33</f>
        <v>0</v>
      </c>
      <c r="X72" s="53">
        <f>X15*Assumption_Nursery!$C33</f>
        <v>0</v>
      </c>
      <c r="Y72" s="53">
        <f>Y15*Assumption_Nursery!$C33</f>
        <v>0</v>
      </c>
      <c r="Z72" s="53">
        <f>Z15*Assumption_Nursery!$C33</f>
        <v>0</v>
      </c>
    </row>
    <row r="73" spans="1:26" x14ac:dyDescent="0.25">
      <c r="A73" s="127" t="s">
        <v>59</v>
      </c>
      <c r="B73" s="40">
        <f t="shared" ref="B73:Z73" si="22">SUM(B67:B72)</f>
        <v>0</v>
      </c>
      <c r="C73" s="40">
        <f t="shared" si="22"/>
        <v>176420</v>
      </c>
      <c r="D73" s="40">
        <f t="shared" si="22"/>
        <v>442110.5</v>
      </c>
      <c r="E73" s="40">
        <f t="shared" si="22"/>
        <v>709898.06799999997</v>
      </c>
      <c r="F73" s="40">
        <f t="shared" si="22"/>
        <v>888526.84210000001</v>
      </c>
      <c r="G73" s="40">
        <f t="shared" si="22"/>
        <v>890712.110521</v>
      </c>
      <c r="H73" s="40">
        <f t="shared" si="22"/>
        <v>893928.60662621004</v>
      </c>
      <c r="I73" s="40">
        <f t="shared" si="22"/>
        <v>895148.42394247209</v>
      </c>
      <c r="J73" s="40">
        <f t="shared" si="22"/>
        <v>897399.9081818969</v>
      </c>
      <c r="K73" s="40">
        <f t="shared" si="22"/>
        <v>900683.28226371575</v>
      </c>
      <c r="L73" s="40">
        <f t="shared" si="22"/>
        <v>901970.64633635292</v>
      </c>
      <c r="M73" s="40">
        <f t="shared" si="22"/>
        <v>904290.35279971652</v>
      </c>
      <c r="N73" s="40">
        <f t="shared" si="22"/>
        <v>907642.63132771361</v>
      </c>
      <c r="O73" s="40">
        <f t="shared" si="22"/>
        <v>908999.58889099082</v>
      </c>
      <c r="P73" s="40">
        <f t="shared" si="22"/>
        <v>911389.58477990073</v>
      </c>
      <c r="Q73" s="40">
        <f t="shared" si="22"/>
        <v>914812.85562769976</v>
      </c>
      <c r="R73" s="40">
        <f t="shared" si="22"/>
        <v>916241.51543397678</v>
      </c>
      <c r="S73" s="40">
        <f t="shared" si="22"/>
        <v>918703.93058831652</v>
      </c>
      <c r="T73" s="40">
        <f t="shared" si="22"/>
        <v>922200.34489419963</v>
      </c>
      <c r="U73" s="40">
        <f t="shared" si="22"/>
        <v>923702.87959314161</v>
      </c>
      <c r="V73" s="40">
        <f t="shared" si="22"/>
        <v>926239.9083890731</v>
      </c>
      <c r="W73" s="40">
        <f t="shared" si="22"/>
        <v>743849.34597837098</v>
      </c>
      <c r="X73" s="40">
        <f t="shared" si="22"/>
        <v>465695.16527384677</v>
      </c>
      <c r="Y73" s="40">
        <f t="shared" si="22"/>
        <v>186800.84677063406</v>
      </c>
      <c r="Z73" s="40">
        <f t="shared" si="22"/>
        <v>0</v>
      </c>
    </row>
    <row r="74" spans="1:26" x14ac:dyDescent="0.25">
      <c r="B74" s="34"/>
      <c r="C74" s="34"/>
      <c r="D74" s="34"/>
      <c r="E74" s="34"/>
      <c r="F74" s="34"/>
      <c r="G74" s="34"/>
      <c r="H74" s="34"/>
      <c r="I74" s="34"/>
      <c r="J74" s="34"/>
      <c r="K74" s="34"/>
      <c r="L74" s="34"/>
    </row>
    <row r="75" spans="1:26" x14ac:dyDescent="0.25">
      <c r="A75" s="24" t="s">
        <v>60</v>
      </c>
      <c r="B75" s="36">
        <f t="shared" ref="B75:Z75" si="23">B64-B73</f>
        <v>0</v>
      </c>
      <c r="C75" s="36">
        <f t="shared" si="23"/>
        <v>-15769.999999999971</v>
      </c>
      <c r="D75" s="36">
        <f t="shared" si="23"/>
        <v>-32452.999999999942</v>
      </c>
      <c r="E75" s="36">
        <f t="shared" si="23"/>
        <v>-112873.05928000004</v>
      </c>
      <c r="F75" s="36">
        <f t="shared" si="23"/>
        <v>-36111.516099999892</v>
      </c>
      <c r="G75" s="36">
        <f t="shared" si="23"/>
        <v>-21248.478000999894</v>
      </c>
      <c r="H75" s="36">
        <f t="shared" si="23"/>
        <v>-101968.96230904281</v>
      </c>
      <c r="I75" s="36">
        <f t="shared" si="23"/>
        <v>9441.5393313359236</v>
      </c>
      <c r="J75" s="36">
        <f t="shared" si="23"/>
        <v>25281.854357387288</v>
      </c>
      <c r="K75" s="36">
        <f t="shared" si="23"/>
        <v>-60249.372037183377</v>
      </c>
      <c r="L75" s="36">
        <f t="shared" si="23"/>
        <v>57987.4594095184</v>
      </c>
      <c r="M75" s="36">
        <f t="shared" si="23"/>
        <v>74866.915061072097</v>
      </c>
      <c r="N75" s="36">
        <f t="shared" si="23"/>
        <v>-15767.442324035568</v>
      </c>
      <c r="O75" s="36">
        <f t="shared" si="23"/>
        <v>109715.63259137375</v>
      </c>
      <c r="P75" s="36">
        <f t="shared" si="23"/>
        <v>127699.94113211124</v>
      </c>
      <c r="Q75" s="36">
        <f t="shared" si="23"/>
        <v>31652.229944515158</v>
      </c>
      <c r="R75" s="36">
        <f t="shared" si="23"/>
        <v>164827.22732488031</v>
      </c>
      <c r="S75" s="36">
        <f t="shared" si="23"/>
        <v>183986.18702571781</v>
      </c>
      <c r="T75" s="36">
        <f t="shared" si="23"/>
        <v>82195.975635719602</v>
      </c>
      <c r="U75" s="36">
        <f t="shared" si="23"/>
        <v>223535.91877249954</v>
      </c>
      <c r="V75" s="36">
        <f t="shared" si="23"/>
        <v>243943.66594388103</v>
      </c>
      <c r="W75" s="36">
        <f t="shared" si="23"/>
        <v>108849.38243516046</v>
      </c>
      <c r="X75" s="36">
        <f t="shared" si="23"/>
        <v>143034.33009415591</v>
      </c>
      <c r="Y75" s="36">
        <f t="shared" si="23"/>
        <v>61560.787339511007</v>
      </c>
      <c r="Z75" s="36">
        <f t="shared" si="23"/>
        <v>0</v>
      </c>
    </row>
    <row r="76" spans="1:26" x14ac:dyDescent="0.25">
      <c r="B76" s="34"/>
      <c r="C76" s="34"/>
      <c r="D76" s="34"/>
      <c r="E76" s="34"/>
      <c r="F76" s="34"/>
      <c r="G76" s="34"/>
      <c r="H76" s="34"/>
      <c r="I76" s="34"/>
      <c r="J76" s="34"/>
      <c r="K76" s="34"/>
      <c r="L76" s="34"/>
    </row>
    <row r="77" spans="1:26" s="13" customFormat="1" x14ac:dyDescent="0.25">
      <c r="A77" s="24" t="s">
        <v>61</v>
      </c>
      <c r="B77" s="42">
        <f>B75/(1+Assumption_Hatchery!$C76)^B61</f>
        <v>0</v>
      </c>
      <c r="C77" s="42">
        <f>C75/(1+Assumption_Hatchery!$C76)^C61</f>
        <v>-14467.889908256853</v>
      </c>
      <c r="D77" s="42">
        <f>D75/(1+Assumption_Hatchery!$C76)^D61</f>
        <v>-27315.040821479623</v>
      </c>
      <c r="E77" s="42">
        <f>E75/(1+Assumption_Hatchery!$C76)^E61</f>
        <v>-87158.711719969229</v>
      </c>
      <c r="F77" s="42">
        <f>F75/(1+Assumption_Hatchery!$C76)^F61</f>
        <v>-25582.308415026662</v>
      </c>
      <c r="G77" s="42">
        <f>G75/(1+Assumption_Hatchery!$C76)^G61</f>
        <v>-13810.052763919753</v>
      </c>
      <c r="H77" s="42">
        <f>H75/(1+Assumption_Hatchery!$C76)^H61</f>
        <v>-60800.760580660462</v>
      </c>
      <c r="I77" s="42">
        <f>I75/(1+Assumption_Hatchery!$C76)^I61</f>
        <v>5164.8453382758262</v>
      </c>
      <c r="J77" s="42">
        <f>J75/(1+Assumption_Hatchery!$C76)^J61</f>
        <v>12688.11018957072</v>
      </c>
      <c r="K77" s="42">
        <f>K75/(1+Assumption_Hatchery!$C76)^K61</f>
        <v>-27740.484584331858</v>
      </c>
      <c r="L77" s="42">
        <f>L75/(1+Assumption_Hatchery!$C76)^L61</f>
        <v>24494.529519005675</v>
      </c>
      <c r="M77" s="42">
        <f>M75/(1+Assumption_Hatchery!$C76)^M61</f>
        <v>29013.388991503183</v>
      </c>
      <c r="N77" s="42">
        <f>N75/(1+Assumption_Hatchery!$C76)^N61</f>
        <v>-5605.8732722642044</v>
      </c>
      <c r="O77" s="42">
        <f>O75/(1+Assumption_Hatchery!$C76)^O61</f>
        <v>35786.896580689026</v>
      </c>
      <c r="P77" s="42">
        <f>P75/(1+Assumption_Hatchery!$C76)^P61</f>
        <v>38213.755968489189</v>
      </c>
      <c r="Q77" s="42">
        <f>Q75/(1+Assumption_Hatchery!$C76)^Q61</f>
        <v>8689.7412121596062</v>
      </c>
      <c r="R77" s="42">
        <f>R75/(1+Assumption_Hatchery!$C76)^R61</f>
        <v>41514.994628297834</v>
      </c>
      <c r="S77" s="42">
        <f>S75/(1+Assumption_Hatchery!$C76)^S61</f>
        <v>42514.272716698535</v>
      </c>
      <c r="T77" s="42">
        <f>T75/(1+Assumption_Hatchery!$C76)^T61</f>
        <v>17425.032300320076</v>
      </c>
      <c r="U77" s="42">
        <f>U75/(1+Assumption_Hatchery!$C76)^U61</f>
        <v>43475.427044512289</v>
      </c>
      <c r="V77" s="42">
        <f>V75/(1+Assumption_Hatchery!$C76)^V61</f>
        <v>43527.085371114808</v>
      </c>
      <c r="W77" s="42">
        <f>W75/(1+Assumption_Hatchery!$C76)^W61</f>
        <v>17818.433174454996</v>
      </c>
      <c r="X77" s="42">
        <f>X75/(1+Assumption_Hatchery!$C76)^X61</f>
        <v>21481.140298047914</v>
      </c>
      <c r="Y77" s="42">
        <f>Y75/(1+Assumption_Hatchery!$C76)^Y61</f>
        <v>8481.9305673354556</v>
      </c>
      <c r="Z77" s="42">
        <f>Z75/(1+Assumption_Hatchery!$C76)^Z61</f>
        <v>0</v>
      </c>
    </row>
    <row r="78" spans="1:26" x14ac:dyDescent="0.25">
      <c r="B78" s="34"/>
      <c r="C78" s="34"/>
      <c r="D78" s="34"/>
      <c r="E78" s="34"/>
      <c r="F78" s="34"/>
      <c r="G78" s="34"/>
      <c r="H78" s="34"/>
      <c r="I78" s="34"/>
      <c r="J78" s="34"/>
      <c r="K78" s="34"/>
      <c r="L78" s="34"/>
    </row>
    <row r="79" spans="1:26" s="13" customFormat="1" x14ac:dyDescent="0.25">
      <c r="A79" s="26" t="s">
        <v>62</v>
      </c>
      <c r="B79" s="37">
        <f>NPV(Assumption_Hatchery!C76,C75:Z75)+B75</f>
        <v>127808.46183456642</v>
      </c>
      <c r="C79" s="43"/>
      <c r="D79" s="43"/>
      <c r="E79" s="43"/>
      <c r="F79" s="43"/>
      <c r="G79" s="43"/>
      <c r="H79" s="43"/>
      <c r="I79" s="43"/>
      <c r="J79" s="43"/>
      <c r="K79" s="43"/>
      <c r="L79" s="43"/>
    </row>
    <row r="81" spans="1:26" s="13" customFormat="1" x14ac:dyDescent="0.25">
      <c r="A81" s="26" t="s">
        <v>25</v>
      </c>
      <c r="B81" s="38">
        <f>IRR(B75:Z75)</f>
        <v>0.12866186107651822</v>
      </c>
      <c r="C81" s="4"/>
      <c r="D81" s="4"/>
      <c r="E81" s="4"/>
      <c r="F81" s="4"/>
      <c r="G81" s="4"/>
      <c r="H81" s="4"/>
      <c r="I81" s="4"/>
      <c r="J81" s="4"/>
      <c r="K81" s="4"/>
      <c r="L81" s="4"/>
    </row>
    <row r="83" spans="1:26" s="13" customFormat="1" x14ac:dyDescent="0.25">
      <c r="A83" s="27" t="s">
        <v>63</v>
      </c>
      <c r="B83" s="39">
        <f>B77</f>
        <v>0</v>
      </c>
      <c r="C83" s="39">
        <f>B83+C77</f>
        <v>-14467.889908256853</v>
      </c>
      <c r="D83" s="39">
        <f t="shared" ref="D83:Z83" si="24">C83+D77</f>
        <v>-41782.930729736472</v>
      </c>
      <c r="E83" s="39">
        <f t="shared" si="24"/>
        <v>-128941.6424497057</v>
      </c>
      <c r="F83" s="39">
        <f t="shared" si="24"/>
        <v>-154523.95086473235</v>
      </c>
      <c r="G83" s="39">
        <f t="shared" si="24"/>
        <v>-168334.00362865211</v>
      </c>
      <c r="H83" s="39">
        <f t="shared" si="24"/>
        <v>-229134.76420931256</v>
      </c>
      <c r="I83" s="39">
        <f t="shared" si="24"/>
        <v>-223969.91887103673</v>
      </c>
      <c r="J83" s="39">
        <f t="shared" si="24"/>
        <v>-211281.80868146601</v>
      </c>
      <c r="K83" s="39">
        <f t="shared" si="24"/>
        <v>-239022.29326579787</v>
      </c>
      <c r="L83" s="39">
        <f t="shared" si="24"/>
        <v>-214527.76374679219</v>
      </c>
      <c r="M83" s="39">
        <f t="shared" si="24"/>
        <v>-185514.374755289</v>
      </c>
      <c r="N83" s="39">
        <f t="shared" si="24"/>
        <v>-191120.2480275532</v>
      </c>
      <c r="O83" s="39">
        <f t="shared" si="24"/>
        <v>-155333.35144686417</v>
      </c>
      <c r="P83" s="39">
        <f t="shared" si="24"/>
        <v>-117119.59547837498</v>
      </c>
      <c r="Q83" s="39">
        <f t="shared" si="24"/>
        <v>-108429.85426621538</v>
      </c>
      <c r="R83" s="39">
        <f t="shared" si="24"/>
        <v>-66914.859637917543</v>
      </c>
      <c r="S83" s="39">
        <f t="shared" si="24"/>
        <v>-24400.586921219008</v>
      </c>
      <c r="T83" s="39">
        <f t="shared" si="24"/>
        <v>-6975.5546208989326</v>
      </c>
      <c r="U83" s="39">
        <f t="shared" si="24"/>
        <v>36499.872423613357</v>
      </c>
      <c r="V83" s="39">
        <f t="shared" si="24"/>
        <v>80026.957794728165</v>
      </c>
      <c r="W83" s="39">
        <f t="shared" si="24"/>
        <v>97845.390969183165</v>
      </c>
      <c r="X83" s="39">
        <f t="shared" si="24"/>
        <v>119326.53126723108</v>
      </c>
      <c r="Y83" s="39">
        <f t="shared" si="24"/>
        <v>127808.46183456654</v>
      </c>
      <c r="Z83" s="39">
        <f t="shared" si="24"/>
        <v>127808.46183456654</v>
      </c>
    </row>
  </sheetData>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2:Z83"/>
  <sheetViews>
    <sheetView showGridLines="0" topLeftCell="I57" zoomScale="85" zoomScaleNormal="85" workbookViewId="0">
      <selection activeCell="Z83" sqref="Z83"/>
    </sheetView>
  </sheetViews>
  <sheetFormatPr defaultColWidth="9" defaultRowHeight="15" x14ac:dyDescent="0.25"/>
  <cols>
    <col min="1" max="1" width="40.7109375" style="10" customWidth="1"/>
    <col min="2" max="2" width="12.7109375" style="28" customWidth="1"/>
    <col min="3" max="3" width="13" style="28" customWidth="1"/>
    <col min="4" max="4" width="17" style="28" customWidth="1"/>
    <col min="5" max="6" width="12.5703125" style="28" customWidth="1"/>
    <col min="7" max="7" width="11.85546875" style="28" customWidth="1"/>
    <col min="8" max="8" width="12.28515625" style="28" customWidth="1"/>
    <col min="9" max="9" width="11.7109375" style="28" customWidth="1"/>
    <col min="10" max="10" width="13" style="28" customWidth="1"/>
    <col min="11" max="11" width="12.7109375" style="28" customWidth="1"/>
    <col min="12" max="12" width="12.28515625" style="28" customWidth="1"/>
    <col min="13" max="23" width="13.7109375" style="3" customWidth="1"/>
    <col min="24" max="24" width="15.7109375" style="3" customWidth="1"/>
    <col min="25" max="25" width="11" style="3" customWidth="1"/>
    <col min="26" max="26" width="12.85546875" style="3" customWidth="1"/>
    <col min="27" max="16384" width="9" style="3"/>
  </cols>
  <sheetData>
    <row r="2" spans="1:26" ht="38.25" customHeight="1" x14ac:dyDescent="0.25">
      <c r="A2" s="11" t="s">
        <v>169</v>
      </c>
      <c r="B2" s="32"/>
      <c r="C2" s="76"/>
      <c r="D2" s="77"/>
      <c r="E2" s="32"/>
      <c r="F2" s="126" t="s">
        <v>106</v>
      </c>
      <c r="G2" s="32"/>
      <c r="H2" s="32"/>
      <c r="I2" s="32"/>
      <c r="J2" s="32"/>
      <c r="K2" s="32"/>
      <c r="L2" s="32"/>
      <c r="M2" s="11"/>
    </row>
    <row r="3" spans="1:26" ht="15" customHeight="1" x14ac:dyDescent="0.25">
      <c r="A3" s="23"/>
      <c r="B3" s="32"/>
      <c r="C3" s="32"/>
      <c r="D3" s="32"/>
      <c r="E3" s="32"/>
      <c r="F3" s="32"/>
      <c r="G3" s="32"/>
      <c r="H3" s="32"/>
      <c r="I3" s="32"/>
      <c r="J3" s="32"/>
      <c r="K3" s="32"/>
      <c r="L3" s="32"/>
      <c r="M3" s="11"/>
    </row>
    <row r="4" spans="1:26" x14ac:dyDescent="0.25">
      <c r="A4" s="10" t="s">
        <v>22</v>
      </c>
      <c r="B4" s="28">
        <v>0</v>
      </c>
      <c r="C4" s="28">
        <v>1</v>
      </c>
      <c r="D4" s="28">
        <v>2</v>
      </c>
      <c r="E4" s="28">
        <v>3</v>
      </c>
      <c r="F4" s="28">
        <v>4</v>
      </c>
      <c r="G4" s="28">
        <v>5</v>
      </c>
      <c r="H4" s="28">
        <v>6</v>
      </c>
      <c r="I4" s="28">
        <v>7</v>
      </c>
      <c r="J4" s="28">
        <v>8</v>
      </c>
      <c r="K4" s="28">
        <v>9</v>
      </c>
      <c r="L4" s="28">
        <v>10</v>
      </c>
      <c r="M4" s="28">
        <v>11</v>
      </c>
      <c r="N4" s="28">
        <v>12</v>
      </c>
      <c r="O4" s="28">
        <v>13</v>
      </c>
      <c r="P4" s="28">
        <v>14</v>
      </c>
      <c r="Q4" s="28">
        <v>15</v>
      </c>
      <c r="R4" s="28">
        <v>16</v>
      </c>
      <c r="S4" s="28">
        <v>17</v>
      </c>
      <c r="T4" s="28">
        <v>18</v>
      </c>
      <c r="U4" s="28">
        <v>19</v>
      </c>
      <c r="V4" s="28">
        <v>20</v>
      </c>
      <c r="W4" s="28">
        <v>21</v>
      </c>
      <c r="X4" s="28">
        <v>22</v>
      </c>
      <c r="Y4" s="28">
        <v>23</v>
      </c>
      <c r="Z4" s="28">
        <v>24</v>
      </c>
    </row>
    <row r="5" spans="1:26" x14ac:dyDescent="0.25">
      <c r="A5" s="24" t="s">
        <v>23</v>
      </c>
    </row>
    <row r="6" spans="1:26" x14ac:dyDescent="0.25">
      <c r="A6" s="10" t="s">
        <v>170</v>
      </c>
      <c r="B6" s="33">
        <f>Assumption_Nursery!D18*Assumption_Nursery!D149*Assumption_Nursery!D150*(1+Assumption_Nursery!D151)^Assumption_Nursery!D148</f>
        <v>0</v>
      </c>
      <c r="C6" s="33">
        <f>Assumption_Nursery!E18*Assumption_Nursery!E149*Assumption_Nursery!E150*(1+Assumption_Nursery!E151)^Assumption_Nursery!E148</f>
        <v>160650.00000000003</v>
      </c>
      <c r="D6" s="33">
        <f>Assumption_Nursery!F18*Assumption_Nursery!F149*Assumption_Nursery!F150*(1+Assumption_Nursery!F151)^Assumption_Nursery!F148</f>
        <v>409657.50000000006</v>
      </c>
      <c r="E6" s="166">
        <f>Assumption_Nursery!G18*Assumption_Nursery!G149*Assumption_Nursery!G150*(1+Assumption_Nursery!G151)^Assumption_Nursery!G148*(1+Assumption_Nursery!$X121)</f>
        <v>571619.68920000002</v>
      </c>
      <c r="F6" s="33">
        <f>Assumption_Nursery!H18*Assumption_Nursery!H149*Assumption_Nursery!H150*(1+Assumption_Nursery!H151)^Assumption_Nursery!H148</f>
        <v>852415.32600000012</v>
      </c>
      <c r="G6" s="33">
        <f>Assumption_Nursery!I18*Assumption_Nursery!I149*Assumption_Nursery!I150*(1+Assumption_Nursery!I151)^Assumption_Nursery!I148</f>
        <v>869463.6325200001</v>
      </c>
      <c r="H6" s="166">
        <f>Assumption_Nursery!J18*Assumption_Nursery!J149*Assumption_Nursery!J150*(1+Assumption_Nursery!J151)^Assumption_Nursery!J148*(1+Assumption_Nursery!$X121)</f>
        <v>758259.23392069212</v>
      </c>
      <c r="I6" s="33">
        <f>Assumption_Nursery!K18*Assumption_Nursery!K149*Assumption_Nursery!K150*(1+Assumption_Nursery!K151)^Assumption_Nursery!K148</f>
        <v>904589.96327380801</v>
      </c>
      <c r="J6" s="33">
        <f>Assumption_Nursery!L18*Assumption_Nursery!L149*Assumption_Nursery!L150*(1+Assumption_Nursery!L151)^Assumption_Nursery!L148</f>
        <v>922681.76253928419</v>
      </c>
      <c r="K6" s="166">
        <f>Assumption_Nursery!M18*Assumption_Nursery!M149*Assumption_Nursery!M150*(1+Assumption_Nursery!M151)^Assumption_Nursery!M148*(1+Assumption_Nursery!$X121)</f>
        <v>804670.76511050982</v>
      </c>
      <c r="L6" s="33">
        <f>Assumption_Nursery!N18*Assumption_Nursery!N149*Assumption_Nursery!N150*(1+Assumption_Nursery!N151)^Assumption_Nursery!N148</f>
        <v>959958.10574587132</v>
      </c>
      <c r="M6" s="33">
        <f>Assumption_Nursery!O18*Assumption_Nursery!O149*Assumption_Nursery!O150*(1+Assumption_Nursery!O151)^Assumption_Nursery!O148</f>
        <v>979157.26786078862</v>
      </c>
      <c r="N6" s="166">
        <f>Assumption_Nursery!P18*Assumption_Nursery!P149*Assumption_Nursery!P150*(1+Assumption_Nursery!P151)^Assumption_Nursery!P148*(1+Assumption_Nursery!$X121)</f>
        <v>853923.05330139399</v>
      </c>
      <c r="O6" s="33">
        <f>Assumption_Nursery!Q18*Assumption_Nursery!Q149*Assumption_Nursery!Q150*(1+Assumption_Nursery!Q151)^Assumption_Nursery!Q148</f>
        <v>1018715.2214823646</v>
      </c>
      <c r="P6" s="33">
        <f>Assumption_Nursery!R18*Assumption_Nursery!R149*Assumption_Nursery!R150*(1+Assumption_Nursery!R151)^Assumption_Nursery!R148</f>
        <v>1039089.525912012</v>
      </c>
      <c r="Q6" s="166">
        <f>Assumption_Nursery!S18*Assumption_Nursery!S149*Assumption_Nursery!S150*(1+Assumption_Nursery!S151)^Assumption_Nursery!S148*(1+Assumption_Nursery!$X121)</f>
        <v>906189.97554786538</v>
      </c>
      <c r="R6" s="33">
        <f>Assumption_Nursery!T18*Assumption_Nursery!T149*Assumption_Nursery!T150*(1+Assumption_Nursery!T151)^Assumption_Nursery!T148</f>
        <v>1081068.7427588571</v>
      </c>
      <c r="S6" s="33">
        <f>Assumption_Nursery!U18*Assumption_Nursery!U149*Assumption_Nursery!U150*(1+Assumption_Nursery!U151)^Assumption_Nursery!U148</f>
        <v>1102690.1176140343</v>
      </c>
      <c r="T6" s="166">
        <f>Assumption_Nursery!V18*Assumption_Nursery!V149*Assumption_Nursery!V150*(1+Assumption_Nursery!V151)^Assumption_Nursery!V148*(1+Assumption_Nursery!$X121)</f>
        <v>961656.05157119932</v>
      </c>
      <c r="U6" s="33">
        <f>Assumption_Nursery!W18*Assumption_Nursery!W149*Assumption_Nursery!W150*(1+Assumption_Nursery!W151)^Assumption_Nursery!W148</f>
        <v>1147238.7983656412</v>
      </c>
      <c r="V6" s="33">
        <f>Assumption_Nursery!X18*Assumption_Nursery!X149*Assumption_Nursery!X150*(1+Assumption_Nursery!X151)^Assumption_Nursery!X148</f>
        <v>1170183.5743329541</v>
      </c>
      <c r="W6" s="166">
        <f>Assumption_Nursery!Y18*Assumption_Nursery!Y149*Assumption_Nursery!Y150*(1+Assumption_Nursery!Y151)^Assumption_Nursery!Y148*(1+Assumption_Nursery!$X121)</f>
        <v>816413.67614061537</v>
      </c>
      <c r="X6" s="33">
        <f>Assumption_Nursery!Z18*Assumption_Nursery!Z149*Assumption_Nursery!Z150*(1+Assumption_Nursery!Z151)^Assumption_Nursery!Z148</f>
        <v>608729.49536800268</v>
      </c>
      <c r="Y6" s="33">
        <f>Assumption_Nursery!AA18*Assumption_Nursery!AA149*Assumption_Nursery!AA150*(1+Assumption_Nursery!AA151)^Assumption_Nursery!AA148</f>
        <v>248361.63411014507</v>
      </c>
      <c r="Z6" s="166">
        <f>Assumption_Nursery!AB18*Assumption_Nursery!AB149*Assumption_Nursery!AB150*(1+Assumption_Nursery!AB151)^Assumption_Nursery!AB148*(1+Assumption_Nursery!$X121)</f>
        <v>0</v>
      </c>
    </row>
    <row r="7" spans="1:26" s="13" customFormat="1" x14ac:dyDescent="0.25">
      <c r="A7" s="24" t="s">
        <v>58</v>
      </c>
      <c r="B7" s="41">
        <f>B6</f>
        <v>0</v>
      </c>
      <c r="C7" s="41">
        <f t="shared" ref="C7:Z7" si="0">C6</f>
        <v>160650.00000000003</v>
      </c>
      <c r="D7" s="41">
        <f t="shared" si="0"/>
        <v>409657.50000000006</v>
      </c>
      <c r="E7" s="41">
        <f t="shared" si="0"/>
        <v>571619.68920000002</v>
      </c>
      <c r="F7" s="41">
        <f t="shared" si="0"/>
        <v>852415.32600000012</v>
      </c>
      <c r="G7" s="41">
        <f t="shared" si="0"/>
        <v>869463.6325200001</v>
      </c>
      <c r="H7" s="41">
        <f t="shared" si="0"/>
        <v>758259.23392069212</v>
      </c>
      <c r="I7" s="41">
        <f t="shared" si="0"/>
        <v>904589.96327380801</v>
      </c>
      <c r="J7" s="41">
        <f t="shared" si="0"/>
        <v>922681.76253928419</v>
      </c>
      <c r="K7" s="41">
        <f t="shared" si="0"/>
        <v>804670.76511050982</v>
      </c>
      <c r="L7" s="41">
        <f t="shared" si="0"/>
        <v>959958.10574587132</v>
      </c>
      <c r="M7" s="41">
        <f t="shared" si="0"/>
        <v>979157.26786078862</v>
      </c>
      <c r="N7" s="41">
        <f t="shared" si="0"/>
        <v>853923.05330139399</v>
      </c>
      <c r="O7" s="41">
        <f t="shared" si="0"/>
        <v>1018715.2214823646</v>
      </c>
      <c r="P7" s="41">
        <f t="shared" si="0"/>
        <v>1039089.525912012</v>
      </c>
      <c r="Q7" s="41">
        <f t="shared" si="0"/>
        <v>906189.97554786538</v>
      </c>
      <c r="R7" s="41">
        <f t="shared" si="0"/>
        <v>1081068.7427588571</v>
      </c>
      <c r="S7" s="41">
        <f t="shared" si="0"/>
        <v>1102690.1176140343</v>
      </c>
      <c r="T7" s="41">
        <f t="shared" si="0"/>
        <v>961656.05157119932</v>
      </c>
      <c r="U7" s="41">
        <f t="shared" si="0"/>
        <v>1147238.7983656412</v>
      </c>
      <c r="V7" s="41">
        <f t="shared" si="0"/>
        <v>1170183.5743329541</v>
      </c>
      <c r="W7" s="41">
        <f t="shared" si="0"/>
        <v>816413.67614061537</v>
      </c>
      <c r="X7" s="41">
        <f t="shared" si="0"/>
        <v>608729.49536800268</v>
      </c>
      <c r="Y7" s="41">
        <f t="shared" si="0"/>
        <v>248361.63411014507</v>
      </c>
      <c r="Z7" s="41">
        <f t="shared" si="0"/>
        <v>0</v>
      </c>
    </row>
    <row r="8" spans="1:26" x14ac:dyDescent="0.25">
      <c r="A8" s="24"/>
      <c r="B8" s="44"/>
      <c r="C8" s="44"/>
      <c r="D8" s="44"/>
      <c r="E8" s="44"/>
      <c r="F8" s="44"/>
      <c r="G8" s="44"/>
      <c r="H8" s="44"/>
      <c r="I8" s="44"/>
      <c r="J8" s="44"/>
      <c r="K8" s="44"/>
    </row>
    <row r="9" spans="1:26" x14ac:dyDescent="0.25">
      <c r="A9" s="24" t="s">
        <v>24</v>
      </c>
    </row>
    <row r="10" spans="1:26" x14ac:dyDescent="0.25">
      <c r="A10" s="9" t="s">
        <v>69</v>
      </c>
      <c r="B10" s="35">
        <f>Assumption_Nursery!D18*Assumption_Nursery!D155</f>
        <v>0</v>
      </c>
      <c r="C10" s="35">
        <f>Assumption_Nursery!E18*Assumption_Nursery!E155</f>
        <v>40000</v>
      </c>
      <c r="D10" s="35">
        <f>Assumption_Nursery!F18*Assumption_Nursery!F155</f>
        <v>100000</v>
      </c>
      <c r="E10" s="35">
        <f>Assumption_Nursery!G18*Assumption_Nursery!G155</f>
        <v>160000</v>
      </c>
      <c r="F10" s="35">
        <f>Assumption_Nursery!H18*Assumption_Nursery!H155</f>
        <v>200000</v>
      </c>
      <c r="G10" s="35">
        <f>Assumption_Nursery!I18*Assumption_Nursery!I155</f>
        <v>200000</v>
      </c>
      <c r="H10" s="35">
        <f>Assumption_Nursery!J18*Assumption_Nursery!J155</f>
        <v>200000</v>
      </c>
      <c r="I10" s="35">
        <f>Assumption_Nursery!K18*Assumption_Nursery!K155</f>
        <v>200000</v>
      </c>
      <c r="J10" s="35">
        <f>Assumption_Nursery!L18*Assumption_Nursery!L155</f>
        <v>200000</v>
      </c>
      <c r="K10" s="35">
        <f>Assumption_Nursery!M18*Assumption_Nursery!M155</f>
        <v>200000</v>
      </c>
      <c r="L10" s="35">
        <f>Assumption_Nursery!N18*Assumption_Nursery!N155</f>
        <v>200000</v>
      </c>
      <c r="M10" s="35">
        <f>Assumption_Nursery!O18*Assumption_Nursery!O155</f>
        <v>200000</v>
      </c>
      <c r="N10" s="35">
        <f>Assumption_Nursery!P18*Assumption_Nursery!P155</f>
        <v>200000</v>
      </c>
      <c r="O10" s="35">
        <f>Assumption_Nursery!Q18*Assumption_Nursery!Q155</f>
        <v>200000</v>
      </c>
      <c r="P10" s="35">
        <f>Assumption_Nursery!R18*Assumption_Nursery!R155</f>
        <v>200000</v>
      </c>
      <c r="Q10" s="35">
        <f>Assumption_Nursery!S18*Assumption_Nursery!S155</f>
        <v>200000</v>
      </c>
      <c r="R10" s="35">
        <f>Assumption_Nursery!T18*Assumption_Nursery!T155</f>
        <v>200000</v>
      </c>
      <c r="S10" s="35">
        <f>Assumption_Nursery!U18*Assumption_Nursery!U155</f>
        <v>200000</v>
      </c>
      <c r="T10" s="35">
        <f>Assumption_Nursery!V18*Assumption_Nursery!V155</f>
        <v>200000</v>
      </c>
      <c r="U10" s="35">
        <f>Assumption_Nursery!W18*Assumption_Nursery!W155</f>
        <v>200000</v>
      </c>
      <c r="V10" s="35">
        <f>Assumption_Nursery!X18*Assumption_Nursery!X155</f>
        <v>200000</v>
      </c>
      <c r="W10" s="35">
        <f>Assumption_Nursery!Y18*Assumption_Nursery!Y155</f>
        <v>160000</v>
      </c>
      <c r="X10" s="35">
        <f>Assumption_Nursery!Z18*Assumption_Nursery!Z155</f>
        <v>100000</v>
      </c>
      <c r="Y10" s="35">
        <f>Assumption_Nursery!AA18*Assumption_Nursery!AA155</f>
        <v>40000</v>
      </c>
      <c r="Z10" s="35">
        <f>Assumption_Nursery!AB18*Assumption_Nursery!AB155</f>
        <v>0</v>
      </c>
    </row>
    <row r="11" spans="1:26" x14ac:dyDescent="0.25">
      <c r="A11" s="9" t="s">
        <v>70</v>
      </c>
      <c r="B11" s="35">
        <f>Assumption_Nursery!D18*Assumption_Nursery!D156</f>
        <v>0</v>
      </c>
      <c r="C11" s="35">
        <f>Assumption_Nursery!E18*Assumption_Nursery!E156</f>
        <v>85000.000000000015</v>
      </c>
      <c r="D11" s="35">
        <f>Assumption_Nursery!F18*Assumption_Nursery!F156</f>
        <v>212500.00000000003</v>
      </c>
      <c r="E11" s="35">
        <f>Assumption_Nursery!G18*Assumption_Nursery!G156</f>
        <v>340000.00000000006</v>
      </c>
      <c r="F11" s="35">
        <f>Assumption_Nursery!H18*Assumption_Nursery!H156</f>
        <v>425000.00000000006</v>
      </c>
      <c r="G11" s="35">
        <f>Assumption_Nursery!I18*Assumption_Nursery!I156</f>
        <v>425000.00000000006</v>
      </c>
      <c r="H11" s="35">
        <f>Assumption_Nursery!J18*Assumption_Nursery!J156</f>
        <v>425000.00000000006</v>
      </c>
      <c r="I11" s="35">
        <f>Assumption_Nursery!K18*Assumption_Nursery!K156</f>
        <v>425000.00000000006</v>
      </c>
      <c r="J11" s="35">
        <f>Assumption_Nursery!L18*Assumption_Nursery!L156</f>
        <v>425000.00000000006</v>
      </c>
      <c r="K11" s="35">
        <f>Assumption_Nursery!M18*Assumption_Nursery!M156</f>
        <v>425000.00000000006</v>
      </c>
      <c r="L11" s="35">
        <f>Assumption_Nursery!N18*Assumption_Nursery!N156</f>
        <v>425000.00000000006</v>
      </c>
      <c r="M11" s="35">
        <f>Assumption_Nursery!O18*Assumption_Nursery!O156</f>
        <v>425000.00000000006</v>
      </c>
      <c r="N11" s="35">
        <f>Assumption_Nursery!P18*Assumption_Nursery!P156</f>
        <v>425000.00000000006</v>
      </c>
      <c r="O11" s="35">
        <f>Assumption_Nursery!Q18*Assumption_Nursery!Q156</f>
        <v>425000.00000000006</v>
      </c>
      <c r="P11" s="35">
        <f>Assumption_Nursery!R18*Assumption_Nursery!R156</f>
        <v>425000.00000000006</v>
      </c>
      <c r="Q11" s="35">
        <f>Assumption_Nursery!S18*Assumption_Nursery!S156</f>
        <v>425000.00000000006</v>
      </c>
      <c r="R11" s="35">
        <f>Assumption_Nursery!T18*Assumption_Nursery!T156</f>
        <v>425000.00000000006</v>
      </c>
      <c r="S11" s="35">
        <f>Assumption_Nursery!U18*Assumption_Nursery!U156</f>
        <v>425000.00000000006</v>
      </c>
      <c r="T11" s="35">
        <f>Assumption_Nursery!V18*Assumption_Nursery!V156</f>
        <v>425000.00000000006</v>
      </c>
      <c r="U11" s="35">
        <f>Assumption_Nursery!W18*Assumption_Nursery!W156</f>
        <v>425000.00000000006</v>
      </c>
      <c r="V11" s="35">
        <f>Assumption_Nursery!X18*Assumption_Nursery!X156</f>
        <v>425000.00000000006</v>
      </c>
      <c r="W11" s="35">
        <f>Assumption_Nursery!Y18*Assumption_Nursery!Y156</f>
        <v>340000.00000000006</v>
      </c>
      <c r="X11" s="35">
        <f>Assumption_Nursery!Z18*Assumption_Nursery!Z156</f>
        <v>212500.00000000003</v>
      </c>
      <c r="Y11" s="35">
        <f>Assumption_Nursery!AA18*Assumption_Nursery!AA156</f>
        <v>85000.000000000015</v>
      </c>
      <c r="Z11" s="35">
        <f>Assumption_Nursery!AB18*Assumption_Nursery!AB156</f>
        <v>0</v>
      </c>
    </row>
    <row r="12" spans="1:26" x14ac:dyDescent="0.25">
      <c r="A12" s="9" t="s">
        <v>39</v>
      </c>
      <c r="B12" s="35">
        <f>Assumption_Nursery!D18*Assumption_Nursery!D157</f>
        <v>0</v>
      </c>
      <c r="C12" s="35">
        <f>Assumption_Nursery!E18*Assumption_Nursery!E157</f>
        <v>5000</v>
      </c>
      <c r="D12" s="35">
        <f>Assumption_Nursery!F18*Assumption_Nursery!F157</f>
        <v>12500</v>
      </c>
      <c r="E12" s="147">
        <f>Assumption_Nursery!G18*Assumption_Nursery!G157*(1+Assumption_Nursery!$X129)</f>
        <v>21822.499999999996</v>
      </c>
      <c r="F12" s="35">
        <f>Assumption_Nursery!H18*Assumption_Nursery!H157</f>
        <v>25000</v>
      </c>
      <c r="G12" s="35">
        <f>Assumption_Nursery!I18*Assumption_Nursery!I157</f>
        <v>25000</v>
      </c>
      <c r="H12" s="147">
        <f>Assumption_Nursery!J18*Assumption_Nursery!J157*(1+Assumption_Nursery!$X129)</f>
        <v>27278.124999999996</v>
      </c>
      <c r="I12" s="35">
        <f>Assumption_Nursery!K18*Assumption_Nursery!K157</f>
        <v>25000</v>
      </c>
      <c r="J12" s="35">
        <f>Assumption_Nursery!L18*Assumption_Nursery!L157</f>
        <v>25000</v>
      </c>
      <c r="K12" s="147">
        <f>Assumption_Nursery!M18*Assumption_Nursery!M157*(1+Assumption_Nursery!$X129)</f>
        <v>27278.124999999996</v>
      </c>
      <c r="L12" s="35">
        <f>Assumption_Nursery!N18*Assumption_Nursery!N157</f>
        <v>25000</v>
      </c>
      <c r="M12" s="35">
        <f>Assumption_Nursery!O18*Assumption_Nursery!O157</f>
        <v>25000</v>
      </c>
      <c r="N12" s="147">
        <f>Assumption_Nursery!P18*Assumption_Nursery!P157*(1+Assumption_Nursery!$X129)</f>
        <v>27278.124999999996</v>
      </c>
      <c r="O12" s="35">
        <f>Assumption_Nursery!Q18*Assumption_Nursery!Q157</f>
        <v>25000</v>
      </c>
      <c r="P12" s="35">
        <f>Assumption_Nursery!R18*Assumption_Nursery!R157</f>
        <v>25000</v>
      </c>
      <c r="Q12" s="147">
        <f>Assumption_Nursery!S18*Assumption_Nursery!S157*(1+Assumption_Nursery!$X129)</f>
        <v>27278.124999999996</v>
      </c>
      <c r="R12" s="35">
        <f>Assumption_Nursery!T18*Assumption_Nursery!T157</f>
        <v>25000</v>
      </c>
      <c r="S12" s="35">
        <f>Assumption_Nursery!U18*Assumption_Nursery!U157</f>
        <v>25000</v>
      </c>
      <c r="T12" s="147">
        <f>Assumption_Nursery!V18*Assumption_Nursery!V157*(1+Assumption_Nursery!$X129)</f>
        <v>27278.124999999996</v>
      </c>
      <c r="U12" s="35">
        <f>Assumption_Nursery!W18*Assumption_Nursery!W157</f>
        <v>25000</v>
      </c>
      <c r="V12" s="35">
        <f>Assumption_Nursery!X18*Assumption_Nursery!X157</f>
        <v>25000</v>
      </c>
      <c r="W12" s="147">
        <f>Assumption_Nursery!Y18*Assumption_Nursery!Y157*(1+Assumption_Nursery!$X129)</f>
        <v>21822.499999999996</v>
      </c>
      <c r="X12" s="35">
        <f>Assumption_Nursery!Z18*Assumption_Nursery!Z157</f>
        <v>12500</v>
      </c>
      <c r="Y12" s="35">
        <f>Assumption_Nursery!AA18*Assumption_Nursery!AA157</f>
        <v>5000</v>
      </c>
      <c r="Z12" s="147">
        <f>Assumption_Nursery!AB18*Assumption_Nursery!AB157*(1+Assumption_Nursery!$X129)</f>
        <v>0</v>
      </c>
    </row>
    <row r="13" spans="1:26" x14ac:dyDescent="0.25">
      <c r="A13" s="9" t="s">
        <v>166</v>
      </c>
      <c r="B13" s="35">
        <f>Assumption_Nursery!D18*Assumption_Nursery!D158</f>
        <v>0</v>
      </c>
      <c r="C13" s="35">
        <f>Assumption_Nursery!E18*Assumption_Nursery!E158</f>
        <v>4000</v>
      </c>
      <c r="D13" s="35">
        <f>Assumption_Nursery!F18*Assumption_Nursery!F158</f>
        <v>10000</v>
      </c>
      <c r="E13" s="35">
        <f>Assumption_Nursery!G18*Assumption_Nursery!G158</f>
        <v>16000</v>
      </c>
      <c r="F13" s="35">
        <f>Assumption_Nursery!H18*Assumption_Nursery!H158</f>
        <v>20000</v>
      </c>
      <c r="G13" s="35">
        <f>Assumption_Nursery!I18*Assumption_Nursery!I158</f>
        <v>20000</v>
      </c>
      <c r="H13" s="35">
        <f>Assumption_Nursery!J18*Assumption_Nursery!J158</f>
        <v>20000</v>
      </c>
      <c r="I13" s="35">
        <f>Assumption_Nursery!K18*Assumption_Nursery!K158</f>
        <v>20000</v>
      </c>
      <c r="J13" s="35">
        <f>Assumption_Nursery!L18*Assumption_Nursery!L158</f>
        <v>20000</v>
      </c>
      <c r="K13" s="35">
        <f>Assumption_Nursery!M18*Assumption_Nursery!M158</f>
        <v>20000</v>
      </c>
      <c r="L13" s="35">
        <f>Assumption_Nursery!N18*Assumption_Nursery!N158</f>
        <v>20000</v>
      </c>
      <c r="M13" s="35">
        <f>Assumption_Nursery!O18*Assumption_Nursery!O158</f>
        <v>20000</v>
      </c>
      <c r="N13" s="35">
        <f>Assumption_Nursery!P18*Assumption_Nursery!P158</f>
        <v>20000</v>
      </c>
      <c r="O13" s="35">
        <f>Assumption_Nursery!Q18*Assumption_Nursery!Q158</f>
        <v>20000</v>
      </c>
      <c r="P13" s="35">
        <f>Assumption_Nursery!R18*Assumption_Nursery!R158</f>
        <v>20000</v>
      </c>
      <c r="Q13" s="35">
        <f>Assumption_Nursery!S18*Assumption_Nursery!S158</f>
        <v>20000</v>
      </c>
      <c r="R13" s="35">
        <f>Assumption_Nursery!T18*Assumption_Nursery!T158</f>
        <v>20000</v>
      </c>
      <c r="S13" s="35">
        <f>Assumption_Nursery!U18*Assumption_Nursery!U158</f>
        <v>20000</v>
      </c>
      <c r="T13" s="35">
        <f>Assumption_Nursery!V18*Assumption_Nursery!V158</f>
        <v>20000</v>
      </c>
      <c r="U13" s="35">
        <f>Assumption_Nursery!W18*Assumption_Nursery!W158</f>
        <v>20000</v>
      </c>
      <c r="V13" s="35">
        <f>Assumption_Nursery!X18*Assumption_Nursery!X158</f>
        <v>20000</v>
      </c>
      <c r="W13" s="35">
        <f>Assumption_Nursery!Y18*Assumption_Nursery!Y158</f>
        <v>16000</v>
      </c>
      <c r="X13" s="35">
        <f>Assumption_Nursery!Z18*Assumption_Nursery!Z158</f>
        <v>10000</v>
      </c>
      <c r="Y13" s="35">
        <f>Assumption_Nursery!AA18*Assumption_Nursery!AA158</f>
        <v>4000</v>
      </c>
      <c r="Z13" s="35">
        <f>Assumption_Nursery!AB18*Assumption_Nursery!AB158</f>
        <v>0</v>
      </c>
    </row>
    <row r="14" spans="1:26" x14ac:dyDescent="0.25">
      <c r="A14" s="9" t="str">
        <f>BaU_Nursery!A42</f>
        <v>Labor</v>
      </c>
      <c r="B14" s="35">
        <f>BaU_Nursery!B42</f>
        <v>0</v>
      </c>
      <c r="C14" s="35">
        <f>BaU_Nursery!C42</f>
        <v>42420</v>
      </c>
      <c r="D14" s="35">
        <f>BaU_Nursery!D42</f>
        <v>107110.5</v>
      </c>
      <c r="E14" s="35">
        <f>BaU_Nursery!E42</f>
        <v>173090.56799999997</v>
      </c>
      <c r="F14" s="35">
        <f>BaU_Nursery!F42</f>
        <v>218526.84210000001</v>
      </c>
      <c r="G14" s="35">
        <f>BaU_Nursery!G42</f>
        <v>220712.11052099997</v>
      </c>
      <c r="H14" s="35">
        <f>BaU_Nursery!H42</f>
        <v>222919.23162621004</v>
      </c>
      <c r="I14" s="35">
        <f>BaU_Nursery!I42</f>
        <v>225148.42394247209</v>
      </c>
      <c r="J14" s="35">
        <f>BaU_Nursery!J42</f>
        <v>227399.90818189684</v>
      </c>
      <c r="K14" s="35">
        <f>BaU_Nursery!K42</f>
        <v>229673.90726371581</v>
      </c>
      <c r="L14" s="35">
        <f>BaU_Nursery!L42</f>
        <v>231970.64633635298</v>
      </c>
      <c r="M14" s="35">
        <f>BaU_Nursery!M42</f>
        <v>234290.35279971649</v>
      </c>
      <c r="N14" s="35">
        <f>BaU_Nursery!N42</f>
        <v>236633.25632771364</v>
      </c>
      <c r="O14" s="35">
        <f>BaU_Nursery!O42</f>
        <v>238999.5888909908</v>
      </c>
      <c r="P14" s="35">
        <f>BaU_Nursery!P42</f>
        <v>241389.58477990073</v>
      </c>
      <c r="Q14" s="35">
        <f>BaU_Nursery!Q42</f>
        <v>243803.4806276997</v>
      </c>
      <c r="R14" s="35">
        <f>BaU_Nursery!R42</f>
        <v>246241.51543397675</v>
      </c>
      <c r="S14" s="35">
        <f>BaU_Nursery!S42</f>
        <v>248703.93058831652</v>
      </c>
      <c r="T14" s="35">
        <f>BaU_Nursery!T42</f>
        <v>251190.96989419969</v>
      </c>
      <c r="U14" s="35">
        <f>BaU_Nursery!U42</f>
        <v>253702.87959314164</v>
      </c>
      <c r="V14" s="35">
        <f>BaU_Nursery!V42</f>
        <v>256239.9083890731</v>
      </c>
      <c r="W14" s="35">
        <f>BaU_Nursery!W42</f>
        <v>207041.84597837101</v>
      </c>
      <c r="X14" s="35">
        <f>BaU_Nursery!X42</f>
        <v>130695.16527384675</v>
      </c>
      <c r="Y14" s="35">
        <f>BaU_Nursery!Y42</f>
        <v>52800.846770634074</v>
      </c>
      <c r="Z14" s="35">
        <f>BaU_Nursery!Z42</f>
        <v>0</v>
      </c>
    </row>
    <row r="15" spans="1:26" s="54" customFormat="1" x14ac:dyDescent="0.25">
      <c r="A15" s="56" t="s">
        <v>156</v>
      </c>
      <c r="B15" s="53">
        <f>Assumption_Nursery!D43</f>
        <v>0</v>
      </c>
      <c r="C15" s="53">
        <f>Assumption_Nursery!E43</f>
        <v>74400</v>
      </c>
      <c r="D15" s="53">
        <f>Assumption_Nursery!F43</f>
        <v>111600</v>
      </c>
      <c r="E15" s="53">
        <f>Assumption_Nursery!G43</f>
        <v>111600</v>
      </c>
      <c r="F15" s="53">
        <f>Assumption_Nursery!H43</f>
        <v>74400</v>
      </c>
      <c r="G15" s="53">
        <f>Assumption_Nursery!I43</f>
        <v>0</v>
      </c>
      <c r="H15" s="53">
        <f>Assumption_Nursery!J43</f>
        <v>0</v>
      </c>
      <c r="I15" s="53">
        <f>Assumption_Nursery!K43</f>
        <v>0</v>
      </c>
      <c r="J15" s="53">
        <f>Assumption_Nursery!L43</f>
        <v>0</v>
      </c>
      <c r="K15" s="53">
        <f>Assumption_Nursery!M43</f>
        <v>0</v>
      </c>
      <c r="L15" s="53">
        <f>Assumption_Nursery!N43</f>
        <v>0</v>
      </c>
      <c r="M15" s="53">
        <f>Assumption_Nursery!O43</f>
        <v>0</v>
      </c>
      <c r="N15" s="53">
        <f>Assumption_Nursery!P43</f>
        <v>0</v>
      </c>
      <c r="O15" s="53">
        <f>Assumption_Nursery!Q43</f>
        <v>0</v>
      </c>
      <c r="P15" s="53">
        <f>Assumption_Nursery!R43</f>
        <v>0</v>
      </c>
      <c r="Q15" s="53">
        <f>Assumption_Nursery!S43</f>
        <v>0</v>
      </c>
      <c r="R15" s="53">
        <f>Assumption_Nursery!T43</f>
        <v>0</v>
      </c>
      <c r="S15" s="53">
        <f>Assumption_Nursery!U43</f>
        <v>0</v>
      </c>
      <c r="T15" s="53">
        <f>Assumption_Nursery!V43</f>
        <v>0</v>
      </c>
      <c r="U15" s="53">
        <f>Assumption_Nursery!W43</f>
        <v>0</v>
      </c>
      <c r="V15" s="53">
        <f>Assumption_Nursery!X43</f>
        <v>0</v>
      </c>
      <c r="W15" s="53">
        <f>Assumption_Nursery!Y43</f>
        <v>0</v>
      </c>
      <c r="X15" s="53">
        <f>Assumption_Nursery!Z43</f>
        <v>0</v>
      </c>
      <c r="Y15" s="53">
        <f>Assumption_Nursery!AA43</f>
        <v>0</v>
      </c>
      <c r="Z15" s="53">
        <f>Assumption_Nursery!AB43</f>
        <v>0</v>
      </c>
    </row>
    <row r="16" spans="1:26" x14ac:dyDescent="0.25">
      <c r="A16" s="127" t="s">
        <v>59</v>
      </c>
      <c r="B16" s="40">
        <f t="shared" ref="B16:Z16" si="1">SUM(B10:B15)</f>
        <v>0</v>
      </c>
      <c r="C16" s="40">
        <f t="shared" si="1"/>
        <v>250820</v>
      </c>
      <c r="D16" s="40">
        <f t="shared" si="1"/>
        <v>553710.5</v>
      </c>
      <c r="E16" s="40">
        <f t="shared" si="1"/>
        <v>822513.06799999997</v>
      </c>
      <c r="F16" s="40">
        <f t="shared" si="1"/>
        <v>962926.84210000001</v>
      </c>
      <c r="G16" s="40">
        <f t="shared" si="1"/>
        <v>890712.110521</v>
      </c>
      <c r="H16" s="40">
        <f t="shared" si="1"/>
        <v>895197.35662621004</v>
      </c>
      <c r="I16" s="40">
        <f t="shared" si="1"/>
        <v>895148.42394247209</v>
      </c>
      <c r="J16" s="40">
        <f t="shared" si="1"/>
        <v>897399.9081818969</v>
      </c>
      <c r="K16" s="40">
        <f t="shared" si="1"/>
        <v>901952.03226371575</v>
      </c>
      <c r="L16" s="40">
        <f t="shared" si="1"/>
        <v>901970.64633635292</v>
      </c>
      <c r="M16" s="40">
        <f t="shared" si="1"/>
        <v>904290.35279971652</v>
      </c>
      <c r="N16" s="40">
        <f t="shared" si="1"/>
        <v>908911.38132771361</v>
      </c>
      <c r="O16" s="40">
        <f t="shared" si="1"/>
        <v>908999.58889099082</v>
      </c>
      <c r="P16" s="40">
        <f t="shared" si="1"/>
        <v>911389.58477990073</v>
      </c>
      <c r="Q16" s="40">
        <f t="shared" si="1"/>
        <v>916081.60562769976</v>
      </c>
      <c r="R16" s="40">
        <f t="shared" si="1"/>
        <v>916241.51543397678</v>
      </c>
      <c r="S16" s="40">
        <f t="shared" si="1"/>
        <v>918703.93058831652</v>
      </c>
      <c r="T16" s="40">
        <f t="shared" si="1"/>
        <v>923469.09489419963</v>
      </c>
      <c r="U16" s="40">
        <f t="shared" si="1"/>
        <v>923702.87959314161</v>
      </c>
      <c r="V16" s="40">
        <f t="shared" si="1"/>
        <v>926239.9083890731</v>
      </c>
      <c r="W16" s="40">
        <f t="shared" si="1"/>
        <v>744864.34597837098</v>
      </c>
      <c r="X16" s="40">
        <f t="shared" si="1"/>
        <v>465695.16527384677</v>
      </c>
      <c r="Y16" s="40">
        <f t="shared" si="1"/>
        <v>186800.84677063406</v>
      </c>
      <c r="Z16" s="40">
        <f t="shared" si="1"/>
        <v>0</v>
      </c>
    </row>
    <row r="17" spans="1:26" x14ac:dyDescent="0.25">
      <c r="B17" s="34"/>
      <c r="C17" s="34"/>
      <c r="D17" s="34"/>
      <c r="E17" s="34"/>
      <c r="F17" s="34"/>
      <c r="G17" s="34"/>
      <c r="H17" s="34"/>
      <c r="I17" s="34"/>
      <c r="J17" s="34"/>
      <c r="K17" s="34"/>
      <c r="L17" s="34"/>
    </row>
    <row r="18" spans="1:26" x14ac:dyDescent="0.25">
      <c r="A18" s="24" t="s">
        <v>60</v>
      </c>
      <c r="B18" s="36">
        <f t="shared" ref="B18:Z18" si="2">B7-B16</f>
        <v>0</v>
      </c>
      <c r="C18" s="36">
        <f t="shared" si="2"/>
        <v>-90169.999999999971</v>
      </c>
      <c r="D18" s="36">
        <f t="shared" si="2"/>
        <v>-144052.99999999994</v>
      </c>
      <c r="E18" s="36">
        <f t="shared" si="2"/>
        <v>-250893.37879999995</v>
      </c>
      <c r="F18" s="36">
        <f t="shared" si="2"/>
        <v>-110511.51609999989</v>
      </c>
      <c r="G18" s="36">
        <f t="shared" si="2"/>
        <v>-21248.478000999894</v>
      </c>
      <c r="H18" s="36">
        <f t="shared" si="2"/>
        <v>-136938.12270551792</v>
      </c>
      <c r="I18" s="36">
        <f t="shared" si="2"/>
        <v>9441.5393313359236</v>
      </c>
      <c r="J18" s="36">
        <f t="shared" si="2"/>
        <v>25281.854357387288</v>
      </c>
      <c r="K18" s="36">
        <f t="shared" si="2"/>
        <v>-97281.267153205932</v>
      </c>
      <c r="L18" s="36">
        <f t="shared" si="2"/>
        <v>57987.4594095184</v>
      </c>
      <c r="M18" s="36">
        <f t="shared" si="2"/>
        <v>74866.915061072097</v>
      </c>
      <c r="N18" s="36">
        <f t="shared" si="2"/>
        <v>-54988.328026319621</v>
      </c>
      <c r="O18" s="36">
        <f t="shared" si="2"/>
        <v>109715.63259137375</v>
      </c>
      <c r="P18" s="36">
        <f t="shared" si="2"/>
        <v>127699.94113211124</v>
      </c>
      <c r="Q18" s="36">
        <f t="shared" si="2"/>
        <v>-9891.6300798343727</v>
      </c>
      <c r="R18" s="36">
        <f t="shared" si="2"/>
        <v>164827.22732488031</v>
      </c>
      <c r="S18" s="36">
        <f t="shared" si="2"/>
        <v>183986.18702571781</v>
      </c>
      <c r="T18" s="36">
        <f t="shared" si="2"/>
        <v>38186.956676999689</v>
      </c>
      <c r="U18" s="36">
        <f t="shared" si="2"/>
        <v>223535.91877249954</v>
      </c>
      <c r="V18" s="36">
        <f t="shared" si="2"/>
        <v>243943.66594388103</v>
      </c>
      <c r="W18" s="36">
        <f t="shared" si="2"/>
        <v>71549.330162244383</v>
      </c>
      <c r="X18" s="36">
        <f t="shared" si="2"/>
        <v>143034.33009415591</v>
      </c>
      <c r="Y18" s="36">
        <f t="shared" si="2"/>
        <v>61560.787339511007</v>
      </c>
      <c r="Z18" s="36">
        <f t="shared" si="2"/>
        <v>0</v>
      </c>
    </row>
    <row r="19" spans="1:26" x14ac:dyDescent="0.25">
      <c r="B19" s="34"/>
      <c r="C19" s="34"/>
      <c r="D19" s="34"/>
      <c r="E19" s="34"/>
      <c r="F19" s="34"/>
      <c r="G19" s="34"/>
      <c r="H19" s="34"/>
      <c r="I19" s="34"/>
      <c r="J19" s="34"/>
      <c r="K19" s="34"/>
      <c r="L19" s="34"/>
    </row>
    <row r="20" spans="1:26" s="13" customFormat="1" x14ac:dyDescent="0.25">
      <c r="A20" s="24" t="s">
        <v>61</v>
      </c>
      <c r="B20" s="42">
        <f>B18/(1+Assumption_Hatchery!$C76)^B4</f>
        <v>0</v>
      </c>
      <c r="C20" s="42">
        <f>C18/(1+Assumption_Hatchery!$C76)^C4</f>
        <v>-82724.770642201809</v>
      </c>
      <c r="D20" s="42">
        <f>D18/(1+Assumption_Hatchery!$C76)^D4</f>
        <v>-121246.52807002771</v>
      </c>
      <c r="E20" s="42">
        <f>E18/(1+Assumption_Hatchery!$C76)^E4</f>
        <v>-193735.72236606278</v>
      </c>
      <c r="F20" s="42">
        <f>F18/(1+Assumption_Hatchery!$C76)^F4</f>
        <v>-78289.144118277283</v>
      </c>
      <c r="G20" s="42">
        <f>G18/(1+Assumption_Hatchery!$C76)^G4</f>
        <v>-13810.052763919753</v>
      </c>
      <c r="H20" s="42">
        <f>H18/(1+Assumption_Hatchery!$C76)^H4</f>
        <v>-81651.728373477221</v>
      </c>
      <c r="I20" s="42">
        <f>I18/(1+Assumption_Hatchery!$C76)^I4</f>
        <v>5164.8453382758262</v>
      </c>
      <c r="J20" s="42">
        <f>J18/(1+Assumption_Hatchery!$C76)^J4</f>
        <v>12688.11018957072</v>
      </c>
      <c r="K20" s="42">
        <f>K18/(1+Assumption_Hatchery!$C76)^K4</f>
        <v>-44790.997823882673</v>
      </c>
      <c r="L20" s="42">
        <f>L18/(1+Assumption_Hatchery!$C76)^L4</f>
        <v>24494.529519005675</v>
      </c>
      <c r="M20" s="42">
        <f>M18/(1+Assumption_Hatchery!$C76)^M4</f>
        <v>29013.388991503183</v>
      </c>
      <c r="N20" s="42">
        <f>N18/(1+Assumption_Hatchery!$C76)^N4</f>
        <v>-19550.260088748841</v>
      </c>
      <c r="O20" s="42">
        <f>O18/(1+Assumption_Hatchery!$C76)^O4</f>
        <v>35786.896580689026</v>
      </c>
      <c r="P20" s="42">
        <f>P18/(1+Assumption_Hatchery!$C76)^P4</f>
        <v>38213.755968489189</v>
      </c>
      <c r="Q20" s="42">
        <f>Q18/(1+Assumption_Hatchery!$C76)^Q4</f>
        <v>-2715.6287475116474</v>
      </c>
      <c r="R20" s="42">
        <f>R18/(1+Assumption_Hatchery!$C76)^R4</f>
        <v>41514.994628297834</v>
      </c>
      <c r="S20" s="42">
        <f>S18/(1+Assumption_Hatchery!$C76)^S4</f>
        <v>42514.272716698535</v>
      </c>
      <c r="T20" s="42">
        <f>T18/(1+Assumption_Hatchery!$C76)^T4</f>
        <v>8095.3957709150736</v>
      </c>
      <c r="U20" s="42">
        <f>U18/(1+Assumption_Hatchery!$C76)^U4</f>
        <v>43475.427044512289</v>
      </c>
      <c r="V20" s="42">
        <f>V18/(1+Assumption_Hatchery!$C76)^V4</f>
        <v>43527.085371114808</v>
      </c>
      <c r="W20" s="42">
        <f>W18/(1+Assumption_Hatchery!$C76)^W4</f>
        <v>11712.486829517853</v>
      </c>
      <c r="X20" s="42">
        <f>X18/(1+Assumption_Hatchery!$C76)^X4</f>
        <v>21481.140298047914</v>
      </c>
      <c r="Y20" s="42">
        <f>Y18/(1+Assumption_Hatchery!$C76)^Y4</f>
        <v>8481.9305673354556</v>
      </c>
      <c r="Z20" s="42">
        <f>Z18/(1+Assumption_Hatchery!$C76)^Z4</f>
        <v>0</v>
      </c>
    </row>
    <row r="21" spans="1:26" x14ac:dyDescent="0.25">
      <c r="B21" s="34"/>
      <c r="C21" s="34"/>
      <c r="D21" s="34"/>
      <c r="E21" s="34"/>
      <c r="F21" s="34"/>
      <c r="G21" s="34"/>
      <c r="H21" s="34"/>
      <c r="I21" s="34"/>
      <c r="J21" s="34"/>
      <c r="K21" s="34"/>
      <c r="L21" s="34"/>
    </row>
    <row r="22" spans="1:26" s="13" customFormat="1" x14ac:dyDescent="0.25">
      <c r="A22" s="26" t="s">
        <v>62</v>
      </c>
      <c r="B22" s="37">
        <f>NPV(Assumption_Hatchery!C76,C18:Z18)+B18</f>
        <v>-272350.5731801365</v>
      </c>
      <c r="C22" s="43"/>
      <c r="D22" s="43"/>
      <c r="E22" s="43"/>
      <c r="F22" s="43"/>
      <c r="G22" s="43"/>
      <c r="H22" s="43"/>
      <c r="I22" s="43"/>
      <c r="J22" s="43"/>
      <c r="K22" s="43"/>
      <c r="L22" s="43"/>
    </row>
    <row r="24" spans="1:26" s="13" customFormat="1" x14ac:dyDescent="0.25">
      <c r="A24" s="26" t="s">
        <v>25</v>
      </c>
      <c r="B24" s="38">
        <f>IRR(B18:Z18)</f>
        <v>4.1847689875542882E-2</v>
      </c>
      <c r="C24" s="4"/>
      <c r="D24" s="4"/>
      <c r="E24" s="4"/>
      <c r="F24" s="4"/>
      <c r="G24" s="4"/>
      <c r="H24" s="4"/>
      <c r="I24" s="4"/>
      <c r="J24" s="4"/>
      <c r="K24" s="4"/>
      <c r="L24" s="4"/>
    </row>
    <row r="26" spans="1:26" s="13" customFormat="1" x14ac:dyDescent="0.25">
      <c r="A26" s="27" t="s">
        <v>63</v>
      </c>
      <c r="B26" s="39">
        <f>B20</f>
        <v>0</v>
      </c>
      <c r="C26" s="39">
        <f>B26+C20</f>
        <v>-82724.770642201809</v>
      </c>
      <c r="D26" s="39">
        <f t="shared" ref="D26:Z26" si="3">C26+D20</f>
        <v>-203971.29871222953</v>
      </c>
      <c r="E26" s="39">
        <f t="shared" si="3"/>
        <v>-397707.02107829228</v>
      </c>
      <c r="F26" s="39">
        <f t="shared" si="3"/>
        <v>-475996.16519656958</v>
      </c>
      <c r="G26" s="39">
        <f t="shared" si="3"/>
        <v>-489806.21796048933</v>
      </c>
      <c r="H26" s="39">
        <f t="shared" si="3"/>
        <v>-571457.94633396657</v>
      </c>
      <c r="I26" s="39">
        <f t="shared" si="3"/>
        <v>-566293.10099569079</v>
      </c>
      <c r="J26" s="39">
        <f t="shared" si="3"/>
        <v>-553604.9908061201</v>
      </c>
      <c r="K26" s="39">
        <f t="shared" si="3"/>
        <v>-598395.98863000283</v>
      </c>
      <c r="L26" s="39">
        <f t="shared" si="3"/>
        <v>-573901.45911099715</v>
      </c>
      <c r="M26" s="39">
        <f t="shared" si="3"/>
        <v>-544888.07011949399</v>
      </c>
      <c r="N26" s="39">
        <f t="shared" si="3"/>
        <v>-564438.33020824287</v>
      </c>
      <c r="O26" s="39">
        <f t="shared" si="3"/>
        <v>-528651.43362755387</v>
      </c>
      <c r="P26" s="39">
        <f t="shared" si="3"/>
        <v>-490437.67765906465</v>
      </c>
      <c r="Q26" s="39">
        <f t="shared" si="3"/>
        <v>-493153.3064065763</v>
      </c>
      <c r="R26" s="39">
        <f t="shared" si="3"/>
        <v>-451638.31177827844</v>
      </c>
      <c r="S26" s="39">
        <f t="shared" si="3"/>
        <v>-409124.03906157991</v>
      </c>
      <c r="T26" s="39">
        <f t="shared" si="3"/>
        <v>-401028.64329066483</v>
      </c>
      <c r="U26" s="39">
        <f t="shared" si="3"/>
        <v>-357553.21624615253</v>
      </c>
      <c r="V26" s="39">
        <f t="shared" si="3"/>
        <v>-314026.13087503775</v>
      </c>
      <c r="W26" s="39">
        <f t="shared" si="3"/>
        <v>-302313.64404551988</v>
      </c>
      <c r="X26" s="39">
        <f t="shared" si="3"/>
        <v>-280832.50374747196</v>
      </c>
      <c r="Y26" s="39">
        <f t="shared" si="3"/>
        <v>-272350.5731801365</v>
      </c>
      <c r="Z26" s="39">
        <f t="shared" si="3"/>
        <v>-272350.5731801365</v>
      </c>
    </row>
    <row r="28" spans="1:26" s="1" customFormat="1" x14ac:dyDescent="0.25">
      <c r="A28" s="25"/>
      <c r="B28" s="45"/>
      <c r="C28" s="45"/>
      <c r="D28" s="45"/>
      <c r="E28" s="45"/>
      <c r="F28" s="45"/>
      <c r="G28" s="45"/>
      <c r="H28" s="45"/>
      <c r="I28" s="45"/>
      <c r="J28" s="45"/>
      <c r="K28" s="45"/>
      <c r="L28" s="45"/>
    </row>
    <row r="30" spans="1:26" ht="38.25" customHeight="1" x14ac:dyDescent="0.25">
      <c r="A30" s="11" t="s">
        <v>169</v>
      </c>
      <c r="B30" s="32"/>
      <c r="C30" s="76"/>
      <c r="D30" s="77"/>
      <c r="E30" s="32"/>
      <c r="F30" s="126" t="s">
        <v>105</v>
      </c>
      <c r="G30" s="32"/>
      <c r="H30" s="32"/>
      <c r="I30" s="32"/>
      <c r="J30" s="32"/>
      <c r="K30" s="32"/>
      <c r="L30" s="32"/>
      <c r="M30" s="11"/>
    </row>
    <row r="31" spans="1:26" ht="38.25" customHeight="1" x14ac:dyDescent="0.25">
      <c r="A31" s="11"/>
      <c r="B31" s="32"/>
      <c r="C31" s="76"/>
      <c r="D31" s="77"/>
      <c r="E31" s="32"/>
      <c r="F31" s="126"/>
      <c r="G31" s="32"/>
      <c r="H31" s="32"/>
      <c r="I31" s="32"/>
      <c r="J31" s="32"/>
      <c r="K31" s="32"/>
      <c r="L31" s="32"/>
      <c r="M31" s="11"/>
    </row>
    <row r="32" spans="1:26" x14ac:dyDescent="0.25">
      <c r="A32" s="10" t="s">
        <v>22</v>
      </c>
      <c r="B32" s="28">
        <v>0</v>
      </c>
      <c r="C32" s="28">
        <v>1</v>
      </c>
      <c r="D32" s="28">
        <v>2</v>
      </c>
      <c r="E32" s="28">
        <v>3</v>
      </c>
      <c r="F32" s="28">
        <v>4</v>
      </c>
      <c r="G32" s="28">
        <v>5</v>
      </c>
      <c r="H32" s="28">
        <v>6</v>
      </c>
      <c r="I32" s="28">
        <v>7</v>
      </c>
      <c r="J32" s="28">
        <v>8</v>
      </c>
      <c r="K32" s="28">
        <v>9</v>
      </c>
      <c r="L32" s="28">
        <v>10</v>
      </c>
      <c r="M32" s="28">
        <v>11</v>
      </c>
      <c r="N32" s="28">
        <v>12</v>
      </c>
      <c r="O32" s="28">
        <v>13</v>
      </c>
      <c r="P32" s="28">
        <v>14</v>
      </c>
      <c r="Q32" s="28">
        <v>15</v>
      </c>
      <c r="R32" s="28">
        <v>16</v>
      </c>
      <c r="S32" s="28">
        <v>17</v>
      </c>
      <c r="T32" s="28">
        <v>18</v>
      </c>
      <c r="U32" s="28">
        <v>19</v>
      </c>
      <c r="V32" s="28">
        <v>20</v>
      </c>
      <c r="W32" s="28">
        <v>21</v>
      </c>
      <c r="X32" s="28">
        <v>22</v>
      </c>
      <c r="Y32" s="28">
        <v>23</v>
      </c>
      <c r="Z32" s="28">
        <v>24</v>
      </c>
    </row>
    <row r="33" spans="1:26" x14ac:dyDescent="0.25">
      <c r="A33" s="24" t="s">
        <v>23</v>
      </c>
    </row>
    <row r="34" spans="1:26" x14ac:dyDescent="0.25">
      <c r="A34" s="10" t="str">
        <f t="shared" ref="A34:Z34" si="4">A6</f>
        <v>Small Crab Sale ($)</v>
      </c>
      <c r="B34" s="33">
        <f t="shared" si="4"/>
        <v>0</v>
      </c>
      <c r="C34" s="33">
        <f t="shared" si="4"/>
        <v>160650.00000000003</v>
      </c>
      <c r="D34" s="33">
        <f t="shared" si="4"/>
        <v>409657.50000000006</v>
      </c>
      <c r="E34" s="33">
        <f t="shared" si="4"/>
        <v>571619.68920000002</v>
      </c>
      <c r="F34" s="33">
        <f t="shared" si="4"/>
        <v>852415.32600000012</v>
      </c>
      <c r="G34" s="33">
        <f t="shared" si="4"/>
        <v>869463.6325200001</v>
      </c>
      <c r="H34" s="33">
        <f t="shared" si="4"/>
        <v>758259.23392069212</v>
      </c>
      <c r="I34" s="33">
        <f t="shared" si="4"/>
        <v>904589.96327380801</v>
      </c>
      <c r="J34" s="33">
        <f t="shared" si="4"/>
        <v>922681.76253928419</v>
      </c>
      <c r="K34" s="33">
        <f t="shared" si="4"/>
        <v>804670.76511050982</v>
      </c>
      <c r="L34" s="33">
        <f t="shared" si="4"/>
        <v>959958.10574587132</v>
      </c>
      <c r="M34" s="33">
        <f t="shared" si="4"/>
        <v>979157.26786078862</v>
      </c>
      <c r="N34" s="33">
        <f t="shared" si="4"/>
        <v>853923.05330139399</v>
      </c>
      <c r="O34" s="33">
        <f t="shared" si="4"/>
        <v>1018715.2214823646</v>
      </c>
      <c r="P34" s="33">
        <f t="shared" si="4"/>
        <v>1039089.525912012</v>
      </c>
      <c r="Q34" s="33">
        <f t="shared" si="4"/>
        <v>906189.97554786538</v>
      </c>
      <c r="R34" s="33">
        <f t="shared" si="4"/>
        <v>1081068.7427588571</v>
      </c>
      <c r="S34" s="33">
        <f t="shared" si="4"/>
        <v>1102690.1176140343</v>
      </c>
      <c r="T34" s="33">
        <f t="shared" si="4"/>
        <v>961656.05157119932</v>
      </c>
      <c r="U34" s="33">
        <f t="shared" si="4"/>
        <v>1147238.7983656412</v>
      </c>
      <c r="V34" s="33">
        <f t="shared" si="4"/>
        <v>1170183.5743329541</v>
      </c>
      <c r="W34" s="33">
        <f t="shared" si="4"/>
        <v>816413.67614061537</v>
      </c>
      <c r="X34" s="33">
        <f t="shared" si="4"/>
        <v>608729.49536800268</v>
      </c>
      <c r="Y34" s="33">
        <f t="shared" si="4"/>
        <v>248361.63411014507</v>
      </c>
      <c r="Z34" s="33">
        <f t="shared" si="4"/>
        <v>0</v>
      </c>
    </row>
    <row r="35" spans="1:26" s="13" customFormat="1" x14ac:dyDescent="0.25">
      <c r="A35" s="24" t="s">
        <v>58</v>
      </c>
      <c r="B35" s="41">
        <f>B7</f>
        <v>0</v>
      </c>
      <c r="C35" s="41">
        <f t="shared" ref="C35:Z35" si="5">C7</f>
        <v>160650.00000000003</v>
      </c>
      <c r="D35" s="41">
        <f t="shared" si="5"/>
        <v>409657.50000000006</v>
      </c>
      <c r="E35" s="41">
        <f t="shared" si="5"/>
        <v>571619.68920000002</v>
      </c>
      <c r="F35" s="41">
        <f t="shared" si="5"/>
        <v>852415.32600000012</v>
      </c>
      <c r="G35" s="41">
        <f t="shared" si="5"/>
        <v>869463.6325200001</v>
      </c>
      <c r="H35" s="41">
        <f t="shared" si="5"/>
        <v>758259.23392069212</v>
      </c>
      <c r="I35" s="41">
        <f t="shared" si="5"/>
        <v>904589.96327380801</v>
      </c>
      <c r="J35" s="41">
        <f t="shared" si="5"/>
        <v>922681.76253928419</v>
      </c>
      <c r="K35" s="41">
        <f t="shared" si="5"/>
        <v>804670.76511050982</v>
      </c>
      <c r="L35" s="41">
        <f t="shared" si="5"/>
        <v>959958.10574587132</v>
      </c>
      <c r="M35" s="41">
        <f t="shared" si="5"/>
        <v>979157.26786078862</v>
      </c>
      <c r="N35" s="41">
        <f t="shared" si="5"/>
        <v>853923.05330139399</v>
      </c>
      <c r="O35" s="41">
        <f t="shared" si="5"/>
        <v>1018715.2214823646</v>
      </c>
      <c r="P35" s="41">
        <f t="shared" si="5"/>
        <v>1039089.525912012</v>
      </c>
      <c r="Q35" s="41">
        <f t="shared" si="5"/>
        <v>906189.97554786538</v>
      </c>
      <c r="R35" s="41">
        <f t="shared" si="5"/>
        <v>1081068.7427588571</v>
      </c>
      <c r="S35" s="41">
        <f t="shared" si="5"/>
        <v>1102690.1176140343</v>
      </c>
      <c r="T35" s="41">
        <f t="shared" si="5"/>
        <v>961656.05157119932</v>
      </c>
      <c r="U35" s="41">
        <f t="shared" si="5"/>
        <v>1147238.7983656412</v>
      </c>
      <c r="V35" s="41">
        <f t="shared" si="5"/>
        <v>1170183.5743329541</v>
      </c>
      <c r="W35" s="41">
        <f t="shared" si="5"/>
        <v>816413.67614061537</v>
      </c>
      <c r="X35" s="41">
        <f t="shared" si="5"/>
        <v>608729.49536800268</v>
      </c>
      <c r="Y35" s="41">
        <f t="shared" si="5"/>
        <v>248361.63411014507</v>
      </c>
      <c r="Z35" s="41">
        <f t="shared" si="5"/>
        <v>0</v>
      </c>
    </row>
    <row r="36" spans="1:26" x14ac:dyDescent="0.25">
      <c r="A36" s="24"/>
      <c r="B36" s="44"/>
      <c r="C36" s="44"/>
      <c r="D36" s="44"/>
      <c r="E36" s="44"/>
      <c r="F36" s="44"/>
      <c r="G36" s="44"/>
      <c r="H36" s="44"/>
      <c r="I36" s="44"/>
      <c r="J36" s="44"/>
      <c r="K36" s="44"/>
    </row>
    <row r="37" spans="1:26" x14ac:dyDescent="0.25">
      <c r="A37" s="24" t="s">
        <v>24</v>
      </c>
    </row>
    <row r="38" spans="1:26" x14ac:dyDescent="0.25">
      <c r="A38" s="9" t="str">
        <f t="shared" ref="A38:Z38" si="6">A10</f>
        <v>Crab Nursery Establishment</v>
      </c>
      <c r="B38" s="35">
        <f t="shared" si="6"/>
        <v>0</v>
      </c>
      <c r="C38" s="35">
        <f t="shared" si="6"/>
        <v>40000</v>
      </c>
      <c r="D38" s="35">
        <f t="shared" si="6"/>
        <v>100000</v>
      </c>
      <c r="E38" s="35">
        <f t="shared" si="6"/>
        <v>160000</v>
      </c>
      <c r="F38" s="35">
        <f t="shared" si="6"/>
        <v>200000</v>
      </c>
      <c r="G38" s="35">
        <f t="shared" si="6"/>
        <v>200000</v>
      </c>
      <c r="H38" s="35">
        <f t="shared" si="6"/>
        <v>200000</v>
      </c>
      <c r="I38" s="35">
        <f t="shared" si="6"/>
        <v>200000</v>
      </c>
      <c r="J38" s="35">
        <f t="shared" si="6"/>
        <v>200000</v>
      </c>
      <c r="K38" s="35">
        <f t="shared" si="6"/>
        <v>200000</v>
      </c>
      <c r="L38" s="35">
        <f t="shared" si="6"/>
        <v>200000</v>
      </c>
      <c r="M38" s="35">
        <f t="shared" si="6"/>
        <v>200000</v>
      </c>
      <c r="N38" s="35">
        <f t="shared" si="6"/>
        <v>200000</v>
      </c>
      <c r="O38" s="35">
        <f t="shared" si="6"/>
        <v>200000</v>
      </c>
      <c r="P38" s="35">
        <f t="shared" si="6"/>
        <v>200000</v>
      </c>
      <c r="Q38" s="35">
        <f t="shared" si="6"/>
        <v>200000</v>
      </c>
      <c r="R38" s="35">
        <f t="shared" si="6"/>
        <v>200000</v>
      </c>
      <c r="S38" s="35">
        <f t="shared" si="6"/>
        <v>200000</v>
      </c>
      <c r="T38" s="35">
        <f t="shared" si="6"/>
        <v>200000</v>
      </c>
      <c r="U38" s="35">
        <f t="shared" si="6"/>
        <v>200000</v>
      </c>
      <c r="V38" s="35">
        <f t="shared" si="6"/>
        <v>200000</v>
      </c>
      <c r="W38" s="35">
        <f t="shared" si="6"/>
        <v>160000</v>
      </c>
      <c r="X38" s="35">
        <f t="shared" si="6"/>
        <v>100000</v>
      </c>
      <c r="Y38" s="35">
        <f t="shared" si="6"/>
        <v>40000</v>
      </c>
      <c r="Z38" s="35">
        <f t="shared" si="6"/>
        <v>0</v>
      </c>
    </row>
    <row r="39" spans="1:26" x14ac:dyDescent="0.25">
      <c r="A39" s="9" t="str">
        <f>A11</f>
        <v>Operation Cost (Crablet purchase)</v>
      </c>
      <c r="B39" s="35">
        <f t="shared" ref="B39:Z39" si="7">B11</f>
        <v>0</v>
      </c>
      <c r="C39" s="35">
        <f t="shared" si="7"/>
        <v>85000.000000000015</v>
      </c>
      <c r="D39" s="35">
        <f t="shared" si="7"/>
        <v>212500.00000000003</v>
      </c>
      <c r="E39" s="35">
        <f t="shared" si="7"/>
        <v>340000.00000000006</v>
      </c>
      <c r="F39" s="35">
        <f t="shared" si="7"/>
        <v>425000.00000000006</v>
      </c>
      <c r="G39" s="35">
        <f t="shared" si="7"/>
        <v>425000.00000000006</v>
      </c>
      <c r="H39" s="35">
        <f t="shared" si="7"/>
        <v>425000.00000000006</v>
      </c>
      <c r="I39" s="35">
        <f t="shared" si="7"/>
        <v>425000.00000000006</v>
      </c>
      <c r="J39" s="35">
        <f t="shared" si="7"/>
        <v>425000.00000000006</v>
      </c>
      <c r="K39" s="35">
        <f t="shared" si="7"/>
        <v>425000.00000000006</v>
      </c>
      <c r="L39" s="35">
        <f t="shared" si="7"/>
        <v>425000.00000000006</v>
      </c>
      <c r="M39" s="35">
        <f t="shared" si="7"/>
        <v>425000.00000000006</v>
      </c>
      <c r="N39" s="35">
        <f t="shared" si="7"/>
        <v>425000.00000000006</v>
      </c>
      <c r="O39" s="35">
        <f t="shared" si="7"/>
        <v>425000.00000000006</v>
      </c>
      <c r="P39" s="35">
        <f t="shared" si="7"/>
        <v>425000.00000000006</v>
      </c>
      <c r="Q39" s="35">
        <f t="shared" si="7"/>
        <v>425000.00000000006</v>
      </c>
      <c r="R39" s="35">
        <f t="shared" si="7"/>
        <v>425000.00000000006</v>
      </c>
      <c r="S39" s="35">
        <f t="shared" si="7"/>
        <v>425000.00000000006</v>
      </c>
      <c r="T39" s="35">
        <f t="shared" si="7"/>
        <v>425000.00000000006</v>
      </c>
      <c r="U39" s="35">
        <f t="shared" si="7"/>
        <v>425000.00000000006</v>
      </c>
      <c r="V39" s="35">
        <f t="shared" si="7"/>
        <v>425000.00000000006</v>
      </c>
      <c r="W39" s="35">
        <f t="shared" si="7"/>
        <v>340000.00000000006</v>
      </c>
      <c r="X39" s="35">
        <f t="shared" si="7"/>
        <v>212500.00000000003</v>
      </c>
      <c r="Y39" s="35">
        <f t="shared" si="7"/>
        <v>85000.000000000015</v>
      </c>
      <c r="Z39" s="35">
        <f t="shared" si="7"/>
        <v>0</v>
      </c>
    </row>
    <row r="40" spans="1:26" x14ac:dyDescent="0.25">
      <c r="A40" s="9" t="str">
        <f>A12</f>
        <v>Feed</v>
      </c>
      <c r="B40" s="35">
        <f t="shared" ref="B40:Z40" si="8">B12</f>
        <v>0</v>
      </c>
      <c r="C40" s="35">
        <f t="shared" si="8"/>
        <v>5000</v>
      </c>
      <c r="D40" s="35">
        <f t="shared" si="8"/>
        <v>12500</v>
      </c>
      <c r="E40" s="35">
        <f t="shared" si="8"/>
        <v>21822.499999999996</v>
      </c>
      <c r="F40" s="35">
        <f t="shared" si="8"/>
        <v>25000</v>
      </c>
      <c r="G40" s="35">
        <f t="shared" si="8"/>
        <v>25000</v>
      </c>
      <c r="H40" s="35">
        <f t="shared" si="8"/>
        <v>27278.124999999996</v>
      </c>
      <c r="I40" s="35">
        <f t="shared" si="8"/>
        <v>25000</v>
      </c>
      <c r="J40" s="35">
        <f t="shared" si="8"/>
        <v>25000</v>
      </c>
      <c r="K40" s="35">
        <f t="shared" si="8"/>
        <v>27278.124999999996</v>
      </c>
      <c r="L40" s="35">
        <f t="shared" si="8"/>
        <v>25000</v>
      </c>
      <c r="M40" s="35">
        <f t="shared" si="8"/>
        <v>25000</v>
      </c>
      <c r="N40" s="35">
        <f t="shared" si="8"/>
        <v>27278.124999999996</v>
      </c>
      <c r="O40" s="35">
        <f t="shared" si="8"/>
        <v>25000</v>
      </c>
      <c r="P40" s="35">
        <f t="shared" si="8"/>
        <v>25000</v>
      </c>
      <c r="Q40" s="35">
        <f t="shared" si="8"/>
        <v>27278.124999999996</v>
      </c>
      <c r="R40" s="35">
        <f t="shared" si="8"/>
        <v>25000</v>
      </c>
      <c r="S40" s="35">
        <f t="shared" si="8"/>
        <v>25000</v>
      </c>
      <c r="T40" s="35">
        <f t="shared" si="8"/>
        <v>27278.124999999996</v>
      </c>
      <c r="U40" s="35">
        <f t="shared" si="8"/>
        <v>25000</v>
      </c>
      <c r="V40" s="35">
        <f t="shared" si="8"/>
        <v>25000</v>
      </c>
      <c r="W40" s="35">
        <f t="shared" si="8"/>
        <v>21822.499999999996</v>
      </c>
      <c r="X40" s="35">
        <f t="shared" si="8"/>
        <v>12500</v>
      </c>
      <c r="Y40" s="35">
        <f t="shared" si="8"/>
        <v>5000</v>
      </c>
      <c r="Z40" s="35">
        <f t="shared" si="8"/>
        <v>0</v>
      </c>
    </row>
    <row r="41" spans="1:26" x14ac:dyDescent="0.25">
      <c r="A41" s="9" t="str">
        <f>A13</f>
        <v>Land rent</v>
      </c>
      <c r="B41" s="35">
        <f t="shared" ref="B41:Z42" si="9">B13</f>
        <v>0</v>
      </c>
      <c r="C41" s="35">
        <f t="shared" si="9"/>
        <v>4000</v>
      </c>
      <c r="D41" s="35">
        <f t="shared" si="9"/>
        <v>10000</v>
      </c>
      <c r="E41" s="35">
        <f t="shared" si="9"/>
        <v>16000</v>
      </c>
      <c r="F41" s="35">
        <f t="shared" si="9"/>
        <v>20000</v>
      </c>
      <c r="G41" s="35">
        <f t="shared" si="9"/>
        <v>20000</v>
      </c>
      <c r="H41" s="35">
        <f t="shared" si="9"/>
        <v>20000</v>
      </c>
      <c r="I41" s="35">
        <f t="shared" si="9"/>
        <v>20000</v>
      </c>
      <c r="J41" s="35">
        <f t="shared" si="9"/>
        <v>20000</v>
      </c>
      <c r="K41" s="35">
        <f t="shared" si="9"/>
        <v>20000</v>
      </c>
      <c r="L41" s="35">
        <f t="shared" si="9"/>
        <v>20000</v>
      </c>
      <c r="M41" s="35">
        <f t="shared" si="9"/>
        <v>20000</v>
      </c>
      <c r="N41" s="35">
        <f t="shared" si="9"/>
        <v>20000</v>
      </c>
      <c r="O41" s="35">
        <f t="shared" si="9"/>
        <v>20000</v>
      </c>
      <c r="P41" s="35">
        <f t="shared" si="9"/>
        <v>20000</v>
      </c>
      <c r="Q41" s="35">
        <f t="shared" si="9"/>
        <v>20000</v>
      </c>
      <c r="R41" s="35">
        <f t="shared" si="9"/>
        <v>20000</v>
      </c>
      <c r="S41" s="35">
        <f t="shared" si="9"/>
        <v>20000</v>
      </c>
      <c r="T41" s="35">
        <f t="shared" si="9"/>
        <v>20000</v>
      </c>
      <c r="U41" s="35">
        <f t="shared" si="9"/>
        <v>20000</v>
      </c>
      <c r="V41" s="35">
        <f t="shared" si="9"/>
        <v>20000</v>
      </c>
      <c r="W41" s="35">
        <f t="shared" si="9"/>
        <v>16000</v>
      </c>
      <c r="X41" s="35">
        <f t="shared" si="9"/>
        <v>10000</v>
      </c>
      <c r="Y41" s="35">
        <f t="shared" si="9"/>
        <v>4000</v>
      </c>
      <c r="Z41" s="35">
        <f t="shared" si="9"/>
        <v>0</v>
      </c>
    </row>
    <row r="42" spans="1:26" x14ac:dyDescent="0.25">
      <c r="A42" s="9" t="str">
        <f>A14</f>
        <v>Labor</v>
      </c>
      <c r="B42" s="35">
        <f t="shared" si="9"/>
        <v>0</v>
      </c>
      <c r="C42" s="35">
        <f t="shared" si="9"/>
        <v>42420</v>
      </c>
      <c r="D42" s="35">
        <f t="shared" si="9"/>
        <v>107110.5</v>
      </c>
      <c r="E42" s="35">
        <f t="shared" si="9"/>
        <v>173090.56799999997</v>
      </c>
      <c r="F42" s="35">
        <f t="shared" si="9"/>
        <v>218526.84210000001</v>
      </c>
      <c r="G42" s="35">
        <f t="shared" si="9"/>
        <v>220712.11052099997</v>
      </c>
      <c r="H42" s="35">
        <f t="shared" si="9"/>
        <v>222919.23162621004</v>
      </c>
      <c r="I42" s="35">
        <f t="shared" si="9"/>
        <v>225148.42394247209</v>
      </c>
      <c r="J42" s="35">
        <f t="shared" si="9"/>
        <v>227399.90818189684</v>
      </c>
      <c r="K42" s="35">
        <f t="shared" si="9"/>
        <v>229673.90726371581</v>
      </c>
      <c r="L42" s="35">
        <f t="shared" si="9"/>
        <v>231970.64633635298</v>
      </c>
      <c r="M42" s="35">
        <f t="shared" si="9"/>
        <v>234290.35279971649</v>
      </c>
      <c r="N42" s="35">
        <f t="shared" si="9"/>
        <v>236633.25632771364</v>
      </c>
      <c r="O42" s="35">
        <f t="shared" si="9"/>
        <v>238999.5888909908</v>
      </c>
      <c r="P42" s="35">
        <f t="shared" si="9"/>
        <v>241389.58477990073</v>
      </c>
      <c r="Q42" s="35">
        <f t="shared" si="9"/>
        <v>243803.4806276997</v>
      </c>
      <c r="R42" s="35">
        <f t="shared" si="9"/>
        <v>246241.51543397675</v>
      </c>
      <c r="S42" s="35">
        <f t="shared" si="9"/>
        <v>248703.93058831652</v>
      </c>
      <c r="T42" s="35">
        <f t="shared" si="9"/>
        <v>251190.96989419969</v>
      </c>
      <c r="U42" s="35">
        <f t="shared" si="9"/>
        <v>253702.87959314164</v>
      </c>
      <c r="V42" s="35">
        <f t="shared" si="9"/>
        <v>256239.9083890731</v>
      </c>
      <c r="W42" s="35">
        <f t="shared" si="9"/>
        <v>207041.84597837101</v>
      </c>
      <c r="X42" s="35">
        <f t="shared" si="9"/>
        <v>130695.16527384675</v>
      </c>
      <c r="Y42" s="35">
        <f t="shared" si="9"/>
        <v>52800.846770634074</v>
      </c>
      <c r="Z42" s="35">
        <f t="shared" si="9"/>
        <v>0</v>
      </c>
    </row>
    <row r="43" spans="1:26" s="54" customFormat="1" x14ac:dyDescent="0.25">
      <c r="A43" s="56" t="str">
        <f t="shared" ref="A43" si="10">A15</f>
        <v>Debt Service</v>
      </c>
      <c r="B43" s="53">
        <f>Assumption_Nursery!D53</f>
        <v>0</v>
      </c>
      <c r="C43" s="53">
        <f>Assumption_Nursery!E53</f>
        <v>24800</v>
      </c>
      <c r="D43" s="53">
        <f>Assumption_Nursery!F53</f>
        <v>37200</v>
      </c>
      <c r="E43" s="53">
        <f>Assumption_Nursery!G53</f>
        <v>37200</v>
      </c>
      <c r="F43" s="53">
        <f>Assumption_Nursery!H53</f>
        <v>24800</v>
      </c>
      <c r="G43" s="53">
        <f>Assumption_Nursery!I53</f>
        <v>0</v>
      </c>
      <c r="H43" s="53">
        <f>Assumption_Nursery!J53</f>
        <v>0</v>
      </c>
      <c r="I43" s="53">
        <f>Assumption_Nursery!K53</f>
        <v>0</v>
      </c>
      <c r="J43" s="53">
        <f>Assumption_Nursery!L53</f>
        <v>0</v>
      </c>
      <c r="K43" s="53">
        <f>Assumption_Nursery!M53</f>
        <v>0</v>
      </c>
      <c r="L43" s="53">
        <f>Assumption_Nursery!N53</f>
        <v>0</v>
      </c>
      <c r="M43" s="53">
        <f>Assumption_Nursery!O53</f>
        <v>0</v>
      </c>
      <c r="N43" s="53">
        <f>Assumption_Nursery!P53</f>
        <v>0</v>
      </c>
      <c r="O43" s="53">
        <f>Assumption_Nursery!Q53</f>
        <v>0</v>
      </c>
      <c r="P43" s="53">
        <f>Assumption_Nursery!R53</f>
        <v>0</v>
      </c>
      <c r="Q43" s="53">
        <f>Assumption_Nursery!S53</f>
        <v>0</v>
      </c>
      <c r="R43" s="53">
        <f>Assumption_Nursery!T53</f>
        <v>0</v>
      </c>
      <c r="S43" s="53">
        <f>Assumption_Nursery!U53</f>
        <v>0</v>
      </c>
      <c r="T43" s="53">
        <f>Assumption_Nursery!V53</f>
        <v>0</v>
      </c>
      <c r="U43" s="53">
        <f>Assumption_Nursery!W53</f>
        <v>0</v>
      </c>
      <c r="V43" s="53">
        <f>Assumption_Nursery!X53</f>
        <v>0</v>
      </c>
      <c r="W43" s="53">
        <f>Assumption_Nursery!Y53</f>
        <v>0</v>
      </c>
      <c r="X43" s="53">
        <f>Assumption_Nursery!Z53</f>
        <v>0</v>
      </c>
      <c r="Y43" s="53">
        <f>Assumption_Nursery!AA53</f>
        <v>0</v>
      </c>
      <c r="Z43" s="53">
        <f>Assumption_Nursery!AB53</f>
        <v>0</v>
      </c>
    </row>
    <row r="44" spans="1:26" x14ac:dyDescent="0.25">
      <c r="A44" s="127" t="s">
        <v>59</v>
      </c>
      <c r="B44" s="40">
        <f t="shared" ref="B44:Z44" si="11">SUM(B38:B43)</f>
        <v>0</v>
      </c>
      <c r="C44" s="40">
        <f t="shared" si="11"/>
        <v>201220</v>
      </c>
      <c r="D44" s="40">
        <f t="shared" si="11"/>
        <v>479310.5</v>
      </c>
      <c r="E44" s="40">
        <f t="shared" si="11"/>
        <v>748113.06799999997</v>
      </c>
      <c r="F44" s="40">
        <f t="shared" si="11"/>
        <v>913326.84210000001</v>
      </c>
      <c r="G44" s="40">
        <f t="shared" si="11"/>
        <v>890712.110521</v>
      </c>
      <c r="H44" s="40">
        <f t="shared" si="11"/>
        <v>895197.35662621004</v>
      </c>
      <c r="I44" s="40">
        <f t="shared" si="11"/>
        <v>895148.42394247209</v>
      </c>
      <c r="J44" s="40">
        <f t="shared" si="11"/>
        <v>897399.9081818969</v>
      </c>
      <c r="K44" s="40">
        <f t="shared" si="11"/>
        <v>901952.03226371575</v>
      </c>
      <c r="L44" s="40">
        <f t="shared" si="11"/>
        <v>901970.64633635292</v>
      </c>
      <c r="M44" s="40">
        <f t="shared" si="11"/>
        <v>904290.35279971652</v>
      </c>
      <c r="N44" s="40">
        <f t="shared" si="11"/>
        <v>908911.38132771361</v>
      </c>
      <c r="O44" s="40">
        <f t="shared" si="11"/>
        <v>908999.58889099082</v>
      </c>
      <c r="P44" s="40">
        <f t="shared" si="11"/>
        <v>911389.58477990073</v>
      </c>
      <c r="Q44" s="40">
        <f t="shared" si="11"/>
        <v>916081.60562769976</v>
      </c>
      <c r="R44" s="40">
        <f t="shared" si="11"/>
        <v>916241.51543397678</v>
      </c>
      <c r="S44" s="40">
        <f t="shared" si="11"/>
        <v>918703.93058831652</v>
      </c>
      <c r="T44" s="40">
        <f t="shared" si="11"/>
        <v>923469.09489419963</v>
      </c>
      <c r="U44" s="40">
        <f t="shared" si="11"/>
        <v>923702.87959314161</v>
      </c>
      <c r="V44" s="40">
        <f t="shared" si="11"/>
        <v>926239.9083890731</v>
      </c>
      <c r="W44" s="40">
        <f t="shared" si="11"/>
        <v>744864.34597837098</v>
      </c>
      <c r="X44" s="40">
        <f t="shared" si="11"/>
        <v>465695.16527384677</v>
      </c>
      <c r="Y44" s="40">
        <f t="shared" si="11"/>
        <v>186800.84677063406</v>
      </c>
      <c r="Z44" s="40">
        <f t="shared" si="11"/>
        <v>0</v>
      </c>
    </row>
    <row r="45" spans="1:26" x14ac:dyDescent="0.25">
      <c r="B45" s="34"/>
      <c r="C45" s="34"/>
      <c r="D45" s="34"/>
      <c r="E45" s="34"/>
      <c r="F45" s="34"/>
      <c r="G45" s="34"/>
      <c r="H45" s="34"/>
      <c r="I45" s="34"/>
      <c r="J45" s="34"/>
      <c r="K45" s="34"/>
      <c r="L45" s="34"/>
    </row>
    <row r="46" spans="1:26" x14ac:dyDescent="0.25">
      <c r="A46" s="24" t="s">
        <v>60</v>
      </c>
      <c r="B46" s="36">
        <f t="shared" ref="B46:Z46" si="12">B35-B44</f>
        <v>0</v>
      </c>
      <c r="C46" s="36">
        <f t="shared" si="12"/>
        <v>-40569.999999999971</v>
      </c>
      <c r="D46" s="36">
        <f t="shared" si="12"/>
        <v>-69652.999999999942</v>
      </c>
      <c r="E46" s="36">
        <f t="shared" si="12"/>
        <v>-176493.37879999995</v>
      </c>
      <c r="F46" s="36">
        <f t="shared" si="12"/>
        <v>-60911.516099999892</v>
      </c>
      <c r="G46" s="36">
        <f t="shared" si="12"/>
        <v>-21248.478000999894</v>
      </c>
      <c r="H46" s="36">
        <f t="shared" si="12"/>
        <v>-136938.12270551792</v>
      </c>
      <c r="I46" s="36">
        <f t="shared" si="12"/>
        <v>9441.5393313359236</v>
      </c>
      <c r="J46" s="36">
        <f t="shared" si="12"/>
        <v>25281.854357387288</v>
      </c>
      <c r="K46" s="36">
        <f t="shared" si="12"/>
        <v>-97281.267153205932</v>
      </c>
      <c r="L46" s="36">
        <f t="shared" si="12"/>
        <v>57987.4594095184</v>
      </c>
      <c r="M46" s="36">
        <f t="shared" si="12"/>
        <v>74866.915061072097</v>
      </c>
      <c r="N46" s="36">
        <f t="shared" si="12"/>
        <v>-54988.328026319621</v>
      </c>
      <c r="O46" s="36">
        <f t="shared" si="12"/>
        <v>109715.63259137375</v>
      </c>
      <c r="P46" s="36">
        <f t="shared" si="12"/>
        <v>127699.94113211124</v>
      </c>
      <c r="Q46" s="36">
        <f t="shared" si="12"/>
        <v>-9891.6300798343727</v>
      </c>
      <c r="R46" s="36">
        <f t="shared" si="12"/>
        <v>164827.22732488031</v>
      </c>
      <c r="S46" s="36">
        <f t="shared" si="12"/>
        <v>183986.18702571781</v>
      </c>
      <c r="T46" s="36">
        <f t="shared" si="12"/>
        <v>38186.956676999689</v>
      </c>
      <c r="U46" s="36">
        <f t="shared" si="12"/>
        <v>223535.91877249954</v>
      </c>
      <c r="V46" s="36">
        <f t="shared" si="12"/>
        <v>243943.66594388103</v>
      </c>
      <c r="W46" s="36">
        <f t="shared" si="12"/>
        <v>71549.330162244383</v>
      </c>
      <c r="X46" s="36">
        <f t="shared" si="12"/>
        <v>143034.33009415591</v>
      </c>
      <c r="Y46" s="36">
        <f t="shared" si="12"/>
        <v>61560.787339511007</v>
      </c>
      <c r="Z46" s="36">
        <f t="shared" si="12"/>
        <v>0</v>
      </c>
    </row>
    <row r="47" spans="1:26" x14ac:dyDescent="0.25">
      <c r="B47" s="34"/>
      <c r="C47" s="34"/>
      <c r="D47" s="34"/>
      <c r="E47" s="34"/>
      <c r="F47" s="34"/>
      <c r="G47" s="34"/>
      <c r="H47" s="34"/>
      <c r="I47" s="34"/>
      <c r="J47" s="34"/>
      <c r="K47" s="34"/>
      <c r="L47" s="34"/>
    </row>
    <row r="48" spans="1:26" s="13" customFormat="1" x14ac:dyDescent="0.25">
      <c r="A48" s="24" t="s">
        <v>61</v>
      </c>
      <c r="B48" s="42">
        <f>B46/(1+Assumption_Hatchery!$C76)^B32</f>
        <v>0</v>
      </c>
      <c r="C48" s="42">
        <f>C46/(1+Assumption_Hatchery!$C76)^C32</f>
        <v>-37220.1834862385</v>
      </c>
      <c r="D48" s="42">
        <f>D46/(1+Assumption_Hatchery!$C76)^D32</f>
        <v>-58625.536570995653</v>
      </c>
      <c r="E48" s="42">
        <f>E46/(1+Assumption_Hatchery!$C76)^E32</f>
        <v>-136285.27144951961</v>
      </c>
      <c r="F48" s="42">
        <f>F46/(1+Assumption_Hatchery!$C76)^F32</f>
        <v>-43151.253649443534</v>
      </c>
      <c r="G48" s="42">
        <f>G46/(1+Assumption_Hatchery!$C76)^G32</f>
        <v>-13810.052763919753</v>
      </c>
      <c r="H48" s="42">
        <f>H46/(1+Assumption_Hatchery!$C76)^H32</f>
        <v>-81651.728373477221</v>
      </c>
      <c r="I48" s="42">
        <f>I46/(1+Assumption_Hatchery!$C76)^I32</f>
        <v>5164.8453382758262</v>
      </c>
      <c r="J48" s="42">
        <f>J46/(1+Assumption_Hatchery!$C76)^J32</f>
        <v>12688.11018957072</v>
      </c>
      <c r="K48" s="42">
        <f>K46/(1+Assumption_Hatchery!$C76)^K32</f>
        <v>-44790.997823882673</v>
      </c>
      <c r="L48" s="42">
        <f>L46/(1+Assumption_Hatchery!$C76)^L32</f>
        <v>24494.529519005675</v>
      </c>
      <c r="M48" s="42">
        <f>M46/(1+Assumption_Hatchery!$C76)^M32</f>
        <v>29013.388991503183</v>
      </c>
      <c r="N48" s="42">
        <f>N46/(1+Assumption_Hatchery!$C76)^N32</f>
        <v>-19550.260088748841</v>
      </c>
      <c r="O48" s="42">
        <f>O46/(1+Assumption_Hatchery!$C76)^O32</f>
        <v>35786.896580689026</v>
      </c>
      <c r="P48" s="42">
        <f>P46/(1+Assumption_Hatchery!$C76)^P32</f>
        <v>38213.755968489189</v>
      </c>
      <c r="Q48" s="42">
        <f>Q46/(1+Assumption_Hatchery!$C76)^Q32</f>
        <v>-2715.6287475116474</v>
      </c>
      <c r="R48" s="42">
        <f>R46/(1+Assumption_Hatchery!$C76)^R32</f>
        <v>41514.994628297834</v>
      </c>
      <c r="S48" s="42">
        <f>S46/(1+Assumption_Hatchery!$C76)^S32</f>
        <v>42514.272716698535</v>
      </c>
      <c r="T48" s="42">
        <f>T46/(1+Assumption_Hatchery!$C76)^T32</f>
        <v>8095.3957709150736</v>
      </c>
      <c r="U48" s="42">
        <f>U46/(1+Assumption_Hatchery!$C76)^U32</f>
        <v>43475.427044512289</v>
      </c>
      <c r="V48" s="42">
        <f>V46/(1+Assumption_Hatchery!$C76)^V32</f>
        <v>43527.085371114808</v>
      </c>
      <c r="W48" s="42">
        <f>W46/(1+Assumption_Hatchery!$C76)^W32</f>
        <v>11712.486829517853</v>
      </c>
      <c r="X48" s="42">
        <f>X46/(1+Assumption_Hatchery!$C76)^X32</f>
        <v>21481.140298047914</v>
      </c>
      <c r="Y48" s="42">
        <f>Y46/(1+Assumption_Hatchery!$C76)^Y32</f>
        <v>8481.9305673354556</v>
      </c>
      <c r="Z48" s="42">
        <f>Z46/(1+Assumption_Hatchery!$C76)^Z32</f>
        <v>0</v>
      </c>
    </row>
    <row r="49" spans="1:26" x14ac:dyDescent="0.25">
      <c r="B49" s="34"/>
      <c r="C49" s="34"/>
      <c r="D49" s="34"/>
      <c r="E49" s="34"/>
      <c r="F49" s="34"/>
      <c r="G49" s="34"/>
      <c r="H49" s="34"/>
      <c r="I49" s="34"/>
      <c r="J49" s="34"/>
      <c r="K49" s="34"/>
      <c r="L49" s="34"/>
    </row>
    <row r="50" spans="1:26" s="13" customFormat="1" x14ac:dyDescent="0.25">
      <c r="A50" s="26" t="s">
        <v>62</v>
      </c>
      <c r="B50" s="37">
        <f>NPV(Assumption_Hatchery!C76,C46:Z46)+B46</f>
        <v>-71636.653139764137</v>
      </c>
      <c r="C50" s="43"/>
      <c r="D50" s="43"/>
      <c r="E50" s="43"/>
      <c r="F50" s="43"/>
      <c r="G50" s="43"/>
      <c r="H50" s="43"/>
      <c r="I50" s="43"/>
      <c r="J50" s="43"/>
      <c r="K50" s="43"/>
      <c r="L50" s="43"/>
    </row>
    <row r="52" spans="1:26" s="13" customFormat="1" x14ac:dyDescent="0.25">
      <c r="A52" s="26" t="s">
        <v>25</v>
      </c>
      <c r="B52" s="38">
        <f>IRR(B46:Z46)</f>
        <v>7.3216533351125879E-2</v>
      </c>
      <c r="C52" s="4"/>
      <c r="D52" s="4"/>
      <c r="E52" s="4"/>
      <c r="F52" s="4"/>
      <c r="G52" s="4"/>
      <c r="H52" s="4"/>
      <c r="I52" s="4"/>
      <c r="J52" s="4"/>
      <c r="K52" s="4"/>
      <c r="L52" s="4"/>
    </row>
    <row r="54" spans="1:26" s="13" customFormat="1" x14ac:dyDescent="0.25">
      <c r="A54" s="27" t="s">
        <v>63</v>
      </c>
      <c r="B54" s="39">
        <f>B48</f>
        <v>0</v>
      </c>
      <c r="C54" s="39">
        <f>B54+C48</f>
        <v>-37220.1834862385</v>
      </c>
      <c r="D54" s="39">
        <f t="shared" ref="D54:Z54" si="13">C54+D48</f>
        <v>-95845.720057234154</v>
      </c>
      <c r="E54" s="39">
        <f t="shared" si="13"/>
        <v>-232130.99150675378</v>
      </c>
      <c r="F54" s="39">
        <f t="shared" si="13"/>
        <v>-275282.24515619734</v>
      </c>
      <c r="G54" s="39">
        <f t="shared" si="13"/>
        <v>-289092.2979201171</v>
      </c>
      <c r="H54" s="39">
        <f t="shared" si="13"/>
        <v>-370744.02629359433</v>
      </c>
      <c r="I54" s="39">
        <f t="shared" si="13"/>
        <v>-365579.1809553185</v>
      </c>
      <c r="J54" s="39">
        <f t="shared" si="13"/>
        <v>-352891.07076574781</v>
      </c>
      <c r="K54" s="39">
        <f t="shared" si="13"/>
        <v>-397682.06858963048</v>
      </c>
      <c r="L54" s="39">
        <f t="shared" si="13"/>
        <v>-373187.5390706248</v>
      </c>
      <c r="M54" s="39">
        <f t="shared" si="13"/>
        <v>-344174.15007912164</v>
      </c>
      <c r="N54" s="39">
        <f t="shared" si="13"/>
        <v>-363724.41016787046</v>
      </c>
      <c r="O54" s="39">
        <f t="shared" si="13"/>
        <v>-327937.51358718146</v>
      </c>
      <c r="P54" s="39">
        <f t="shared" si="13"/>
        <v>-289723.75761869224</v>
      </c>
      <c r="Q54" s="39">
        <f t="shared" si="13"/>
        <v>-292439.38636620389</v>
      </c>
      <c r="R54" s="39">
        <f t="shared" si="13"/>
        <v>-250924.39173790606</v>
      </c>
      <c r="S54" s="39">
        <f t="shared" si="13"/>
        <v>-208410.11902120753</v>
      </c>
      <c r="T54" s="39">
        <f t="shared" si="13"/>
        <v>-200314.72325029245</v>
      </c>
      <c r="U54" s="39">
        <f t="shared" si="13"/>
        <v>-156839.29620578015</v>
      </c>
      <c r="V54" s="39">
        <f t="shared" si="13"/>
        <v>-113312.21083466534</v>
      </c>
      <c r="W54" s="39">
        <f t="shared" si="13"/>
        <v>-101599.72400514749</v>
      </c>
      <c r="X54" s="39">
        <f t="shared" si="13"/>
        <v>-80118.583707099577</v>
      </c>
      <c r="Y54" s="39">
        <f t="shared" si="13"/>
        <v>-71636.653139764123</v>
      </c>
      <c r="Z54" s="39">
        <f t="shared" si="13"/>
        <v>-71636.653139764123</v>
      </c>
    </row>
    <row r="55" spans="1:26" ht="38.25" customHeight="1" x14ac:dyDescent="0.25">
      <c r="A55" s="11"/>
      <c r="B55" s="32"/>
      <c r="C55" s="76"/>
      <c r="D55" s="77"/>
      <c r="E55" s="32"/>
      <c r="F55" s="126"/>
      <c r="G55" s="32"/>
      <c r="H55" s="32"/>
      <c r="I55" s="32"/>
      <c r="J55" s="32"/>
      <c r="K55" s="32"/>
      <c r="L55" s="32"/>
      <c r="M55" s="11"/>
    </row>
    <row r="56" spans="1:26" s="1" customFormat="1" x14ac:dyDescent="0.25">
      <c r="A56" s="25"/>
      <c r="B56" s="45"/>
      <c r="C56" s="45"/>
      <c r="D56" s="45"/>
      <c r="E56" s="45"/>
      <c r="F56" s="45"/>
      <c r="G56" s="45"/>
      <c r="H56" s="45"/>
      <c r="I56" s="45"/>
      <c r="J56" s="45"/>
      <c r="K56" s="45"/>
      <c r="L56" s="45"/>
    </row>
    <row r="58" spans="1:26" ht="26.25" x14ac:dyDescent="0.25">
      <c r="F58" s="20" t="s">
        <v>111</v>
      </c>
    </row>
    <row r="59" spans="1:26" ht="38.25" customHeight="1" x14ac:dyDescent="0.25">
      <c r="A59" s="11" t="s">
        <v>169</v>
      </c>
      <c r="B59" s="32"/>
      <c r="C59" s="76"/>
      <c r="D59" s="77"/>
      <c r="E59" s="32"/>
      <c r="F59" s="32"/>
      <c r="G59" s="32"/>
      <c r="H59" s="32"/>
      <c r="I59" s="32"/>
      <c r="J59" s="32"/>
      <c r="K59" s="32"/>
      <c r="L59" s="32"/>
      <c r="M59" s="11"/>
    </row>
    <row r="61" spans="1:26" x14ac:dyDescent="0.25">
      <c r="A61" s="10" t="s">
        <v>22</v>
      </c>
      <c r="B61" s="28">
        <v>0</v>
      </c>
      <c r="C61" s="28">
        <v>1</v>
      </c>
      <c r="D61" s="28">
        <v>2</v>
      </c>
      <c r="E61" s="28">
        <v>3</v>
      </c>
      <c r="F61" s="28">
        <v>4</v>
      </c>
      <c r="G61" s="28">
        <v>5</v>
      </c>
      <c r="H61" s="28">
        <v>6</v>
      </c>
      <c r="I61" s="28">
        <v>7</v>
      </c>
      <c r="J61" s="28">
        <v>8</v>
      </c>
      <c r="K61" s="28">
        <v>9</v>
      </c>
      <c r="L61" s="28">
        <v>10</v>
      </c>
      <c r="M61" s="28">
        <v>11</v>
      </c>
      <c r="N61" s="28">
        <v>12</v>
      </c>
      <c r="O61" s="28">
        <v>13</v>
      </c>
      <c r="P61" s="28">
        <v>14</v>
      </c>
      <c r="Q61" s="28">
        <v>15</v>
      </c>
      <c r="R61" s="28">
        <v>16</v>
      </c>
      <c r="S61" s="28">
        <v>17</v>
      </c>
      <c r="T61" s="28">
        <v>18</v>
      </c>
      <c r="U61" s="28">
        <v>19</v>
      </c>
      <c r="V61" s="28">
        <v>20</v>
      </c>
      <c r="W61" s="28">
        <v>21</v>
      </c>
      <c r="X61" s="28">
        <v>22</v>
      </c>
      <c r="Y61" s="28">
        <v>23</v>
      </c>
      <c r="Z61" s="28">
        <v>24</v>
      </c>
    </row>
    <row r="62" spans="1:26" x14ac:dyDescent="0.25">
      <c r="A62" s="24" t="s">
        <v>23</v>
      </c>
    </row>
    <row r="63" spans="1:26" x14ac:dyDescent="0.25">
      <c r="A63" s="10" t="str">
        <f>A34</f>
        <v>Small Crab Sale ($)</v>
      </c>
      <c r="B63" s="33">
        <f t="shared" ref="B63:Z63" si="14">B6</f>
        <v>0</v>
      </c>
      <c r="C63" s="33">
        <f t="shared" si="14"/>
        <v>160650.00000000003</v>
      </c>
      <c r="D63" s="33">
        <f t="shared" si="14"/>
        <v>409657.50000000006</v>
      </c>
      <c r="E63" s="33">
        <f t="shared" si="14"/>
        <v>571619.68920000002</v>
      </c>
      <c r="F63" s="33">
        <f t="shared" si="14"/>
        <v>852415.32600000012</v>
      </c>
      <c r="G63" s="33">
        <f t="shared" si="14"/>
        <v>869463.6325200001</v>
      </c>
      <c r="H63" s="33">
        <f t="shared" si="14"/>
        <v>758259.23392069212</v>
      </c>
      <c r="I63" s="33">
        <f t="shared" si="14"/>
        <v>904589.96327380801</v>
      </c>
      <c r="J63" s="33">
        <f t="shared" si="14"/>
        <v>922681.76253928419</v>
      </c>
      <c r="K63" s="33">
        <f t="shared" si="14"/>
        <v>804670.76511050982</v>
      </c>
      <c r="L63" s="33">
        <f t="shared" si="14"/>
        <v>959958.10574587132</v>
      </c>
      <c r="M63" s="33">
        <f t="shared" si="14"/>
        <v>979157.26786078862</v>
      </c>
      <c r="N63" s="33">
        <f t="shared" si="14"/>
        <v>853923.05330139399</v>
      </c>
      <c r="O63" s="33">
        <f t="shared" si="14"/>
        <v>1018715.2214823646</v>
      </c>
      <c r="P63" s="33">
        <f t="shared" si="14"/>
        <v>1039089.525912012</v>
      </c>
      <c r="Q63" s="33">
        <f t="shared" si="14"/>
        <v>906189.97554786538</v>
      </c>
      <c r="R63" s="33">
        <f t="shared" si="14"/>
        <v>1081068.7427588571</v>
      </c>
      <c r="S63" s="33">
        <f t="shared" si="14"/>
        <v>1102690.1176140343</v>
      </c>
      <c r="T63" s="33">
        <f t="shared" si="14"/>
        <v>961656.05157119932</v>
      </c>
      <c r="U63" s="33">
        <f t="shared" si="14"/>
        <v>1147238.7983656412</v>
      </c>
      <c r="V63" s="33">
        <f t="shared" si="14"/>
        <v>1170183.5743329541</v>
      </c>
      <c r="W63" s="33">
        <f t="shared" si="14"/>
        <v>816413.67614061537</v>
      </c>
      <c r="X63" s="33">
        <f t="shared" si="14"/>
        <v>608729.49536800268</v>
      </c>
      <c r="Y63" s="33">
        <f t="shared" si="14"/>
        <v>248361.63411014507</v>
      </c>
      <c r="Z63" s="33">
        <f t="shared" si="14"/>
        <v>0</v>
      </c>
    </row>
    <row r="64" spans="1:26" s="13" customFormat="1" x14ac:dyDescent="0.25">
      <c r="A64" s="24" t="s">
        <v>58</v>
      </c>
      <c r="B64" s="41">
        <f t="shared" ref="B64:Z64" si="15">B7</f>
        <v>0</v>
      </c>
      <c r="C64" s="41">
        <f t="shared" si="15"/>
        <v>160650.00000000003</v>
      </c>
      <c r="D64" s="41">
        <f t="shared" si="15"/>
        <v>409657.50000000006</v>
      </c>
      <c r="E64" s="41">
        <f t="shared" si="15"/>
        <v>571619.68920000002</v>
      </c>
      <c r="F64" s="41">
        <f t="shared" si="15"/>
        <v>852415.32600000012</v>
      </c>
      <c r="G64" s="41">
        <f t="shared" si="15"/>
        <v>869463.6325200001</v>
      </c>
      <c r="H64" s="41">
        <f t="shared" si="15"/>
        <v>758259.23392069212</v>
      </c>
      <c r="I64" s="41">
        <f t="shared" si="15"/>
        <v>904589.96327380801</v>
      </c>
      <c r="J64" s="41">
        <f t="shared" si="15"/>
        <v>922681.76253928419</v>
      </c>
      <c r="K64" s="41">
        <f t="shared" si="15"/>
        <v>804670.76511050982</v>
      </c>
      <c r="L64" s="41">
        <f t="shared" si="15"/>
        <v>959958.10574587132</v>
      </c>
      <c r="M64" s="41">
        <f t="shared" si="15"/>
        <v>979157.26786078862</v>
      </c>
      <c r="N64" s="41">
        <f t="shared" si="15"/>
        <v>853923.05330139399</v>
      </c>
      <c r="O64" s="41">
        <f t="shared" si="15"/>
        <v>1018715.2214823646</v>
      </c>
      <c r="P64" s="41">
        <f t="shared" si="15"/>
        <v>1039089.525912012</v>
      </c>
      <c r="Q64" s="41">
        <f t="shared" si="15"/>
        <v>906189.97554786538</v>
      </c>
      <c r="R64" s="41">
        <f t="shared" si="15"/>
        <v>1081068.7427588571</v>
      </c>
      <c r="S64" s="41">
        <f t="shared" si="15"/>
        <v>1102690.1176140343</v>
      </c>
      <c r="T64" s="41">
        <f t="shared" si="15"/>
        <v>961656.05157119932</v>
      </c>
      <c r="U64" s="41">
        <f t="shared" si="15"/>
        <v>1147238.7983656412</v>
      </c>
      <c r="V64" s="41">
        <f t="shared" si="15"/>
        <v>1170183.5743329541</v>
      </c>
      <c r="W64" s="41">
        <f t="shared" si="15"/>
        <v>816413.67614061537</v>
      </c>
      <c r="X64" s="41">
        <f t="shared" si="15"/>
        <v>608729.49536800268</v>
      </c>
      <c r="Y64" s="41">
        <f t="shared" si="15"/>
        <v>248361.63411014507</v>
      </c>
      <c r="Z64" s="41">
        <f t="shared" si="15"/>
        <v>0</v>
      </c>
    </row>
    <row r="65" spans="1:26" x14ac:dyDescent="0.25">
      <c r="A65" s="24"/>
      <c r="B65" s="44"/>
      <c r="C65" s="44"/>
      <c r="D65" s="44"/>
      <c r="E65" s="44"/>
      <c r="F65" s="44"/>
      <c r="G65" s="44"/>
      <c r="H65" s="44"/>
      <c r="I65" s="44"/>
      <c r="J65" s="44"/>
      <c r="K65" s="44"/>
    </row>
    <row r="66" spans="1:26" x14ac:dyDescent="0.25">
      <c r="A66" s="24" t="s">
        <v>24</v>
      </c>
    </row>
    <row r="67" spans="1:26" x14ac:dyDescent="0.25">
      <c r="A67" s="9" t="str">
        <f>BaU_Nursery!A38</f>
        <v>Crab Nursery Establishment</v>
      </c>
      <c r="B67" s="35">
        <f t="shared" ref="B67:Z67" si="16">B10</f>
        <v>0</v>
      </c>
      <c r="C67" s="35">
        <f t="shared" si="16"/>
        <v>40000</v>
      </c>
      <c r="D67" s="35">
        <f t="shared" si="16"/>
        <v>100000</v>
      </c>
      <c r="E67" s="35">
        <f t="shared" si="16"/>
        <v>160000</v>
      </c>
      <c r="F67" s="35">
        <f t="shared" si="16"/>
        <v>200000</v>
      </c>
      <c r="G67" s="35">
        <f t="shared" si="16"/>
        <v>200000</v>
      </c>
      <c r="H67" s="35">
        <f t="shared" si="16"/>
        <v>200000</v>
      </c>
      <c r="I67" s="35">
        <f t="shared" si="16"/>
        <v>200000</v>
      </c>
      <c r="J67" s="35">
        <f t="shared" si="16"/>
        <v>200000</v>
      </c>
      <c r="K67" s="35">
        <f t="shared" si="16"/>
        <v>200000</v>
      </c>
      <c r="L67" s="35">
        <f t="shared" si="16"/>
        <v>200000</v>
      </c>
      <c r="M67" s="35">
        <f t="shared" si="16"/>
        <v>200000</v>
      </c>
      <c r="N67" s="35">
        <f t="shared" si="16"/>
        <v>200000</v>
      </c>
      <c r="O67" s="35">
        <f t="shared" si="16"/>
        <v>200000</v>
      </c>
      <c r="P67" s="35">
        <f t="shared" si="16"/>
        <v>200000</v>
      </c>
      <c r="Q67" s="35">
        <f t="shared" si="16"/>
        <v>200000</v>
      </c>
      <c r="R67" s="35">
        <f t="shared" si="16"/>
        <v>200000</v>
      </c>
      <c r="S67" s="35">
        <f t="shared" si="16"/>
        <v>200000</v>
      </c>
      <c r="T67" s="35">
        <f t="shared" si="16"/>
        <v>200000</v>
      </c>
      <c r="U67" s="35">
        <f t="shared" si="16"/>
        <v>200000</v>
      </c>
      <c r="V67" s="35">
        <f t="shared" si="16"/>
        <v>200000</v>
      </c>
      <c r="W67" s="35">
        <f t="shared" si="16"/>
        <v>160000</v>
      </c>
      <c r="X67" s="35">
        <f t="shared" si="16"/>
        <v>100000</v>
      </c>
      <c r="Y67" s="35">
        <f t="shared" si="16"/>
        <v>40000</v>
      </c>
      <c r="Z67" s="35">
        <f t="shared" si="16"/>
        <v>0</v>
      </c>
    </row>
    <row r="68" spans="1:26" x14ac:dyDescent="0.25">
      <c r="A68" s="9" t="str">
        <f>BaU_Nursery!A39</f>
        <v>Operation Cost (Crablet purchase)</v>
      </c>
      <c r="B68" s="35">
        <f>B11</f>
        <v>0</v>
      </c>
      <c r="C68" s="35">
        <f t="shared" ref="C68:Z68" si="17">C11</f>
        <v>85000.000000000015</v>
      </c>
      <c r="D68" s="35">
        <f t="shared" si="17"/>
        <v>212500.00000000003</v>
      </c>
      <c r="E68" s="35">
        <f t="shared" si="17"/>
        <v>340000.00000000006</v>
      </c>
      <c r="F68" s="35">
        <f t="shared" si="17"/>
        <v>425000.00000000006</v>
      </c>
      <c r="G68" s="35">
        <f t="shared" si="17"/>
        <v>425000.00000000006</v>
      </c>
      <c r="H68" s="35">
        <f t="shared" si="17"/>
        <v>425000.00000000006</v>
      </c>
      <c r="I68" s="35">
        <f t="shared" si="17"/>
        <v>425000.00000000006</v>
      </c>
      <c r="J68" s="35">
        <f t="shared" si="17"/>
        <v>425000.00000000006</v>
      </c>
      <c r="K68" s="35">
        <f t="shared" si="17"/>
        <v>425000.00000000006</v>
      </c>
      <c r="L68" s="35">
        <f t="shared" si="17"/>
        <v>425000.00000000006</v>
      </c>
      <c r="M68" s="35">
        <f t="shared" si="17"/>
        <v>425000.00000000006</v>
      </c>
      <c r="N68" s="35">
        <f t="shared" si="17"/>
        <v>425000.00000000006</v>
      </c>
      <c r="O68" s="35">
        <f t="shared" si="17"/>
        <v>425000.00000000006</v>
      </c>
      <c r="P68" s="35">
        <f t="shared" si="17"/>
        <v>425000.00000000006</v>
      </c>
      <c r="Q68" s="35">
        <f t="shared" si="17"/>
        <v>425000.00000000006</v>
      </c>
      <c r="R68" s="35">
        <f t="shared" si="17"/>
        <v>425000.00000000006</v>
      </c>
      <c r="S68" s="35">
        <f t="shared" si="17"/>
        <v>425000.00000000006</v>
      </c>
      <c r="T68" s="35">
        <f t="shared" si="17"/>
        <v>425000.00000000006</v>
      </c>
      <c r="U68" s="35">
        <f t="shared" si="17"/>
        <v>425000.00000000006</v>
      </c>
      <c r="V68" s="35">
        <f t="shared" si="17"/>
        <v>425000.00000000006</v>
      </c>
      <c r="W68" s="35">
        <f t="shared" si="17"/>
        <v>340000.00000000006</v>
      </c>
      <c r="X68" s="35">
        <f t="shared" si="17"/>
        <v>212500.00000000003</v>
      </c>
      <c r="Y68" s="35">
        <f t="shared" si="17"/>
        <v>85000.000000000015</v>
      </c>
      <c r="Z68" s="35">
        <f t="shared" si="17"/>
        <v>0</v>
      </c>
    </row>
    <row r="69" spans="1:26" x14ac:dyDescent="0.25">
      <c r="A69" s="9" t="str">
        <f>BaU_Nursery!A40</f>
        <v>Feed</v>
      </c>
      <c r="B69" s="35">
        <f>B12</f>
        <v>0</v>
      </c>
      <c r="C69" s="35">
        <f t="shared" ref="C69:Z69" si="18">C12</f>
        <v>5000</v>
      </c>
      <c r="D69" s="35">
        <f t="shared" si="18"/>
        <v>12500</v>
      </c>
      <c r="E69" s="35">
        <f t="shared" si="18"/>
        <v>21822.499999999996</v>
      </c>
      <c r="F69" s="35">
        <f t="shared" si="18"/>
        <v>25000</v>
      </c>
      <c r="G69" s="35">
        <f t="shared" si="18"/>
        <v>25000</v>
      </c>
      <c r="H69" s="35">
        <f t="shared" si="18"/>
        <v>27278.124999999996</v>
      </c>
      <c r="I69" s="35">
        <f t="shared" si="18"/>
        <v>25000</v>
      </c>
      <c r="J69" s="35">
        <f t="shared" si="18"/>
        <v>25000</v>
      </c>
      <c r="K69" s="35">
        <f t="shared" si="18"/>
        <v>27278.124999999996</v>
      </c>
      <c r="L69" s="35">
        <f t="shared" si="18"/>
        <v>25000</v>
      </c>
      <c r="M69" s="35">
        <f t="shared" si="18"/>
        <v>25000</v>
      </c>
      <c r="N69" s="35">
        <f t="shared" si="18"/>
        <v>27278.124999999996</v>
      </c>
      <c r="O69" s="35">
        <f t="shared" si="18"/>
        <v>25000</v>
      </c>
      <c r="P69" s="35">
        <f t="shared" si="18"/>
        <v>25000</v>
      </c>
      <c r="Q69" s="35">
        <f t="shared" si="18"/>
        <v>27278.124999999996</v>
      </c>
      <c r="R69" s="35">
        <f t="shared" si="18"/>
        <v>25000</v>
      </c>
      <c r="S69" s="35">
        <f t="shared" si="18"/>
        <v>25000</v>
      </c>
      <c r="T69" s="35">
        <f t="shared" si="18"/>
        <v>27278.124999999996</v>
      </c>
      <c r="U69" s="35">
        <f t="shared" si="18"/>
        <v>25000</v>
      </c>
      <c r="V69" s="35">
        <f t="shared" si="18"/>
        <v>25000</v>
      </c>
      <c r="W69" s="35">
        <f t="shared" si="18"/>
        <v>21822.499999999996</v>
      </c>
      <c r="X69" s="35">
        <f t="shared" si="18"/>
        <v>12500</v>
      </c>
      <c r="Y69" s="35">
        <f t="shared" si="18"/>
        <v>5000</v>
      </c>
      <c r="Z69" s="35">
        <f t="shared" si="18"/>
        <v>0</v>
      </c>
    </row>
    <row r="70" spans="1:26" x14ac:dyDescent="0.25">
      <c r="A70" s="9" t="str">
        <f>BaU_Nursery!A41</f>
        <v>Land rent</v>
      </c>
      <c r="B70" s="35">
        <f>B13</f>
        <v>0</v>
      </c>
      <c r="C70" s="35">
        <f t="shared" ref="C70:Z70" si="19">C13</f>
        <v>4000</v>
      </c>
      <c r="D70" s="35">
        <f t="shared" si="19"/>
        <v>10000</v>
      </c>
      <c r="E70" s="35">
        <f t="shared" si="19"/>
        <v>16000</v>
      </c>
      <c r="F70" s="35">
        <f t="shared" si="19"/>
        <v>20000</v>
      </c>
      <c r="G70" s="35">
        <f t="shared" si="19"/>
        <v>20000</v>
      </c>
      <c r="H70" s="35">
        <f t="shared" si="19"/>
        <v>20000</v>
      </c>
      <c r="I70" s="35">
        <f t="shared" si="19"/>
        <v>20000</v>
      </c>
      <c r="J70" s="35">
        <f t="shared" si="19"/>
        <v>20000</v>
      </c>
      <c r="K70" s="35">
        <f t="shared" si="19"/>
        <v>20000</v>
      </c>
      <c r="L70" s="35">
        <f t="shared" si="19"/>
        <v>20000</v>
      </c>
      <c r="M70" s="35">
        <f t="shared" si="19"/>
        <v>20000</v>
      </c>
      <c r="N70" s="35">
        <f t="shared" si="19"/>
        <v>20000</v>
      </c>
      <c r="O70" s="35">
        <f t="shared" si="19"/>
        <v>20000</v>
      </c>
      <c r="P70" s="35">
        <f t="shared" si="19"/>
        <v>20000</v>
      </c>
      <c r="Q70" s="35">
        <f t="shared" si="19"/>
        <v>20000</v>
      </c>
      <c r="R70" s="35">
        <f t="shared" si="19"/>
        <v>20000</v>
      </c>
      <c r="S70" s="35">
        <f t="shared" si="19"/>
        <v>20000</v>
      </c>
      <c r="T70" s="35">
        <f t="shared" si="19"/>
        <v>20000</v>
      </c>
      <c r="U70" s="35">
        <f t="shared" si="19"/>
        <v>20000</v>
      </c>
      <c r="V70" s="35">
        <f t="shared" si="19"/>
        <v>20000</v>
      </c>
      <c r="W70" s="35">
        <f t="shared" si="19"/>
        <v>16000</v>
      </c>
      <c r="X70" s="35">
        <f t="shared" si="19"/>
        <v>10000</v>
      </c>
      <c r="Y70" s="35">
        <f t="shared" si="19"/>
        <v>4000</v>
      </c>
      <c r="Z70" s="35">
        <f t="shared" si="19"/>
        <v>0</v>
      </c>
    </row>
    <row r="71" spans="1:26" x14ac:dyDescent="0.25">
      <c r="A71" s="9" t="str">
        <f>BaU_Nursery!A42</f>
        <v>Labor</v>
      </c>
      <c r="B71" s="35">
        <f>BaU_Nursery!B42</f>
        <v>0</v>
      </c>
      <c r="C71" s="35">
        <f>BaU_Nursery!C42</f>
        <v>42420</v>
      </c>
      <c r="D71" s="35">
        <f>BaU_Nursery!D42</f>
        <v>107110.5</v>
      </c>
      <c r="E71" s="35">
        <f>BaU_Nursery!E42</f>
        <v>173090.56799999997</v>
      </c>
      <c r="F71" s="35">
        <f>BaU_Nursery!F42</f>
        <v>218526.84210000001</v>
      </c>
      <c r="G71" s="35">
        <f>BaU_Nursery!G42</f>
        <v>220712.11052099997</v>
      </c>
      <c r="H71" s="35">
        <f>BaU_Nursery!H42</f>
        <v>222919.23162621004</v>
      </c>
      <c r="I71" s="35">
        <f>BaU_Nursery!I42</f>
        <v>225148.42394247209</v>
      </c>
      <c r="J71" s="35">
        <f>BaU_Nursery!J42</f>
        <v>227399.90818189684</v>
      </c>
      <c r="K71" s="35">
        <f>BaU_Nursery!K42</f>
        <v>229673.90726371581</v>
      </c>
      <c r="L71" s="35">
        <f>BaU_Nursery!L42</f>
        <v>231970.64633635298</v>
      </c>
      <c r="M71" s="35">
        <f>BaU_Nursery!M42</f>
        <v>234290.35279971649</v>
      </c>
      <c r="N71" s="35">
        <f>BaU_Nursery!N42</f>
        <v>236633.25632771364</v>
      </c>
      <c r="O71" s="35">
        <f>BaU_Nursery!O42</f>
        <v>238999.5888909908</v>
      </c>
      <c r="P71" s="35">
        <f>BaU_Nursery!P42</f>
        <v>241389.58477990073</v>
      </c>
      <c r="Q71" s="35">
        <f>BaU_Nursery!Q42</f>
        <v>243803.4806276997</v>
      </c>
      <c r="R71" s="35">
        <f>BaU_Nursery!R42</f>
        <v>246241.51543397675</v>
      </c>
      <c r="S71" s="35">
        <f>BaU_Nursery!S42</f>
        <v>248703.93058831652</v>
      </c>
      <c r="T71" s="35">
        <f>BaU_Nursery!T42</f>
        <v>251190.96989419969</v>
      </c>
      <c r="U71" s="35">
        <f>BaU_Nursery!U42</f>
        <v>253702.87959314164</v>
      </c>
      <c r="V71" s="35">
        <f>BaU_Nursery!V42</f>
        <v>256239.9083890731</v>
      </c>
      <c r="W71" s="35">
        <f>BaU_Nursery!W42</f>
        <v>207041.84597837101</v>
      </c>
      <c r="X71" s="35">
        <f>BaU_Nursery!X42</f>
        <v>130695.16527384675</v>
      </c>
      <c r="Y71" s="35">
        <f>BaU_Nursery!Y42</f>
        <v>52800.846770634074</v>
      </c>
      <c r="Z71" s="35">
        <f>BaU_Nursery!Z42</f>
        <v>0</v>
      </c>
    </row>
    <row r="72" spans="1:26" s="54" customFormat="1" x14ac:dyDescent="0.25">
      <c r="A72" s="56" t="s">
        <v>156</v>
      </c>
      <c r="B72" s="53">
        <f>B15*Assumption_Nursery!$C33</f>
        <v>0</v>
      </c>
      <c r="C72" s="53">
        <f>C15*Assumption_Nursery!$C33</f>
        <v>0</v>
      </c>
      <c r="D72" s="53">
        <f>D15*Assumption_Nursery!$C33</f>
        <v>0</v>
      </c>
      <c r="E72" s="53">
        <f>E15*Assumption_Nursery!$C33</f>
        <v>0</v>
      </c>
      <c r="F72" s="53">
        <f>F15*Assumption_Nursery!$C33</f>
        <v>0</v>
      </c>
      <c r="G72" s="53">
        <f>G15*Assumption_Nursery!$C33</f>
        <v>0</v>
      </c>
      <c r="H72" s="53">
        <f>H15*Assumption_Nursery!$C33</f>
        <v>0</v>
      </c>
      <c r="I72" s="53">
        <f>I15*Assumption_Nursery!$C33</f>
        <v>0</v>
      </c>
      <c r="J72" s="53">
        <f>J15*Assumption_Nursery!$C33</f>
        <v>0</v>
      </c>
      <c r="K72" s="53">
        <f>K15*Assumption_Nursery!$C33</f>
        <v>0</v>
      </c>
      <c r="L72" s="53">
        <f>L15*Assumption_Nursery!$C33</f>
        <v>0</v>
      </c>
      <c r="M72" s="53">
        <f>M15*Assumption_Nursery!$C33</f>
        <v>0</v>
      </c>
      <c r="N72" s="53">
        <f>N15*Assumption_Nursery!$C33</f>
        <v>0</v>
      </c>
      <c r="O72" s="53">
        <f>O15*Assumption_Nursery!$C33</f>
        <v>0</v>
      </c>
      <c r="P72" s="53">
        <f>P15*Assumption_Nursery!$C33</f>
        <v>0</v>
      </c>
      <c r="Q72" s="53">
        <f>Q15*Assumption_Nursery!$C33</f>
        <v>0</v>
      </c>
      <c r="R72" s="53">
        <f>R15*Assumption_Nursery!$C33</f>
        <v>0</v>
      </c>
      <c r="S72" s="53">
        <f>S15*Assumption_Nursery!$C33</f>
        <v>0</v>
      </c>
      <c r="T72" s="53">
        <f>T15*Assumption_Nursery!$C33</f>
        <v>0</v>
      </c>
      <c r="U72" s="53">
        <f>U15*Assumption_Nursery!$C33</f>
        <v>0</v>
      </c>
      <c r="V72" s="53">
        <f>V15*Assumption_Nursery!$C33</f>
        <v>0</v>
      </c>
      <c r="W72" s="53">
        <f>W15*Assumption_Nursery!$C33</f>
        <v>0</v>
      </c>
      <c r="X72" s="53">
        <f>X15*Assumption_Nursery!$C33</f>
        <v>0</v>
      </c>
      <c r="Y72" s="53">
        <f>Y15*Assumption_Nursery!$C33</f>
        <v>0</v>
      </c>
      <c r="Z72" s="53">
        <f>Z15*Assumption_Nursery!$C33</f>
        <v>0</v>
      </c>
    </row>
    <row r="73" spans="1:26" x14ac:dyDescent="0.25">
      <c r="A73" s="127" t="s">
        <v>59</v>
      </c>
      <c r="B73" s="40">
        <f t="shared" ref="B73:Z73" si="20">SUM(B67:B72)</f>
        <v>0</v>
      </c>
      <c r="C73" s="40">
        <f t="shared" si="20"/>
        <v>176420</v>
      </c>
      <c r="D73" s="40">
        <f t="shared" si="20"/>
        <v>442110.5</v>
      </c>
      <c r="E73" s="40">
        <f t="shared" si="20"/>
        <v>710913.06799999997</v>
      </c>
      <c r="F73" s="40">
        <f t="shared" si="20"/>
        <v>888526.84210000001</v>
      </c>
      <c r="G73" s="40">
        <f t="shared" si="20"/>
        <v>890712.110521</v>
      </c>
      <c r="H73" s="40">
        <f t="shared" si="20"/>
        <v>895197.35662621004</v>
      </c>
      <c r="I73" s="40">
        <f t="shared" si="20"/>
        <v>895148.42394247209</v>
      </c>
      <c r="J73" s="40">
        <f t="shared" si="20"/>
        <v>897399.9081818969</v>
      </c>
      <c r="K73" s="40">
        <f t="shared" si="20"/>
        <v>901952.03226371575</v>
      </c>
      <c r="L73" s="40">
        <f t="shared" si="20"/>
        <v>901970.64633635292</v>
      </c>
      <c r="M73" s="40">
        <f t="shared" si="20"/>
        <v>904290.35279971652</v>
      </c>
      <c r="N73" s="40">
        <f t="shared" si="20"/>
        <v>908911.38132771361</v>
      </c>
      <c r="O73" s="40">
        <f t="shared" si="20"/>
        <v>908999.58889099082</v>
      </c>
      <c r="P73" s="40">
        <f t="shared" si="20"/>
        <v>911389.58477990073</v>
      </c>
      <c r="Q73" s="40">
        <f t="shared" si="20"/>
        <v>916081.60562769976</v>
      </c>
      <c r="R73" s="40">
        <f t="shared" si="20"/>
        <v>916241.51543397678</v>
      </c>
      <c r="S73" s="40">
        <f t="shared" si="20"/>
        <v>918703.93058831652</v>
      </c>
      <c r="T73" s="40">
        <f t="shared" si="20"/>
        <v>923469.09489419963</v>
      </c>
      <c r="U73" s="40">
        <f t="shared" si="20"/>
        <v>923702.87959314161</v>
      </c>
      <c r="V73" s="40">
        <f t="shared" si="20"/>
        <v>926239.9083890731</v>
      </c>
      <c r="W73" s="40">
        <f t="shared" si="20"/>
        <v>744864.34597837098</v>
      </c>
      <c r="X73" s="40">
        <f t="shared" si="20"/>
        <v>465695.16527384677</v>
      </c>
      <c r="Y73" s="40">
        <f t="shared" si="20"/>
        <v>186800.84677063406</v>
      </c>
      <c r="Z73" s="40">
        <f t="shared" si="20"/>
        <v>0</v>
      </c>
    </row>
    <row r="74" spans="1:26" x14ac:dyDescent="0.25">
      <c r="B74" s="34"/>
      <c r="C74" s="34"/>
      <c r="D74" s="34"/>
      <c r="E74" s="34"/>
      <c r="F74" s="34"/>
      <c r="G74" s="34"/>
      <c r="H74" s="34"/>
      <c r="I74" s="34"/>
      <c r="J74" s="34"/>
      <c r="K74" s="34"/>
      <c r="L74" s="34"/>
    </row>
    <row r="75" spans="1:26" x14ac:dyDescent="0.25">
      <c r="A75" s="24" t="s">
        <v>60</v>
      </c>
      <c r="B75" s="36">
        <f t="shared" ref="B75:Z75" si="21">B64-B73</f>
        <v>0</v>
      </c>
      <c r="C75" s="36">
        <f t="shared" si="21"/>
        <v>-15769.999999999971</v>
      </c>
      <c r="D75" s="36">
        <f t="shared" si="21"/>
        <v>-32452.999999999942</v>
      </c>
      <c r="E75" s="36">
        <f t="shared" si="21"/>
        <v>-139293.37879999995</v>
      </c>
      <c r="F75" s="36">
        <f t="shared" si="21"/>
        <v>-36111.516099999892</v>
      </c>
      <c r="G75" s="36">
        <f t="shared" si="21"/>
        <v>-21248.478000999894</v>
      </c>
      <c r="H75" s="36">
        <f t="shared" si="21"/>
        <v>-136938.12270551792</v>
      </c>
      <c r="I75" s="36">
        <f t="shared" si="21"/>
        <v>9441.5393313359236</v>
      </c>
      <c r="J75" s="36">
        <f t="shared" si="21"/>
        <v>25281.854357387288</v>
      </c>
      <c r="K75" s="36">
        <f t="shared" si="21"/>
        <v>-97281.267153205932</v>
      </c>
      <c r="L75" s="36">
        <f t="shared" si="21"/>
        <v>57987.4594095184</v>
      </c>
      <c r="M75" s="36">
        <f t="shared" si="21"/>
        <v>74866.915061072097</v>
      </c>
      <c r="N75" s="36">
        <f t="shared" si="21"/>
        <v>-54988.328026319621</v>
      </c>
      <c r="O75" s="36">
        <f t="shared" si="21"/>
        <v>109715.63259137375</v>
      </c>
      <c r="P75" s="36">
        <f t="shared" si="21"/>
        <v>127699.94113211124</v>
      </c>
      <c r="Q75" s="36">
        <f t="shared" si="21"/>
        <v>-9891.6300798343727</v>
      </c>
      <c r="R75" s="36">
        <f t="shared" si="21"/>
        <v>164827.22732488031</v>
      </c>
      <c r="S75" s="36">
        <f t="shared" si="21"/>
        <v>183986.18702571781</v>
      </c>
      <c r="T75" s="36">
        <f t="shared" si="21"/>
        <v>38186.956676999689</v>
      </c>
      <c r="U75" s="36">
        <f t="shared" si="21"/>
        <v>223535.91877249954</v>
      </c>
      <c r="V75" s="36">
        <f t="shared" si="21"/>
        <v>243943.66594388103</v>
      </c>
      <c r="W75" s="36">
        <f t="shared" si="21"/>
        <v>71549.330162244383</v>
      </c>
      <c r="X75" s="36">
        <f t="shared" si="21"/>
        <v>143034.33009415591</v>
      </c>
      <c r="Y75" s="36">
        <f t="shared" si="21"/>
        <v>61560.787339511007</v>
      </c>
      <c r="Z75" s="36">
        <f t="shared" si="21"/>
        <v>0</v>
      </c>
    </row>
    <row r="76" spans="1:26" x14ac:dyDescent="0.25">
      <c r="B76" s="34"/>
      <c r="C76" s="34"/>
      <c r="D76" s="34"/>
      <c r="E76" s="34"/>
      <c r="F76" s="34"/>
      <c r="G76" s="34"/>
      <c r="H76" s="34"/>
      <c r="I76" s="34"/>
      <c r="J76" s="34"/>
      <c r="K76" s="34"/>
      <c r="L76" s="34"/>
    </row>
    <row r="77" spans="1:26" s="13" customFormat="1" x14ac:dyDescent="0.25">
      <c r="A77" s="24" t="s">
        <v>61</v>
      </c>
      <c r="B77" s="42">
        <f>B75/(1+Assumption_Hatchery!$C76)^B61</f>
        <v>0</v>
      </c>
      <c r="C77" s="42">
        <f>C75/(1+Assumption_Hatchery!$C76)^C61</f>
        <v>-14467.889908256853</v>
      </c>
      <c r="D77" s="42">
        <f>D75/(1+Assumption_Hatchery!$C76)^D61</f>
        <v>-27315.040821479623</v>
      </c>
      <c r="E77" s="42">
        <f>E75/(1+Assumption_Hatchery!$C76)^E61</f>
        <v>-107560.04599124801</v>
      </c>
      <c r="F77" s="42">
        <f>F75/(1+Assumption_Hatchery!$C76)^F61</f>
        <v>-25582.308415026662</v>
      </c>
      <c r="G77" s="42">
        <f>G75/(1+Assumption_Hatchery!$C76)^G61</f>
        <v>-13810.052763919753</v>
      </c>
      <c r="H77" s="42">
        <f>H75/(1+Assumption_Hatchery!$C76)^H61</f>
        <v>-81651.728373477221</v>
      </c>
      <c r="I77" s="42">
        <f>I75/(1+Assumption_Hatchery!$C76)^I61</f>
        <v>5164.8453382758262</v>
      </c>
      <c r="J77" s="42">
        <f>J75/(1+Assumption_Hatchery!$C76)^J61</f>
        <v>12688.11018957072</v>
      </c>
      <c r="K77" s="42">
        <f>K75/(1+Assumption_Hatchery!$C76)^K61</f>
        <v>-44790.997823882673</v>
      </c>
      <c r="L77" s="42">
        <f>L75/(1+Assumption_Hatchery!$C76)^L61</f>
        <v>24494.529519005675</v>
      </c>
      <c r="M77" s="42">
        <f>M75/(1+Assumption_Hatchery!$C76)^M61</f>
        <v>29013.388991503183</v>
      </c>
      <c r="N77" s="42">
        <f>N75/(1+Assumption_Hatchery!$C76)^N61</f>
        <v>-19550.260088748841</v>
      </c>
      <c r="O77" s="42">
        <f>O75/(1+Assumption_Hatchery!$C76)^O61</f>
        <v>35786.896580689026</v>
      </c>
      <c r="P77" s="42">
        <f>P75/(1+Assumption_Hatchery!$C76)^P61</f>
        <v>38213.755968489189</v>
      </c>
      <c r="Q77" s="42">
        <f>Q75/(1+Assumption_Hatchery!$C76)^Q61</f>
        <v>-2715.6287475116474</v>
      </c>
      <c r="R77" s="42">
        <f>R75/(1+Assumption_Hatchery!$C76)^R61</f>
        <v>41514.994628297834</v>
      </c>
      <c r="S77" s="42">
        <f>S75/(1+Assumption_Hatchery!$C76)^S61</f>
        <v>42514.272716698535</v>
      </c>
      <c r="T77" s="42">
        <f>T75/(1+Assumption_Hatchery!$C76)^T61</f>
        <v>8095.3957709150736</v>
      </c>
      <c r="U77" s="42">
        <f>U75/(1+Assumption_Hatchery!$C76)^U61</f>
        <v>43475.427044512289</v>
      </c>
      <c r="V77" s="42">
        <f>V75/(1+Assumption_Hatchery!$C76)^V61</f>
        <v>43527.085371114808</v>
      </c>
      <c r="W77" s="42">
        <f>W75/(1+Assumption_Hatchery!$C76)^W61</f>
        <v>11712.486829517853</v>
      </c>
      <c r="X77" s="42">
        <f>X75/(1+Assumption_Hatchery!$C76)^X61</f>
        <v>21481.140298047914</v>
      </c>
      <c r="Y77" s="42">
        <f>Y75/(1+Assumption_Hatchery!$C76)^Y61</f>
        <v>8481.9305673354556</v>
      </c>
      <c r="Z77" s="42">
        <f>Z75/(1+Assumption_Hatchery!$C76)^Z61</f>
        <v>0</v>
      </c>
    </row>
    <row r="78" spans="1:26" x14ac:dyDescent="0.25">
      <c r="B78" s="34"/>
      <c r="C78" s="34"/>
      <c r="D78" s="34"/>
      <c r="E78" s="34"/>
      <c r="F78" s="34"/>
      <c r="G78" s="34"/>
      <c r="H78" s="34"/>
      <c r="I78" s="34"/>
      <c r="J78" s="34"/>
      <c r="K78" s="34"/>
      <c r="L78" s="34"/>
    </row>
    <row r="79" spans="1:26" s="13" customFormat="1" x14ac:dyDescent="0.25">
      <c r="A79" s="26" t="s">
        <v>62</v>
      </c>
      <c r="B79" s="37">
        <f>NPV(Assumption_Hatchery!C76,C75:Z75)+B75</f>
        <v>28720.306880421987</v>
      </c>
      <c r="C79" s="43"/>
      <c r="D79" s="43"/>
      <c r="E79" s="43"/>
      <c r="F79" s="43"/>
      <c r="G79" s="43"/>
      <c r="H79" s="43"/>
      <c r="I79" s="43"/>
      <c r="J79" s="43"/>
      <c r="K79" s="43"/>
      <c r="L79" s="43"/>
    </row>
    <row r="81" spans="1:26" s="13" customFormat="1" x14ac:dyDescent="0.25">
      <c r="A81" s="26" t="s">
        <v>25</v>
      </c>
      <c r="B81" s="38">
        <f>IRR(B75:Z75)</f>
        <v>9.8273336490084517E-2</v>
      </c>
      <c r="C81" s="4"/>
      <c r="D81" s="4"/>
      <c r="E81" s="4"/>
      <c r="F81" s="4"/>
      <c r="G81" s="4"/>
      <c r="H81" s="4"/>
      <c r="I81" s="4"/>
      <c r="J81" s="4"/>
      <c r="K81" s="4"/>
      <c r="L81" s="4"/>
    </row>
    <row r="83" spans="1:26" s="13" customFormat="1" x14ac:dyDescent="0.25">
      <c r="A83" s="27" t="s">
        <v>63</v>
      </c>
      <c r="B83" s="39">
        <f>B77</f>
        <v>0</v>
      </c>
      <c r="C83" s="39">
        <f>B83+C77</f>
        <v>-14467.889908256853</v>
      </c>
      <c r="D83" s="39">
        <f t="shared" ref="D83:Z83" si="22">C83+D77</f>
        <v>-41782.930729736472</v>
      </c>
      <c r="E83" s="39">
        <f t="shared" si="22"/>
        <v>-149342.9767209845</v>
      </c>
      <c r="F83" s="39">
        <f t="shared" si="22"/>
        <v>-174925.28513601117</v>
      </c>
      <c r="G83" s="39">
        <f t="shared" si="22"/>
        <v>-188735.33789993092</v>
      </c>
      <c r="H83" s="39">
        <f t="shared" si="22"/>
        <v>-270387.06627340813</v>
      </c>
      <c r="I83" s="39">
        <f t="shared" si="22"/>
        <v>-265222.2209351323</v>
      </c>
      <c r="J83" s="39">
        <f t="shared" si="22"/>
        <v>-252534.11074556157</v>
      </c>
      <c r="K83" s="39">
        <f t="shared" si="22"/>
        <v>-297325.10856944427</v>
      </c>
      <c r="L83" s="39">
        <f t="shared" si="22"/>
        <v>-272830.5790504386</v>
      </c>
      <c r="M83" s="39">
        <f t="shared" si="22"/>
        <v>-243817.1900589354</v>
      </c>
      <c r="N83" s="39">
        <f t="shared" si="22"/>
        <v>-263367.45014768426</v>
      </c>
      <c r="O83" s="39">
        <f t="shared" si="22"/>
        <v>-227580.55356699522</v>
      </c>
      <c r="P83" s="39">
        <f t="shared" si="22"/>
        <v>-189366.79759850603</v>
      </c>
      <c r="Q83" s="39">
        <f t="shared" si="22"/>
        <v>-192082.42634601769</v>
      </c>
      <c r="R83" s="39">
        <f t="shared" si="22"/>
        <v>-150567.43171771985</v>
      </c>
      <c r="S83" s="39">
        <f t="shared" si="22"/>
        <v>-108053.15900102133</v>
      </c>
      <c r="T83" s="39">
        <f t="shared" si="22"/>
        <v>-99957.763230106255</v>
      </c>
      <c r="U83" s="39">
        <f t="shared" si="22"/>
        <v>-56482.336185593966</v>
      </c>
      <c r="V83" s="39">
        <f t="shared" si="22"/>
        <v>-12955.250814479157</v>
      </c>
      <c r="W83" s="39">
        <f t="shared" si="22"/>
        <v>-1242.7639849613042</v>
      </c>
      <c r="X83" s="39">
        <f t="shared" si="22"/>
        <v>20238.37631308661</v>
      </c>
      <c r="Y83" s="39">
        <f t="shared" si="22"/>
        <v>28720.306880422067</v>
      </c>
      <c r="Z83" s="39">
        <f t="shared" si="22"/>
        <v>28720.306880422067</v>
      </c>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3:AE160"/>
  <sheetViews>
    <sheetView showGridLines="0" topLeftCell="E121" zoomScale="70" zoomScaleNormal="70" workbookViewId="0">
      <selection activeCell="V134" sqref="V134"/>
    </sheetView>
  </sheetViews>
  <sheetFormatPr defaultRowHeight="15" x14ac:dyDescent="0.25"/>
  <cols>
    <col min="2" max="2" width="50" customWidth="1"/>
    <col min="3" max="3" width="11.85546875" customWidth="1"/>
    <col min="4" max="4" width="17" customWidth="1"/>
    <col min="5" max="5" width="14.140625" customWidth="1"/>
    <col min="6" max="6" width="13" customWidth="1"/>
    <col min="7" max="7" width="12.7109375" customWidth="1"/>
    <col min="8" max="8" width="12.85546875" customWidth="1"/>
    <col min="9" max="9" width="14.140625" customWidth="1"/>
    <col min="10" max="10" width="12.5703125" customWidth="1"/>
    <col min="11" max="11" width="11.7109375" customWidth="1"/>
    <col min="12" max="12" width="13.85546875" customWidth="1"/>
    <col min="13" max="13" width="12.140625" customWidth="1"/>
    <col min="14" max="14" width="15.28515625" customWidth="1"/>
    <col min="15" max="15" width="12.28515625" customWidth="1"/>
    <col min="16" max="16" width="13.7109375" customWidth="1"/>
    <col min="17" max="17" width="13.28515625" customWidth="1"/>
    <col min="18" max="18" width="13.42578125" customWidth="1"/>
    <col min="19" max="20" width="11.7109375" customWidth="1"/>
    <col min="21" max="21" width="10.7109375" customWidth="1"/>
    <col min="22" max="22" width="12.140625" customWidth="1"/>
    <col min="23" max="23" width="14.85546875" customWidth="1"/>
    <col min="24" max="24" width="16.42578125" customWidth="1"/>
    <col min="25" max="25" width="13.7109375" customWidth="1"/>
    <col min="26" max="27" width="11.42578125" customWidth="1"/>
    <col min="28" max="29" width="15.28515625" customWidth="1"/>
    <col min="30" max="30" width="15.7109375" customWidth="1"/>
  </cols>
  <sheetData>
    <row r="3" spans="1:30" x14ac:dyDescent="0.25">
      <c r="A3" s="70">
        <v>1</v>
      </c>
      <c r="B3" s="286" t="s">
        <v>129</v>
      </c>
      <c r="C3" s="287"/>
      <c r="D3" s="287"/>
      <c r="E3" s="287"/>
    </row>
    <row r="5" spans="1:30" x14ac:dyDescent="0.25">
      <c r="C5" s="8" t="s">
        <v>22</v>
      </c>
      <c r="D5" s="16">
        <v>0</v>
      </c>
      <c r="E5" s="16">
        <v>1</v>
      </c>
      <c r="F5" s="16">
        <v>2</v>
      </c>
      <c r="G5" s="16">
        <v>3</v>
      </c>
      <c r="H5" s="16">
        <v>4</v>
      </c>
      <c r="I5" s="16">
        <v>5</v>
      </c>
      <c r="J5" s="16">
        <v>6</v>
      </c>
      <c r="K5" s="16">
        <v>7</v>
      </c>
      <c r="L5" s="16">
        <v>8</v>
      </c>
      <c r="M5" s="16">
        <v>9</v>
      </c>
      <c r="N5" s="16">
        <v>10</v>
      </c>
      <c r="O5" s="16">
        <v>11</v>
      </c>
      <c r="P5" s="16">
        <v>12</v>
      </c>
      <c r="Q5" s="16">
        <v>13</v>
      </c>
      <c r="R5" s="16">
        <v>14</v>
      </c>
      <c r="S5" s="16">
        <v>15</v>
      </c>
      <c r="T5" s="16">
        <v>16</v>
      </c>
      <c r="U5" s="16">
        <v>17</v>
      </c>
      <c r="V5" s="16">
        <v>18</v>
      </c>
      <c r="W5" s="16">
        <v>19</v>
      </c>
      <c r="X5" s="16">
        <v>20</v>
      </c>
      <c r="Y5" s="16">
        <v>21</v>
      </c>
      <c r="Z5" s="16">
        <v>22</v>
      </c>
      <c r="AA5" s="16">
        <v>23</v>
      </c>
      <c r="AB5" s="16">
        <v>24</v>
      </c>
      <c r="AC5" s="16"/>
      <c r="AD5" s="57" t="s">
        <v>133</v>
      </c>
    </row>
    <row r="6" spans="1:30" x14ac:dyDescent="0.25">
      <c r="B6" s="73" t="s">
        <v>132</v>
      </c>
      <c r="C6" s="51"/>
      <c r="D6" s="75">
        <f>Assumption_Hatchery!D6</f>
        <v>0</v>
      </c>
      <c r="E6" s="75">
        <f>Assumption_Hatchery!E6</f>
        <v>10</v>
      </c>
      <c r="F6" s="75">
        <f>Assumption_Hatchery!F6</f>
        <v>15</v>
      </c>
      <c r="G6" s="75">
        <f>Assumption_Hatchery!G6</f>
        <v>20</v>
      </c>
      <c r="H6" s="75">
        <f>Assumption_Hatchery!H6</f>
        <v>5</v>
      </c>
      <c r="I6" s="75">
        <f>Assumption_Hatchery!I6</f>
        <v>0</v>
      </c>
      <c r="J6" s="75">
        <f>Assumption_Hatchery!J6</f>
        <v>0</v>
      </c>
      <c r="K6" s="75">
        <f>Assumption_Hatchery!K6</f>
        <v>0</v>
      </c>
      <c r="L6" s="75">
        <f>Assumption_Hatchery!L6</f>
        <v>0</v>
      </c>
      <c r="M6" s="75">
        <f>Assumption_Hatchery!M6</f>
        <v>0</v>
      </c>
      <c r="N6" s="75">
        <f>Assumption_Hatchery!N6</f>
        <v>0</v>
      </c>
      <c r="O6" s="75">
        <f>Assumption_Hatchery!O6</f>
        <v>0</v>
      </c>
      <c r="P6" s="75">
        <f>Assumption_Hatchery!P6</f>
        <v>0</v>
      </c>
      <c r="Q6" s="75">
        <f>Assumption_Hatchery!Q6</f>
        <v>0</v>
      </c>
      <c r="R6" s="75">
        <f>Assumption_Hatchery!R6</f>
        <v>0</v>
      </c>
      <c r="S6" s="75">
        <f>Assumption_Hatchery!S6</f>
        <v>0</v>
      </c>
      <c r="T6" s="75">
        <f>Assumption_Hatchery!T6</f>
        <v>0</v>
      </c>
      <c r="U6" s="75">
        <f>Assumption_Hatchery!U6</f>
        <v>0</v>
      </c>
      <c r="V6" s="75">
        <f>Assumption_Hatchery!V6</f>
        <v>0</v>
      </c>
      <c r="W6" s="75">
        <f>Assumption_Hatchery!W6</f>
        <v>0</v>
      </c>
      <c r="X6" s="75">
        <f>Assumption_Hatchery!X6</f>
        <v>0</v>
      </c>
      <c r="Y6" s="75">
        <f>Assumption_Hatchery!Y6</f>
        <v>0</v>
      </c>
      <c r="Z6" s="75">
        <f>Assumption_Hatchery!Z6</f>
        <v>0</v>
      </c>
      <c r="AA6" s="75">
        <f>Assumption_Hatchery!AA6</f>
        <v>0</v>
      </c>
      <c r="AB6" s="75">
        <f>Assumption_Hatchery!AB6</f>
        <v>0</v>
      </c>
      <c r="AC6" s="75"/>
      <c r="AD6" s="57">
        <f>SUM(D6:AB6)</f>
        <v>50</v>
      </c>
    </row>
    <row r="7" spans="1:30" x14ac:dyDescent="0.25">
      <c r="B7" s="73" t="s">
        <v>131</v>
      </c>
      <c r="C7" s="51"/>
      <c r="D7" s="75">
        <f>Assumption_Hatchery!D7</f>
        <v>0</v>
      </c>
      <c r="E7" s="75">
        <f>Assumption_Hatchery!E7</f>
        <v>100</v>
      </c>
      <c r="F7" s="75">
        <f>Assumption_Hatchery!F7</f>
        <v>150</v>
      </c>
      <c r="G7" s="75">
        <f>Assumption_Hatchery!G7</f>
        <v>150</v>
      </c>
      <c r="H7" s="75">
        <f>Assumption_Hatchery!H7</f>
        <v>100</v>
      </c>
      <c r="I7" s="75">
        <f>Assumption_Hatchery!I7</f>
        <v>0</v>
      </c>
      <c r="J7" s="75">
        <f>Assumption_Hatchery!J7</f>
        <v>0</v>
      </c>
      <c r="K7" s="75">
        <f>Assumption_Hatchery!K7</f>
        <v>0</v>
      </c>
      <c r="L7" s="75">
        <f>Assumption_Hatchery!L7</f>
        <v>0</v>
      </c>
      <c r="M7" s="75">
        <f>Assumption_Hatchery!M7</f>
        <v>0</v>
      </c>
      <c r="N7" s="75">
        <f>Assumption_Hatchery!N7</f>
        <v>0</v>
      </c>
      <c r="O7" s="75">
        <f>Assumption_Hatchery!O7</f>
        <v>0</v>
      </c>
      <c r="P7" s="75">
        <f>Assumption_Hatchery!P7</f>
        <v>0</v>
      </c>
      <c r="Q7" s="75">
        <f>Assumption_Hatchery!Q7</f>
        <v>0</v>
      </c>
      <c r="R7" s="75">
        <f>Assumption_Hatchery!R7</f>
        <v>0</v>
      </c>
      <c r="S7" s="75">
        <f>Assumption_Hatchery!S7</f>
        <v>0</v>
      </c>
      <c r="T7" s="75">
        <f>Assumption_Hatchery!T7</f>
        <v>0</v>
      </c>
      <c r="U7" s="75">
        <f>Assumption_Hatchery!U7</f>
        <v>0</v>
      </c>
      <c r="V7" s="75">
        <f>Assumption_Hatchery!V7</f>
        <v>0</v>
      </c>
      <c r="W7" s="75">
        <f>Assumption_Hatchery!W7</f>
        <v>0</v>
      </c>
      <c r="X7" s="75">
        <f>Assumption_Hatchery!X7</f>
        <v>0</v>
      </c>
      <c r="Y7" s="75">
        <f>Assumption_Hatchery!Y7</f>
        <v>0</v>
      </c>
      <c r="Z7" s="75">
        <f>Assumption_Hatchery!Z7</f>
        <v>0</v>
      </c>
      <c r="AA7" s="75">
        <f>Assumption_Hatchery!AA7</f>
        <v>0</v>
      </c>
      <c r="AB7" s="75">
        <f>Assumption_Hatchery!AB7</f>
        <v>0</v>
      </c>
      <c r="AC7" s="75"/>
      <c r="AD7" s="57">
        <f>SUM(D7:AB7)</f>
        <v>500</v>
      </c>
    </row>
    <row r="8" spans="1:30" x14ac:dyDescent="0.25">
      <c r="B8" s="73" t="s">
        <v>130</v>
      </c>
      <c r="C8" s="51"/>
      <c r="D8" s="75">
        <f>Assumption_Hatchery!D8</f>
        <v>0</v>
      </c>
      <c r="E8" s="75">
        <f>Assumption_Hatchery!E8</f>
        <v>3000</v>
      </c>
      <c r="F8" s="75">
        <f>Assumption_Hatchery!F8</f>
        <v>7000</v>
      </c>
      <c r="G8" s="75">
        <f>Assumption_Hatchery!G8</f>
        <v>7000</v>
      </c>
      <c r="H8" s="75">
        <f>Assumption_Hatchery!H8</f>
        <v>2000</v>
      </c>
      <c r="I8" s="75">
        <f>Assumption_Hatchery!I8</f>
        <v>1000</v>
      </c>
      <c r="J8" s="75">
        <f>Assumption_Hatchery!J8</f>
        <v>0</v>
      </c>
      <c r="K8" s="75">
        <f>Assumption_Hatchery!K8</f>
        <v>0</v>
      </c>
      <c r="L8" s="75">
        <f>Assumption_Hatchery!L8</f>
        <v>0</v>
      </c>
      <c r="M8" s="75">
        <f>Assumption_Hatchery!M8</f>
        <v>0</v>
      </c>
      <c r="N8" s="75">
        <f>Assumption_Hatchery!N8</f>
        <v>0</v>
      </c>
      <c r="O8" s="75">
        <f>Assumption_Hatchery!O8</f>
        <v>0</v>
      </c>
      <c r="P8" s="75">
        <f>Assumption_Hatchery!P8</f>
        <v>0</v>
      </c>
      <c r="Q8" s="75">
        <f>Assumption_Hatchery!Q8</f>
        <v>0</v>
      </c>
      <c r="R8" s="75">
        <f>Assumption_Hatchery!R8</f>
        <v>0</v>
      </c>
      <c r="S8" s="75">
        <f>Assumption_Hatchery!S8</f>
        <v>0</v>
      </c>
      <c r="T8" s="75">
        <f>Assumption_Hatchery!T8</f>
        <v>0</v>
      </c>
      <c r="U8" s="75">
        <f>Assumption_Hatchery!U8</f>
        <v>0</v>
      </c>
      <c r="V8" s="75">
        <f>Assumption_Hatchery!V8</f>
        <v>0</v>
      </c>
      <c r="W8" s="75">
        <f>Assumption_Hatchery!W8</f>
        <v>0</v>
      </c>
      <c r="X8" s="75">
        <f>Assumption_Hatchery!X8</f>
        <v>0</v>
      </c>
      <c r="Y8" s="75">
        <f>Assumption_Hatchery!Y8</f>
        <v>0</v>
      </c>
      <c r="Z8" s="75">
        <f>Assumption_Hatchery!Z8</f>
        <v>0</v>
      </c>
      <c r="AA8" s="75">
        <f>Assumption_Hatchery!AA8</f>
        <v>0</v>
      </c>
      <c r="AB8" s="75">
        <f>Assumption_Hatchery!AB8</f>
        <v>0</v>
      </c>
      <c r="AC8" s="75"/>
      <c r="AD8" s="57">
        <f>SUM(D8:AB8)</f>
        <v>20000</v>
      </c>
    </row>
    <row r="9" spans="1:30" x14ac:dyDescent="0.25">
      <c r="D9" s="114"/>
      <c r="E9" s="114"/>
      <c r="F9" s="114"/>
      <c r="G9" s="114"/>
      <c r="H9" s="114"/>
      <c r="I9" s="114"/>
      <c r="J9" s="114"/>
      <c r="K9" s="114"/>
      <c r="L9" s="114"/>
      <c r="M9" s="114"/>
      <c r="N9" s="114"/>
      <c r="O9" s="114"/>
      <c r="P9" s="114"/>
      <c r="Q9" s="114"/>
      <c r="R9" s="114"/>
      <c r="S9" s="114"/>
      <c r="T9" s="114"/>
      <c r="U9" s="114"/>
      <c r="V9" s="114"/>
      <c r="W9" s="114"/>
      <c r="X9" s="114"/>
      <c r="Y9" s="114"/>
      <c r="Z9" s="114"/>
      <c r="AA9" s="114"/>
      <c r="AB9" s="114"/>
      <c r="AC9" s="114"/>
    </row>
    <row r="10" spans="1:30" x14ac:dyDescent="0.25">
      <c r="D10" s="114"/>
      <c r="E10" s="114"/>
      <c r="F10" s="114"/>
      <c r="G10" s="114"/>
      <c r="H10" s="114"/>
      <c r="I10" s="114"/>
      <c r="J10" s="114"/>
      <c r="K10" s="114"/>
      <c r="L10" s="114"/>
      <c r="M10" s="114"/>
      <c r="N10" s="114"/>
      <c r="O10" s="114"/>
      <c r="P10" s="114"/>
      <c r="Q10" s="114"/>
      <c r="R10" s="114"/>
      <c r="S10" s="114"/>
      <c r="T10" s="114"/>
      <c r="U10" s="114"/>
      <c r="V10" s="114"/>
      <c r="W10" s="114"/>
      <c r="X10" s="114"/>
      <c r="Y10" s="114"/>
      <c r="Z10" s="114"/>
      <c r="AA10" s="114"/>
      <c r="AB10" s="114"/>
      <c r="AC10" s="114"/>
    </row>
    <row r="11" spans="1:30" x14ac:dyDescent="0.25">
      <c r="A11" s="70">
        <v>2</v>
      </c>
      <c r="B11" s="47" t="s">
        <v>179</v>
      </c>
    </row>
    <row r="13" spans="1:30" x14ac:dyDescent="0.25">
      <c r="B13" s="73" t="s">
        <v>180</v>
      </c>
      <c r="C13" s="75">
        <f>SUM(D16:S16)</f>
        <v>20000</v>
      </c>
      <c r="D13" t="s">
        <v>125</v>
      </c>
    </row>
    <row r="15" spans="1:30" x14ac:dyDescent="0.25">
      <c r="C15" s="8" t="s">
        <v>22</v>
      </c>
      <c r="D15" s="16">
        <v>0</v>
      </c>
      <c r="E15" s="16">
        <v>1</v>
      </c>
      <c r="F15" s="16">
        <v>2</v>
      </c>
      <c r="G15" s="16">
        <v>3</v>
      </c>
      <c r="H15" s="16">
        <v>4</v>
      </c>
      <c r="I15" s="16">
        <v>5</v>
      </c>
      <c r="J15" s="16">
        <v>6</v>
      </c>
      <c r="K15" s="16">
        <v>7</v>
      </c>
      <c r="L15" s="16">
        <v>8</v>
      </c>
      <c r="M15" s="16">
        <v>9</v>
      </c>
      <c r="N15" s="16">
        <v>10</v>
      </c>
      <c r="O15" s="16">
        <v>11</v>
      </c>
      <c r="P15" s="16">
        <v>12</v>
      </c>
      <c r="Q15" s="16">
        <v>13</v>
      </c>
      <c r="R15" s="16">
        <v>14</v>
      </c>
      <c r="S15" s="16">
        <v>15</v>
      </c>
      <c r="T15" s="16">
        <v>16</v>
      </c>
      <c r="U15" s="16">
        <v>17</v>
      </c>
      <c r="V15" s="16">
        <v>18</v>
      </c>
      <c r="W15" s="16">
        <v>19</v>
      </c>
      <c r="X15" s="16">
        <v>20</v>
      </c>
      <c r="Y15" s="16">
        <v>21</v>
      </c>
      <c r="Z15" s="16">
        <v>22</v>
      </c>
      <c r="AA15" s="16">
        <v>23</v>
      </c>
      <c r="AB15" s="16">
        <v>24</v>
      </c>
      <c r="AC15" s="16">
        <v>25</v>
      </c>
      <c r="AD15" s="104" t="s">
        <v>133</v>
      </c>
    </row>
    <row r="16" spans="1:30" x14ac:dyDescent="0.25">
      <c r="B16" s="73" t="s">
        <v>181</v>
      </c>
      <c r="C16" s="51"/>
      <c r="D16" s="103">
        <f>D8</f>
        <v>0</v>
      </c>
      <c r="E16" s="103">
        <f t="shared" ref="E16:AC16" si="0">E8</f>
        <v>3000</v>
      </c>
      <c r="F16" s="103">
        <f t="shared" si="0"/>
        <v>7000</v>
      </c>
      <c r="G16" s="103">
        <f t="shared" si="0"/>
        <v>7000</v>
      </c>
      <c r="H16" s="103">
        <f t="shared" si="0"/>
        <v>2000</v>
      </c>
      <c r="I16" s="103">
        <f t="shared" si="0"/>
        <v>1000</v>
      </c>
      <c r="J16" s="103">
        <f t="shared" si="0"/>
        <v>0</v>
      </c>
      <c r="K16" s="103">
        <f t="shared" si="0"/>
        <v>0</v>
      </c>
      <c r="L16" s="103">
        <f t="shared" si="0"/>
        <v>0</v>
      </c>
      <c r="M16" s="103">
        <f t="shared" si="0"/>
        <v>0</v>
      </c>
      <c r="N16" s="103">
        <f t="shared" si="0"/>
        <v>0</v>
      </c>
      <c r="O16" s="103">
        <f t="shared" si="0"/>
        <v>0</v>
      </c>
      <c r="P16" s="103">
        <f t="shared" si="0"/>
        <v>0</v>
      </c>
      <c r="Q16" s="103">
        <f t="shared" si="0"/>
        <v>0</v>
      </c>
      <c r="R16" s="103">
        <f t="shared" si="0"/>
        <v>0</v>
      </c>
      <c r="S16" s="103">
        <f t="shared" si="0"/>
        <v>0</v>
      </c>
      <c r="T16" s="103">
        <f t="shared" si="0"/>
        <v>0</v>
      </c>
      <c r="U16" s="103">
        <f t="shared" si="0"/>
        <v>0</v>
      </c>
      <c r="V16" s="103">
        <f t="shared" si="0"/>
        <v>0</v>
      </c>
      <c r="W16" s="103">
        <f t="shared" si="0"/>
        <v>0</v>
      </c>
      <c r="X16" s="103">
        <f t="shared" si="0"/>
        <v>0</v>
      </c>
      <c r="Y16" s="103">
        <f t="shared" si="0"/>
        <v>0</v>
      </c>
      <c r="Z16" s="103">
        <f t="shared" si="0"/>
        <v>0</v>
      </c>
      <c r="AA16" s="103">
        <f t="shared" si="0"/>
        <v>0</v>
      </c>
      <c r="AB16" s="103">
        <f t="shared" si="0"/>
        <v>0</v>
      </c>
      <c r="AC16" s="103">
        <f t="shared" si="0"/>
        <v>0</v>
      </c>
      <c r="AD16" s="57">
        <f>SUM(D16:AB16)</f>
        <v>20000</v>
      </c>
    </row>
    <row r="17" spans="1:30" x14ac:dyDescent="0.25">
      <c r="B17" s="73" t="s">
        <v>182</v>
      </c>
      <c r="C17" s="51"/>
      <c r="D17" s="103"/>
      <c r="E17" s="103"/>
      <c r="F17" s="103"/>
      <c r="G17" s="103"/>
      <c r="H17" s="103"/>
      <c r="I17" s="103"/>
      <c r="J17" s="103"/>
      <c r="K17" s="103"/>
      <c r="L17" s="103"/>
      <c r="M17" s="103"/>
      <c r="N17" s="103"/>
      <c r="O17" s="103"/>
      <c r="P17" s="103"/>
      <c r="Q17" s="103"/>
      <c r="R17" s="103"/>
      <c r="S17" s="103"/>
      <c r="T17" s="103"/>
      <c r="U17" s="103"/>
      <c r="V17" s="103"/>
      <c r="W17" s="103"/>
      <c r="X17" s="103"/>
      <c r="Y17" s="103">
        <f>E16</f>
        <v>3000</v>
      </c>
      <c r="Z17" s="103">
        <f t="shared" ref="Z17:AC17" si="1">F16</f>
        <v>7000</v>
      </c>
      <c r="AA17" s="103">
        <f t="shared" si="1"/>
        <v>7000</v>
      </c>
      <c r="AB17" s="103">
        <f t="shared" si="1"/>
        <v>2000</v>
      </c>
      <c r="AC17" s="103">
        <f t="shared" si="1"/>
        <v>1000</v>
      </c>
      <c r="AD17" s="57">
        <f>SUM(D17:AC17)</f>
        <v>20000</v>
      </c>
    </row>
    <row r="18" spans="1:30" ht="19.149999999999999" customHeight="1" x14ac:dyDescent="0.25">
      <c r="B18" s="73" t="s">
        <v>183</v>
      </c>
      <c r="C18" s="51"/>
      <c r="D18" s="70"/>
      <c r="E18" s="70">
        <f>E16</f>
        <v>3000</v>
      </c>
      <c r="F18" s="70">
        <f t="shared" ref="F18:AC18" si="2">F16+E18-F17</f>
        <v>10000</v>
      </c>
      <c r="G18" s="70">
        <f t="shared" si="2"/>
        <v>17000</v>
      </c>
      <c r="H18" s="70">
        <f t="shared" si="2"/>
        <v>19000</v>
      </c>
      <c r="I18" s="70">
        <f t="shared" si="2"/>
        <v>20000</v>
      </c>
      <c r="J18" s="70">
        <f t="shared" si="2"/>
        <v>20000</v>
      </c>
      <c r="K18" s="70">
        <f t="shared" si="2"/>
        <v>20000</v>
      </c>
      <c r="L18" s="70">
        <f t="shared" si="2"/>
        <v>20000</v>
      </c>
      <c r="M18" s="70">
        <f t="shared" si="2"/>
        <v>20000</v>
      </c>
      <c r="N18" s="70">
        <f t="shared" si="2"/>
        <v>20000</v>
      </c>
      <c r="O18" s="70">
        <f t="shared" si="2"/>
        <v>20000</v>
      </c>
      <c r="P18" s="70">
        <f t="shared" si="2"/>
        <v>20000</v>
      </c>
      <c r="Q18" s="70">
        <f t="shared" si="2"/>
        <v>20000</v>
      </c>
      <c r="R18" s="70">
        <f t="shared" si="2"/>
        <v>20000</v>
      </c>
      <c r="S18" s="70">
        <f t="shared" si="2"/>
        <v>20000</v>
      </c>
      <c r="T18" s="70">
        <f t="shared" si="2"/>
        <v>20000</v>
      </c>
      <c r="U18" s="70">
        <f t="shared" si="2"/>
        <v>20000</v>
      </c>
      <c r="V18" s="70">
        <f t="shared" si="2"/>
        <v>20000</v>
      </c>
      <c r="W18" s="70">
        <f t="shared" si="2"/>
        <v>20000</v>
      </c>
      <c r="X18" s="70">
        <f t="shared" si="2"/>
        <v>20000</v>
      </c>
      <c r="Y18" s="70">
        <f t="shared" si="2"/>
        <v>17000</v>
      </c>
      <c r="Z18" s="70">
        <f t="shared" si="2"/>
        <v>10000</v>
      </c>
      <c r="AA18" s="70">
        <f t="shared" si="2"/>
        <v>3000</v>
      </c>
      <c r="AB18" s="70">
        <f t="shared" si="2"/>
        <v>1000</v>
      </c>
      <c r="AC18" s="70">
        <f t="shared" si="2"/>
        <v>0</v>
      </c>
      <c r="AD18" s="57"/>
    </row>
    <row r="19" spans="1:30" ht="19.149999999999999" customHeight="1" x14ac:dyDescent="0.25">
      <c r="B19" s="67"/>
      <c r="AD19" s="92"/>
    </row>
    <row r="20" spans="1:30" ht="19.149999999999999" customHeight="1" x14ac:dyDescent="0.25">
      <c r="B20" s="105" t="s">
        <v>137</v>
      </c>
      <c r="AD20" s="92"/>
    </row>
    <row r="21" spans="1:30" ht="19.149999999999999" customHeight="1" x14ac:dyDescent="0.25">
      <c r="B21" t="s">
        <v>139</v>
      </c>
      <c r="AD21" s="92"/>
    </row>
    <row r="22" spans="1:30" ht="19.149999999999999" customHeight="1" x14ac:dyDescent="0.25">
      <c r="B22" s="263" t="s">
        <v>184</v>
      </c>
      <c r="C22" s="263"/>
      <c r="D22" s="263"/>
      <c r="E22" s="263"/>
      <c r="F22" s="263"/>
      <c r="G22" s="263"/>
      <c r="H22" s="263"/>
      <c r="AD22" s="92"/>
    </row>
    <row r="23" spans="1:30" ht="19.149999999999999" customHeight="1" x14ac:dyDescent="0.25">
      <c r="B23" s="263" t="s">
        <v>185</v>
      </c>
      <c r="C23" s="263"/>
      <c r="D23" s="263"/>
      <c r="E23" s="263"/>
      <c r="F23" s="263"/>
      <c r="G23" s="263"/>
      <c r="H23" s="263"/>
      <c r="I23" s="263"/>
      <c r="J23" s="263"/>
      <c r="AD23" s="92"/>
    </row>
    <row r="25" spans="1:30" x14ac:dyDescent="0.25">
      <c r="A25" s="70">
        <v>3</v>
      </c>
      <c r="B25" t="s">
        <v>146</v>
      </c>
      <c r="C25" s="107">
        <v>1</v>
      </c>
      <c r="D25" t="s">
        <v>90</v>
      </c>
    </row>
    <row r="26" spans="1:30" x14ac:dyDescent="0.25">
      <c r="B26" t="s">
        <v>91</v>
      </c>
      <c r="C26" s="107">
        <v>0</v>
      </c>
      <c r="D26" t="s">
        <v>90</v>
      </c>
    </row>
    <row r="27" spans="1:30" x14ac:dyDescent="0.25">
      <c r="B27" t="s">
        <v>147</v>
      </c>
      <c r="C27" s="75">
        <f>C25-C26</f>
        <v>1</v>
      </c>
    </row>
    <row r="28" spans="1:30" x14ac:dyDescent="0.25">
      <c r="C28" s="84"/>
    </row>
    <row r="29" spans="1:30" x14ac:dyDescent="0.25">
      <c r="B29" t="s">
        <v>186</v>
      </c>
      <c r="C29" s="107">
        <v>155</v>
      </c>
      <c r="D29" t="s">
        <v>12</v>
      </c>
      <c r="E29" t="s">
        <v>232</v>
      </c>
    </row>
    <row r="30" spans="1:30" x14ac:dyDescent="0.25">
      <c r="B30" t="s">
        <v>187</v>
      </c>
      <c r="C30" s="75">
        <f>C127</f>
        <v>300</v>
      </c>
      <c r="D30" t="s">
        <v>12</v>
      </c>
      <c r="E30" t="s">
        <v>220</v>
      </c>
    </row>
    <row r="31" spans="1:30" x14ac:dyDescent="0.25">
      <c r="C31" s="84"/>
    </row>
    <row r="32" spans="1:30" ht="17.45" customHeight="1" x14ac:dyDescent="0.25">
      <c r="C32" s="130" t="s">
        <v>21</v>
      </c>
      <c r="E32" s="68"/>
      <c r="F32" s="68"/>
      <c r="G32" s="68"/>
      <c r="H32" s="68"/>
      <c r="I32" s="68"/>
      <c r="J32" s="68"/>
      <c r="K32" s="68"/>
      <c r="L32" s="68"/>
    </row>
    <row r="33" spans="2:30" ht="17.45" customHeight="1" x14ac:dyDescent="0.25">
      <c r="B33" s="6" t="s">
        <v>111</v>
      </c>
      <c r="C33" s="111">
        <v>0</v>
      </c>
      <c r="E33" s="101"/>
      <c r="F33" s="101"/>
      <c r="G33" s="101"/>
      <c r="H33" s="101"/>
      <c r="I33" s="101"/>
      <c r="J33" s="101"/>
      <c r="K33" s="101"/>
      <c r="L33" s="101"/>
    </row>
    <row r="35" spans="2:30" x14ac:dyDescent="0.25">
      <c r="C35" s="78"/>
    </row>
    <row r="36" spans="2:30" x14ac:dyDescent="0.25">
      <c r="C36" s="78"/>
    </row>
    <row r="37" spans="2:30" x14ac:dyDescent="0.25">
      <c r="C37" s="78"/>
    </row>
    <row r="38" spans="2:30" x14ac:dyDescent="0.25">
      <c r="B38" s="108" t="s">
        <v>106</v>
      </c>
      <c r="C38" s="8" t="s">
        <v>22</v>
      </c>
      <c r="D38" s="16">
        <v>0</v>
      </c>
      <c r="E38" s="16">
        <v>1</v>
      </c>
      <c r="F38" s="16">
        <v>2</v>
      </c>
      <c r="G38" s="16">
        <v>3</v>
      </c>
      <c r="H38" s="16">
        <v>4</v>
      </c>
      <c r="I38" s="16">
        <v>5</v>
      </c>
      <c r="J38" s="16">
        <v>6</v>
      </c>
      <c r="K38" s="16">
        <v>7</v>
      </c>
      <c r="L38" s="16">
        <v>8</v>
      </c>
      <c r="M38" s="16">
        <v>9</v>
      </c>
      <c r="N38" s="16">
        <v>10</v>
      </c>
      <c r="O38" s="16">
        <v>11</v>
      </c>
      <c r="P38" s="16">
        <v>12</v>
      </c>
      <c r="Q38" s="16">
        <v>13</v>
      </c>
      <c r="R38" s="16">
        <v>14</v>
      </c>
      <c r="S38" s="16">
        <v>15</v>
      </c>
      <c r="T38" s="16">
        <v>16</v>
      </c>
      <c r="U38" s="16">
        <v>17</v>
      </c>
      <c r="V38" s="16">
        <v>18</v>
      </c>
      <c r="W38" s="16">
        <v>19</v>
      </c>
      <c r="X38" s="16">
        <v>20</v>
      </c>
      <c r="Y38" s="16">
        <v>21</v>
      </c>
      <c r="Z38" s="16">
        <v>22</v>
      </c>
      <c r="AA38" s="16">
        <v>23</v>
      </c>
      <c r="AB38" s="16">
        <v>24</v>
      </c>
      <c r="AC38" s="16">
        <v>25</v>
      </c>
      <c r="AD38" s="100" t="s">
        <v>133</v>
      </c>
    </row>
    <row r="39" spans="2:30" x14ac:dyDescent="0.25">
      <c r="B39" s="51" t="s">
        <v>95</v>
      </c>
      <c r="C39" s="51"/>
      <c r="D39" s="82"/>
      <c r="E39" s="82">
        <f>D44</f>
        <v>0</v>
      </c>
      <c r="F39" s="82">
        <f t="shared" ref="F39:AC39" si="3">E44</f>
        <v>0</v>
      </c>
      <c r="G39" s="82">
        <f t="shared" si="3"/>
        <v>0</v>
      </c>
      <c r="H39" s="82">
        <f t="shared" si="3"/>
        <v>0</v>
      </c>
      <c r="I39" s="82">
        <f t="shared" si="3"/>
        <v>0</v>
      </c>
      <c r="J39" s="112">
        <f t="shared" si="3"/>
        <v>0</v>
      </c>
      <c r="K39" s="82">
        <f t="shared" si="3"/>
        <v>0</v>
      </c>
      <c r="L39" s="82">
        <f t="shared" si="3"/>
        <v>0</v>
      </c>
      <c r="M39" s="82">
        <f t="shared" si="3"/>
        <v>0</v>
      </c>
      <c r="N39" s="82">
        <f t="shared" si="3"/>
        <v>0</v>
      </c>
      <c r="O39" s="82">
        <f t="shared" si="3"/>
        <v>0</v>
      </c>
      <c r="P39" s="82">
        <f t="shared" si="3"/>
        <v>0</v>
      </c>
      <c r="Q39" s="82">
        <f t="shared" si="3"/>
        <v>0</v>
      </c>
      <c r="R39" s="82">
        <f t="shared" si="3"/>
        <v>0</v>
      </c>
      <c r="S39" s="82">
        <f t="shared" si="3"/>
        <v>0</v>
      </c>
      <c r="T39" s="82">
        <f t="shared" si="3"/>
        <v>0</v>
      </c>
      <c r="U39" s="82">
        <f t="shared" si="3"/>
        <v>0</v>
      </c>
      <c r="V39" s="82">
        <f t="shared" si="3"/>
        <v>0</v>
      </c>
      <c r="W39" s="82">
        <f t="shared" si="3"/>
        <v>0</v>
      </c>
      <c r="X39" s="82">
        <f t="shared" si="3"/>
        <v>0</v>
      </c>
      <c r="Y39" s="82">
        <f t="shared" si="3"/>
        <v>0</v>
      </c>
      <c r="Z39" s="82">
        <f t="shared" si="3"/>
        <v>0</v>
      </c>
      <c r="AA39" s="82">
        <f t="shared" si="3"/>
        <v>0</v>
      </c>
      <c r="AB39" s="82">
        <f t="shared" si="3"/>
        <v>0</v>
      </c>
      <c r="AC39" s="82">
        <f t="shared" si="3"/>
        <v>0</v>
      </c>
      <c r="AD39" s="172"/>
    </row>
    <row r="40" spans="2:30" x14ac:dyDescent="0.25">
      <c r="B40" s="74" t="s">
        <v>96</v>
      </c>
      <c r="C40" s="51"/>
      <c r="D40" s="81">
        <f t="shared" ref="D40:AA40" si="4">($C29+$C30)*D16</f>
        <v>0</v>
      </c>
      <c r="E40" s="81">
        <f t="shared" si="4"/>
        <v>1365000</v>
      </c>
      <c r="F40" s="81">
        <f t="shared" si="4"/>
        <v>3185000</v>
      </c>
      <c r="G40" s="81">
        <f t="shared" si="4"/>
        <v>3185000</v>
      </c>
      <c r="H40" s="81">
        <f t="shared" si="4"/>
        <v>910000</v>
      </c>
      <c r="I40" s="81">
        <f t="shared" si="4"/>
        <v>455000</v>
      </c>
      <c r="J40" s="81">
        <f t="shared" si="4"/>
        <v>0</v>
      </c>
      <c r="K40" s="81">
        <f t="shared" si="4"/>
        <v>0</v>
      </c>
      <c r="L40" s="81">
        <f t="shared" si="4"/>
        <v>0</v>
      </c>
      <c r="M40" s="81">
        <f t="shared" si="4"/>
        <v>0</v>
      </c>
      <c r="N40" s="81">
        <f t="shared" si="4"/>
        <v>0</v>
      </c>
      <c r="O40" s="81">
        <f t="shared" si="4"/>
        <v>0</v>
      </c>
      <c r="P40" s="81">
        <f t="shared" si="4"/>
        <v>0</v>
      </c>
      <c r="Q40" s="81">
        <f t="shared" si="4"/>
        <v>0</v>
      </c>
      <c r="R40" s="81">
        <f t="shared" si="4"/>
        <v>0</v>
      </c>
      <c r="S40" s="81">
        <f t="shared" si="4"/>
        <v>0</v>
      </c>
      <c r="T40" s="81">
        <f t="shared" si="4"/>
        <v>0</v>
      </c>
      <c r="U40" s="81">
        <f t="shared" si="4"/>
        <v>0</v>
      </c>
      <c r="V40" s="81">
        <f t="shared" si="4"/>
        <v>0</v>
      </c>
      <c r="W40" s="81">
        <f t="shared" si="4"/>
        <v>0</v>
      </c>
      <c r="X40" s="81">
        <f t="shared" si="4"/>
        <v>0</v>
      </c>
      <c r="Y40" s="81">
        <f t="shared" si="4"/>
        <v>0</v>
      </c>
      <c r="Z40" s="81">
        <f t="shared" si="4"/>
        <v>0</v>
      </c>
      <c r="AA40" s="81">
        <f t="shared" si="4"/>
        <v>0</v>
      </c>
      <c r="AB40" s="82">
        <f t="shared" ref="AB40:AB41" si="5">AA45</f>
        <v>0</v>
      </c>
      <c r="AC40" s="82">
        <f t="shared" ref="AC40:AC41" si="6">AB45</f>
        <v>0</v>
      </c>
      <c r="AD40" s="172">
        <f>SUM(D40:AC40)</f>
        <v>9100000</v>
      </c>
    </row>
    <row r="41" spans="2:30" x14ac:dyDescent="0.25">
      <c r="B41" s="51" t="s">
        <v>97</v>
      </c>
      <c r="C41" s="51"/>
      <c r="D41" s="82">
        <f t="shared" ref="D41" si="7">D39*$C131</f>
        <v>0</v>
      </c>
      <c r="E41" s="82">
        <f>(E39+E40)*$C131</f>
        <v>327600</v>
      </c>
      <c r="F41" s="82">
        <f t="shared" ref="F41:AA41" si="8">(F39+F40)*$C131</f>
        <v>764400</v>
      </c>
      <c r="G41" s="82">
        <f t="shared" si="8"/>
        <v>764400</v>
      </c>
      <c r="H41" s="82">
        <f t="shared" si="8"/>
        <v>218400</v>
      </c>
      <c r="I41" s="82">
        <f t="shared" si="8"/>
        <v>109200</v>
      </c>
      <c r="J41" s="82">
        <f t="shared" si="8"/>
        <v>0</v>
      </c>
      <c r="K41" s="82">
        <f t="shared" si="8"/>
        <v>0</v>
      </c>
      <c r="L41" s="82">
        <f t="shared" si="8"/>
        <v>0</v>
      </c>
      <c r="M41" s="82">
        <f t="shared" si="8"/>
        <v>0</v>
      </c>
      <c r="N41" s="82">
        <f t="shared" si="8"/>
        <v>0</v>
      </c>
      <c r="O41" s="82">
        <f t="shared" si="8"/>
        <v>0</v>
      </c>
      <c r="P41" s="82">
        <f t="shared" si="8"/>
        <v>0</v>
      </c>
      <c r="Q41" s="82">
        <f t="shared" si="8"/>
        <v>0</v>
      </c>
      <c r="R41" s="82">
        <f t="shared" si="8"/>
        <v>0</v>
      </c>
      <c r="S41" s="82">
        <f t="shared" si="8"/>
        <v>0</v>
      </c>
      <c r="T41" s="82">
        <f t="shared" si="8"/>
        <v>0</v>
      </c>
      <c r="U41" s="82">
        <f t="shared" si="8"/>
        <v>0</v>
      </c>
      <c r="V41" s="82">
        <f t="shared" si="8"/>
        <v>0</v>
      </c>
      <c r="W41" s="82">
        <f t="shared" si="8"/>
        <v>0</v>
      </c>
      <c r="X41" s="82">
        <f t="shared" si="8"/>
        <v>0</v>
      </c>
      <c r="Y41" s="82">
        <f t="shared" si="8"/>
        <v>0</v>
      </c>
      <c r="Z41" s="82">
        <f t="shared" si="8"/>
        <v>0</v>
      </c>
      <c r="AA41" s="82">
        <f t="shared" si="8"/>
        <v>0</v>
      </c>
      <c r="AB41" s="82">
        <f t="shared" si="5"/>
        <v>0</v>
      </c>
      <c r="AC41" s="82">
        <f t="shared" si="6"/>
        <v>0</v>
      </c>
      <c r="AD41" s="172">
        <f>SUM(D41:AC41)</f>
        <v>2184000</v>
      </c>
    </row>
    <row r="42" spans="2:30" x14ac:dyDescent="0.25">
      <c r="B42" s="51" t="s">
        <v>99</v>
      </c>
      <c r="C42" s="51"/>
      <c r="D42" s="82">
        <v>0</v>
      </c>
      <c r="E42" s="82">
        <f>E40*$C27</f>
        <v>1365000</v>
      </c>
      <c r="F42" s="82">
        <f t="shared" ref="F42:AC42" si="9">F40*$C27</f>
        <v>3185000</v>
      </c>
      <c r="G42" s="82">
        <f t="shared" si="9"/>
        <v>3185000</v>
      </c>
      <c r="H42" s="82">
        <f t="shared" si="9"/>
        <v>910000</v>
      </c>
      <c r="I42" s="82">
        <f t="shared" si="9"/>
        <v>455000</v>
      </c>
      <c r="J42" s="82">
        <f t="shared" si="9"/>
        <v>0</v>
      </c>
      <c r="K42" s="82">
        <f t="shared" si="9"/>
        <v>0</v>
      </c>
      <c r="L42" s="82">
        <f t="shared" si="9"/>
        <v>0</v>
      </c>
      <c r="M42" s="82">
        <f t="shared" si="9"/>
        <v>0</v>
      </c>
      <c r="N42" s="82">
        <f t="shared" si="9"/>
        <v>0</v>
      </c>
      <c r="O42" s="82">
        <f t="shared" si="9"/>
        <v>0</v>
      </c>
      <c r="P42" s="82">
        <f t="shared" si="9"/>
        <v>0</v>
      </c>
      <c r="Q42" s="82">
        <f t="shared" si="9"/>
        <v>0</v>
      </c>
      <c r="R42" s="82">
        <f t="shared" si="9"/>
        <v>0</v>
      </c>
      <c r="S42" s="82">
        <f t="shared" si="9"/>
        <v>0</v>
      </c>
      <c r="T42" s="82">
        <f t="shared" si="9"/>
        <v>0</v>
      </c>
      <c r="U42" s="82">
        <f t="shared" si="9"/>
        <v>0</v>
      </c>
      <c r="V42" s="82">
        <f t="shared" si="9"/>
        <v>0</v>
      </c>
      <c r="W42" s="82">
        <f t="shared" si="9"/>
        <v>0</v>
      </c>
      <c r="X42" s="82">
        <f t="shared" si="9"/>
        <v>0</v>
      </c>
      <c r="Y42" s="82">
        <f t="shared" si="9"/>
        <v>0</v>
      </c>
      <c r="Z42" s="82">
        <f t="shared" si="9"/>
        <v>0</v>
      </c>
      <c r="AA42" s="82">
        <f t="shared" si="9"/>
        <v>0</v>
      </c>
      <c r="AB42" s="82">
        <f t="shared" si="9"/>
        <v>0</v>
      </c>
      <c r="AC42" s="82">
        <f t="shared" si="9"/>
        <v>0</v>
      </c>
      <c r="AD42" s="172">
        <f>SUM(D42:AC42)</f>
        <v>9100000</v>
      </c>
    </row>
    <row r="43" spans="2:30" x14ac:dyDescent="0.25">
      <c r="B43" s="51" t="s">
        <v>145</v>
      </c>
      <c r="C43" s="51"/>
      <c r="D43" s="82">
        <f>D41+D42</f>
        <v>0</v>
      </c>
      <c r="E43" s="82">
        <f>E41+E42</f>
        <v>1692600</v>
      </c>
      <c r="F43" s="82">
        <f t="shared" ref="F43:AC43" si="10">F41+F42</f>
        <v>3949400</v>
      </c>
      <c r="G43" s="82">
        <f t="shared" si="10"/>
        <v>3949400</v>
      </c>
      <c r="H43" s="82">
        <f t="shared" si="10"/>
        <v>1128400</v>
      </c>
      <c r="I43" s="82">
        <f t="shared" si="10"/>
        <v>564200</v>
      </c>
      <c r="J43" s="112">
        <f t="shared" si="10"/>
        <v>0</v>
      </c>
      <c r="K43" s="82">
        <f t="shared" si="10"/>
        <v>0</v>
      </c>
      <c r="L43" s="82">
        <f t="shared" si="10"/>
        <v>0</v>
      </c>
      <c r="M43" s="82">
        <f t="shared" si="10"/>
        <v>0</v>
      </c>
      <c r="N43" s="82">
        <f t="shared" si="10"/>
        <v>0</v>
      </c>
      <c r="O43" s="82">
        <f t="shared" si="10"/>
        <v>0</v>
      </c>
      <c r="P43" s="82">
        <f t="shared" si="10"/>
        <v>0</v>
      </c>
      <c r="Q43" s="82">
        <f t="shared" si="10"/>
        <v>0</v>
      </c>
      <c r="R43" s="82">
        <f t="shared" si="10"/>
        <v>0</v>
      </c>
      <c r="S43" s="82">
        <f t="shared" si="10"/>
        <v>0</v>
      </c>
      <c r="T43" s="82">
        <f t="shared" si="10"/>
        <v>0</v>
      </c>
      <c r="U43" s="82">
        <f t="shared" si="10"/>
        <v>0</v>
      </c>
      <c r="V43" s="82">
        <f t="shared" si="10"/>
        <v>0</v>
      </c>
      <c r="W43" s="82">
        <f t="shared" si="10"/>
        <v>0</v>
      </c>
      <c r="X43" s="82">
        <f t="shared" si="10"/>
        <v>0</v>
      </c>
      <c r="Y43" s="82">
        <f t="shared" si="10"/>
        <v>0</v>
      </c>
      <c r="Z43" s="82">
        <f t="shared" si="10"/>
        <v>0</v>
      </c>
      <c r="AA43" s="82">
        <f t="shared" si="10"/>
        <v>0</v>
      </c>
      <c r="AB43" s="82">
        <f t="shared" si="10"/>
        <v>0</v>
      </c>
      <c r="AC43" s="82">
        <f t="shared" si="10"/>
        <v>0</v>
      </c>
      <c r="AD43" s="172">
        <f>SUM(D43:AC43)</f>
        <v>11284000</v>
      </c>
    </row>
    <row r="44" spans="2:30" x14ac:dyDescent="0.25">
      <c r="B44" s="51" t="s">
        <v>98</v>
      </c>
      <c r="C44" s="51"/>
      <c r="D44" s="82">
        <f>D39+D40-D43</f>
        <v>0</v>
      </c>
      <c r="E44" s="82">
        <f>E39+E40-E43+E41</f>
        <v>0</v>
      </c>
      <c r="F44" s="82">
        <f t="shared" ref="F44:AC44" si="11">F39+F40-F43+F41</f>
        <v>0</v>
      </c>
      <c r="G44" s="82">
        <f t="shared" si="11"/>
        <v>0</v>
      </c>
      <c r="H44" s="82">
        <f t="shared" si="11"/>
        <v>0</v>
      </c>
      <c r="I44" s="82">
        <f t="shared" si="11"/>
        <v>0</v>
      </c>
      <c r="J44" s="112">
        <f t="shared" si="11"/>
        <v>0</v>
      </c>
      <c r="K44" s="82">
        <f t="shared" si="11"/>
        <v>0</v>
      </c>
      <c r="L44" s="82">
        <f t="shared" si="11"/>
        <v>0</v>
      </c>
      <c r="M44" s="82">
        <f t="shared" si="11"/>
        <v>0</v>
      </c>
      <c r="N44" s="82">
        <f t="shared" si="11"/>
        <v>0</v>
      </c>
      <c r="O44" s="82">
        <f t="shared" si="11"/>
        <v>0</v>
      </c>
      <c r="P44" s="82">
        <f t="shared" si="11"/>
        <v>0</v>
      </c>
      <c r="Q44" s="82">
        <f t="shared" si="11"/>
        <v>0</v>
      </c>
      <c r="R44" s="82">
        <f t="shared" si="11"/>
        <v>0</v>
      </c>
      <c r="S44" s="82">
        <f t="shared" si="11"/>
        <v>0</v>
      </c>
      <c r="T44" s="82">
        <f t="shared" si="11"/>
        <v>0</v>
      </c>
      <c r="U44" s="82">
        <f t="shared" si="11"/>
        <v>0</v>
      </c>
      <c r="V44" s="82">
        <f t="shared" si="11"/>
        <v>0</v>
      </c>
      <c r="W44" s="82">
        <f t="shared" si="11"/>
        <v>0</v>
      </c>
      <c r="X44" s="82">
        <f t="shared" si="11"/>
        <v>0</v>
      </c>
      <c r="Y44" s="82">
        <f t="shared" si="11"/>
        <v>0</v>
      </c>
      <c r="Z44" s="82">
        <f t="shared" si="11"/>
        <v>0</v>
      </c>
      <c r="AA44" s="82">
        <f t="shared" si="11"/>
        <v>0</v>
      </c>
      <c r="AB44" s="82">
        <f t="shared" si="11"/>
        <v>0</v>
      </c>
      <c r="AC44" s="82">
        <f t="shared" si="11"/>
        <v>0</v>
      </c>
      <c r="AD44" s="172"/>
    </row>
    <row r="45" spans="2:30" x14ac:dyDescent="0.25">
      <c r="C45" s="78"/>
    </row>
    <row r="46" spans="2:30" x14ac:dyDescent="0.25">
      <c r="B46" s="47"/>
      <c r="C46" s="78"/>
    </row>
    <row r="47" spans="2:30" x14ac:dyDescent="0.25">
      <c r="B47" s="47"/>
      <c r="C47" s="78"/>
    </row>
    <row r="48" spans="2:30" x14ac:dyDescent="0.25">
      <c r="B48" s="108" t="s">
        <v>105</v>
      </c>
      <c r="C48" s="8" t="s">
        <v>22</v>
      </c>
      <c r="D48" s="16">
        <v>0</v>
      </c>
      <c r="E48" s="16">
        <v>1</v>
      </c>
      <c r="F48" s="16">
        <v>2</v>
      </c>
      <c r="G48" s="16">
        <v>3</v>
      </c>
      <c r="H48" s="16">
        <v>4</v>
      </c>
      <c r="I48" s="16">
        <v>5</v>
      </c>
      <c r="J48" s="16">
        <v>6</v>
      </c>
      <c r="K48" s="16">
        <v>7</v>
      </c>
      <c r="L48" s="16">
        <v>8</v>
      </c>
      <c r="M48" s="16">
        <v>9</v>
      </c>
      <c r="N48" s="16">
        <v>10</v>
      </c>
      <c r="O48" s="16">
        <v>11</v>
      </c>
      <c r="P48" s="16">
        <v>12</v>
      </c>
      <c r="Q48" s="16">
        <v>13</v>
      </c>
      <c r="R48" s="16">
        <v>14</v>
      </c>
      <c r="S48" s="16">
        <v>15</v>
      </c>
      <c r="T48" s="16">
        <v>16</v>
      </c>
      <c r="U48" s="16">
        <v>17</v>
      </c>
      <c r="V48" s="16">
        <v>18</v>
      </c>
      <c r="W48" s="16">
        <v>19</v>
      </c>
      <c r="X48" s="16">
        <v>20</v>
      </c>
      <c r="Y48" s="16">
        <v>21</v>
      </c>
      <c r="Z48" s="16">
        <v>22</v>
      </c>
      <c r="AA48" s="16">
        <v>23</v>
      </c>
      <c r="AB48" s="16">
        <v>24</v>
      </c>
      <c r="AC48" s="16">
        <v>25</v>
      </c>
      <c r="AD48" s="100" t="s">
        <v>133</v>
      </c>
    </row>
    <row r="49" spans="2:30" x14ac:dyDescent="0.25">
      <c r="B49" s="51" t="s">
        <v>95</v>
      </c>
      <c r="C49" s="51"/>
      <c r="D49" s="82"/>
      <c r="E49" s="82">
        <f>D54</f>
        <v>0</v>
      </c>
      <c r="F49" s="82">
        <f t="shared" ref="F49:AC49" si="12">E54</f>
        <v>0</v>
      </c>
      <c r="G49" s="82">
        <f t="shared" si="12"/>
        <v>0</v>
      </c>
      <c r="H49" s="82">
        <f t="shared" si="12"/>
        <v>0</v>
      </c>
      <c r="I49" s="82">
        <f t="shared" si="12"/>
        <v>0</v>
      </c>
      <c r="J49" s="112">
        <f t="shared" si="12"/>
        <v>0</v>
      </c>
      <c r="K49" s="82">
        <f t="shared" si="12"/>
        <v>0</v>
      </c>
      <c r="L49" s="82">
        <f t="shared" si="12"/>
        <v>0</v>
      </c>
      <c r="M49" s="82">
        <f t="shared" si="12"/>
        <v>0</v>
      </c>
      <c r="N49" s="82">
        <f t="shared" si="12"/>
        <v>0</v>
      </c>
      <c r="O49" s="82">
        <f t="shared" si="12"/>
        <v>0</v>
      </c>
      <c r="P49" s="82">
        <f t="shared" si="12"/>
        <v>0</v>
      </c>
      <c r="Q49" s="82">
        <f t="shared" si="12"/>
        <v>0</v>
      </c>
      <c r="R49" s="82">
        <f t="shared" si="12"/>
        <v>0</v>
      </c>
      <c r="S49" s="82">
        <f t="shared" si="12"/>
        <v>0</v>
      </c>
      <c r="T49" s="82">
        <f t="shared" si="12"/>
        <v>0</v>
      </c>
      <c r="U49" s="82">
        <f t="shared" si="12"/>
        <v>0</v>
      </c>
      <c r="V49" s="82">
        <f t="shared" si="12"/>
        <v>0</v>
      </c>
      <c r="W49" s="82">
        <f t="shared" si="12"/>
        <v>0</v>
      </c>
      <c r="X49" s="82">
        <f t="shared" si="12"/>
        <v>0</v>
      </c>
      <c r="Y49" s="82">
        <f t="shared" si="12"/>
        <v>0</v>
      </c>
      <c r="Z49" s="82">
        <f t="shared" si="12"/>
        <v>0</v>
      </c>
      <c r="AA49" s="82">
        <f t="shared" si="12"/>
        <v>0</v>
      </c>
      <c r="AB49" s="82">
        <f t="shared" si="12"/>
        <v>0</v>
      </c>
      <c r="AC49" s="82">
        <f t="shared" si="12"/>
        <v>0</v>
      </c>
      <c r="AD49" s="172"/>
    </row>
    <row r="50" spans="2:30" x14ac:dyDescent="0.25">
      <c r="B50" s="74" t="s">
        <v>96</v>
      </c>
      <c r="C50" s="51"/>
      <c r="D50" s="81">
        <f t="shared" ref="D50:AC50" si="13">$C29*D16</f>
        <v>0</v>
      </c>
      <c r="E50" s="81">
        <f t="shared" si="13"/>
        <v>465000</v>
      </c>
      <c r="F50" s="81">
        <f t="shared" si="13"/>
        <v>1085000</v>
      </c>
      <c r="G50" s="81">
        <f t="shared" si="13"/>
        <v>1085000</v>
      </c>
      <c r="H50" s="81">
        <f t="shared" si="13"/>
        <v>310000</v>
      </c>
      <c r="I50" s="81">
        <f t="shared" si="13"/>
        <v>155000</v>
      </c>
      <c r="J50" s="81">
        <f t="shared" si="13"/>
        <v>0</v>
      </c>
      <c r="K50" s="81">
        <f t="shared" si="13"/>
        <v>0</v>
      </c>
      <c r="L50" s="81">
        <f t="shared" si="13"/>
        <v>0</v>
      </c>
      <c r="M50" s="81">
        <f t="shared" si="13"/>
        <v>0</v>
      </c>
      <c r="N50" s="81">
        <f t="shared" si="13"/>
        <v>0</v>
      </c>
      <c r="O50" s="81">
        <f t="shared" si="13"/>
        <v>0</v>
      </c>
      <c r="P50" s="81">
        <f t="shared" si="13"/>
        <v>0</v>
      </c>
      <c r="Q50" s="81">
        <f t="shared" si="13"/>
        <v>0</v>
      </c>
      <c r="R50" s="81">
        <f t="shared" si="13"/>
        <v>0</v>
      </c>
      <c r="S50" s="81">
        <f t="shared" si="13"/>
        <v>0</v>
      </c>
      <c r="T50" s="81">
        <f t="shared" si="13"/>
        <v>0</v>
      </c>
      <c r="U50" s="81">
        <f t="shared" si="13"/>
        <v>0</v>
      </c>
      <c r="V50" s="81">
        <f t="shared" si="13"/>
        <v>0</v>
      </c>
      <c r="W50" s="81">
        <f t="shared" si="13"/>
        <v>0</v>
      </c>
      <c r="X50" s="81">
        <f t="shared" si="13"/>
        <v>0</v>
      </c>
      <c r="Y50" s="81">
        <f t="shared" si="13"/>
        <v>0</v>
      </c>
      <c r="Z50" s="81">
        <f t="shared" si="13"/>
        <v>0</v>
      </c>
      <c r="AA50" s="81">
        <f t="shared" si="13"/>
        <v>0</v>
      </c>
      <c r="AB50" s="81">
        <f t="shared" si="13"/>
        <v>0</v>
      </c>
      <c r="AC50" s="81">
        <f t="shared" si="13"/>
        <v>0</v>
      </c>
      <c r="AD50" s="172">
        <f>SUM(D50:AC50)</f>
        <v>3100000</v>
      </c>
    </row>
    <row r="51" spans="2:30" x14ac:dyDescent="0.25">
      <c r="B51" s="51" t="s">
        <v>97</v>
      </c>
      <c r="C51" s="51"/>
      <c r="D51" s="82">
        <v>0</v>
      </c>
      <c r="E51" s="82">
        <f>(E49+E50)*$C131</f>
        <v>111600</v>
      </c>
      <c r="F51" s="82">
        <f t="shared" ref="F51:AC51" si="14">(F49+F50)*$C131</f>
        <v>260400</v>
      </c>
      <c r="G51" s="82">
        <f t="shared" si="14"/>
        <v>260400</v>
      </c>
      <c r="H51" s="82">
        <f t="shared" si="14"/>
        <v>74400</v>
      </c>
      <c r="I51" s="82">
        <f t="shared" si="14"/>
        <v>37200</v>
      </c>
      <c r="J51" s="82">
        <f t="shared" si="14"/>
        <v>0</v>
      </c>
      <c r="K51" s="82">
        <f t="shared" si="14"/>
        <v>0</v>
      </c>
      <c r="L51" s="82">
        <f t="shared" si="14"/>
        <v>0</v>
      </c>
      <c r="M51" s="82">
        <f t="shared" si="14"/>
        <v>0</v>
      </c>
      <c r="N51" s="82">
        <f t="shared" si="14"/>
        <v>0</v>
      </c>
      <c r="O51" s="82">
        <f t="shared" si="14"/>
        <v>0</v>
      </c>
      <c r="P51" s="82">
        <f t="shared" si="14"/>
        <v>0</v>
      </c>
      <c r="Q51" s="82">
        <f t="shared" si="14"/>
        <v>0</v>
      </c>
      <c r="R51" s="82">
        <f t="shared" si="14"/>
        <v>0</v>
      </c>
      <c r="S51" s="82">
        <f t="shared" si="14"/>
        <v>0</v>
      </c>
      <c r="T51" s="82">
        <f t="shared" si="14"/>
        <v>0</v>
      </c>
      <c r="U51" s="82">
        <f t="shared" si="14"/>
        <v>0</v>
      </c>
      <c r="V51" s="82">
        <f t="shared" si="14"/>
        <v>0</v>
      </c>
      <c r="W51" s="82">
        <f t="shared" si="14"/>
        <v>0</v>
      </c>
      <c r="X51" s="82">
        <f t="shared" si="14"/>
        <v>0</v>
      </c>
      <c r="Y51" s="82">
        <f t="shared" si="14"/>
        <v>0</v>
      </c>
      <c r="Z51" s="82">
        <f t="shared" si="14"/>
        <v>0</v>
      </c>
      <c r="AA51" s="82">
        <f t="shared" si="14"/>
        <v>0</v>
      </c>
      <c r="AB51" s="82">
        <f t="shared" si="14"/>
        <v>0</v>
      </c>
      <c r="AC51" s="82">
        <f t="shared" si="14"/>
        <v>0</v>
      </c>
      <c r="AD51" s="172">
        <f>SUM(D51:AC51)</f>
        <v>744000</v>
      </c>
    </row>
    <row r="52" spans="2:30" x14ac:dyDescent="0.25">
      <c r="B52" s="51" t="s">
        <v>99</v>
      </c>
      <c r="C52" s="51"/>
      <c r="D52" s="82">
        <v>0</v>
      </c>
      <c r="E52" s="82">
        <f>E50*$C27</f>
        <v>465000</v>
      </c>
      <c r="F52" s="82">
        <f t="shared" ref="F52:AC52" si="15">F50*$C27</f>
        <v>1085000</v>
      </c>
      <c r="G52" s="82">
        <f t="shared" si="15"/>
        <v>1085000</v>
      </c>
      <c r="H52" s="82">
        <f t="shared" si="15"/>
        <v>310000</v>
      </c>
      <c r="I52" s="82">
        <f t="shared" si="15"/>
        <v>155000</v>
      </c>
      <c r="J52" s="82">
        <f t="shared" si="15"/>
        <v>0</v>
      </c>
      <c r="K52" s="82">
        <f t="shared" si="15"/>
        <v>0</v>
      </c>
      <c r="L52" s="82">
        <f t="shared" si="15"/>
        <v>0</v>
      </c>
      <c r="M52" s="82">
        <f t="shared" si="15"/>
        <v>0</v>
      </c>
      <c r="N52" s="82">
        <f t="shared" si="15"/>
        <v>0</v>
      </c>
      <c r="O52" s="82">
        <f t="shared" si="15"/>
        <v>0</v>
      </c>
      <c r="P52" s="82">
        <f t="shared" si="15"/>
        <v>0</v>
      </c>
      <c r="Q52" s="82">
        <f t="shared" si="15"/>
        <v>0</v>
      </c>
      <c r="R52" s="82">
        <f t="shared" si="15"/>
        <v>0</v>
      </c>
      <c r="S52" s="82">
        <f t="shared" si="15"/>
        <v>0</v>
      </c>
      <c r="T52" s="82">
        <f t="shared" si="15"/>
        <v>0</v>
      </c>
      <c r="U52" s="82">
        <f t="shared" si="15"/>
        <v>0</v>
      </c>
      <c r="V52" s="82">
        <f t="shared" si="15"/>
        <v>0</v>
      </c>
      <c r="W52" s="82">
        <f t="shared" si="15"/>
        <v>0</v>
      </c>
      <c r="X52" s="82">
        <f t="shared" si="15"/>
        <v>0</v>
      </c>
      <c r="Y52" s="82">
        <f t="shared" si="15"/>
        <v>0</v>
      </c>
      <c r="Z52" s="82">
        <f t="shared" si="15"/>
        <v>0</v>
      </c>
      <c r="AA52" s="82">
        <f t="shared" si="15"/>
        <v>0</v>
      </c>
      <c r="AB52" s="82">
        <f t="shared" si="15"/>
        <v>0</v>
      </c>
      <c r="AC52" s="82">
        <f t="shared" si="15"/>
        <v>0</v>
      </c>
      <c r="AD52" s="172">
        <f>SUM(D52:AC52)</f>
        <v>3100000</v>
      </c>
    </row>
    <row r="53" spans="2:30" x14ac:dyDescent="0.25">
      <c r="B53" s="51" t="s">
        <v>145</v>
      </c>
      <c r="C53" s="51"/>
      <c r="D53" s="82">
        <f>D51+D52</f>
        <v>0</v>
      </c>
      <c r="E53" s="82">
        <f t="shared" ref="E53:AC53" si="16">E51+E52</f>
        <v>576600</v>
      </c>
      <c r="F53" s="82">
        <f t="shared" si="16"/>
        <v>1345400</v>
      </c>
      <c r="G53" s="82">
        <f t="shared" si="16"/>
        <v>1345400</v>
      </c>
      <c r="H53" s="82">
        <f t="shared" si="16"/>
        <v>384400</v>
      </c>
      <c r="I53" s="82">
        <f t="shared" si="16"/>
        <v>192200</v>
      </c>
      <c r="J53" s="112">
        <f t="shared" si="16"/>
        <v>0</v>
      </c>
      <c r="K53" s="82">
        <f t="shared" si="16"/>
        <v>0</v>
      </c>
      <c r="L53" s="82">
        <f t="shared" si="16"/>
        <v>0</v>
      </c>
      <c r="M53" s="82">
        <f t="shared" si="16"/>
        <v>0</v>
      </c>
      <c r="N53" s="82">
        <f t="shared" si="16"/>
        <v>0</v>
      </c>
      <c r="O53" s="82">
        <f t="shared" si="16"/>
        <v>0</v>
      </c>
      <c r="P53" s="82">
        <f t="shared" si="16"/>
        <v>0</v>
      </c>
      <c r="Q53" s="82">
        <f t="shared" si="16"/>
        <v>0</v>
      </c>
      <c r="R53" s="82">
        <f t="shared" si="16"/>
        <v>0</v>
      </c>
      <c r="S53" s="82">
        <f t="shared" si="16"/>
        <v>0</v>
      </c>
      <c r="T53" s="82">
        <f t="shared" si="16"/>
        <v>0</v>
      </c>
      <c r="U53" s="82">
        <f t="shared" si="16"/>
        <v>0</v>
      </c>
      <c r="V53" s="82">
        <f t="shared" si="16"/>
        <v>0</v>
      </c>
      <c r="W53" s="82">
        <f t="shared" si="16"/>
        <v>0</v>
      </c>
      <c r="X53" s="82">
        <f t="shared" si="16"/>
        <v>0</v>
      </c>
      <c r="Y53" s="82">
        <f t="shared" si="16"/>
        <v>0</v>
      </c>
      <c r="Z53" s="82">
        <f t="shared" si="16"/>
        <v>0</v>
      </c>
      <c r="AA53" s="82">
        <f t="shared" si="16"/>
        <v>0</v>
      </c>
      <c r="AB53" s="82">
        <f t="shared" si="16"/>
        <v>0</v>
      </c>
      <c r="AC53" s="82">
        <f t="shared" si="16"/>
        <v>0</v>
      </c>
      <c r="AD53" s="172">
        <f>SUM(D53:AC53)</f>
        <v>3844000</v>
      </c>
    </row>
    <row r="54" spans="2:30" x14ac:dyDescent="0.25">
      <c r="B54" s="51" t="s">
        <v>98</v>
      </c>
      <c r="C54" s="51"/>
      <c r="D54" s="82">
        <f>D49+D50-D53</f>
        <v>0</v>
      </c>
      <c r="E54" s="82">
        <f>E49+E50-E53+E51</f>
        <v>0</v>
      </c>
      <c r="F54" s="82">
        <f t="shared" ref="F54:AC54" si="17">F49+F50-F53+F51</f>
        <v>0</v>
      </c>
      <c r="G54" s="82">
        <f t="shared" si="17"/>
        <v>0</v>
      </c>
      <c r="H54" s="82">
        <f t="shared" si="17"/>
        <v>0</v>
      </c>
      <c r="I54" s="82">
        <f t="shared" si="17"/>
        <v>0</v>
      </c>
      <c r="J54" s="112">
        <f t="shared" si="17"/>
        <v>0</v>
      </c>
      <c r="K54" s="82">
        <f t="shared" si="17"/>
        <v>0</v>
      </c>
      <c r="L54" s="82">
        <f t="shared" si="17"/>
        <v>0</v>
      </c>
      <c r="M54" s="82">
        <f t="shared" si="17"/>
        <v>0</v>
      </c>
      <c r="N54" s="82">
        <f t="shared" si="17"/>
        <v>0</v>
      </c>
      <c r="O54" s="82">
        <f t="shared" si="17"/>
        <v>0</v>
      </c>
      <c r="P54" s="82">
        <f t="shared" si="17"/>
        <v>0</v>
      </c>
      <c r="Q54" s="82">
        <f t="shared" si="17"/>
        <v>0</v>
      </c>
      <c r="R54" s="82">
        <f t="shared" si="17"/>
        <v>0</v>
      </c>
      <c r="S54" s="82">
        <f t="shared" si="17"/>
        <v>0</v>
      </c>
      <c r="T54" s="82">
        <f t="shared" si="17"/>
        <v>0</v>
      </c>
      <c r="U54" s="82">
        <f t="shared" si="17"/>
        <v>0</v>
      </c>
      <c r="V54" s="82">
        <f t="shared" si="17"/>
        <v>0</v>
      </c>
      <c r="W54" s="82">
        <f t="shared" si="17"/>
        <v>0</v>
      </c>
      <c r="X54" s="82">
        <f t="shared" si="17"/>
        <v>0</v>
      </c>
      <c r="Y54" s="82">
        <f t="shared" si="17"/>
        <v>0</v>
      </c>
      <c r="Z54" s="82">
        <f t="shared" si="17"/>
        <v>0</v>
      </c>
      <c r="AA54" s="82">
        <f t="shared" si="17"/>
        <v>0</v>
      </c>
      <c r="AB54" s="82">
        <f t="shared" si="17"/>
        <v>0</v>
      </c>
      <c r="AC54" s="82">
        <f t="shared" si="17"/>
        <v>0</v>
      </c>
      <c r="AD54" s="172"/>
    </row>
    <row r="55" spans="2:30" x14ac:dyDescent="0.25">
      <c r="C55" s="79"/>
      <c r="D55" s="80"/>
      <c r="E55" s="80"/>
      <c r="F55" s="80"/>
      <c r="G55" s="80"/>
      <c r="H55" s="80"/>
      <c r="I55" s="80"/>
      <c r="J55" s="80"/>
      <c r="K55" s="80"/>
      <c r="L55" s="80"/>
      <c r="M55" s="80"/>
      <c r="N55" s="80"/>
      <c r="O55" s="80"/>
      <c r="P55" s="80"/>
      <c r="Q55" s="80"/>
      <c r="R55" s="80"/>
      <c r="S55" s="80"/>
      <c r="T55" s="80"/>
      <c r="U55" s="80"/>
      <c r="V55" s="80"/>
      <c r="W55" s="80"/>
    </row>
    <row r="56" spans="2:30" hidden="1" x14ac:dyDescent="0.25">
      <c r="B56" s="47" t="s">
        <v>100</v>
      </c>
      <c r="C56" s="78"/>
      <c r="T56" s="80"/>
      <c r="U56" s="80"/>
      <c r="V56" s="80"/>
      <c r="W56" s="80"/>
    </row>
    <row r="57" spans="2:30" hidden="1" x14ac:dyDescent="0.25">
      <c r="B57" s="47"/>
      <c r="C57" s="78"/>
      <c r="T57" s="80"/>
      <c r="U57" s="80"/>
      <c r="V57" s="80"/>
      <c r="W57" s="80"/>
    </row>
    <row r="58" spans="2:30" hidden="1" x14ac:dyDescent="0.25">
      <c r="B58" s="108" t="s">
        <v>105</v>
      </c>
      <c r="C58" s="8" t="s">
        <v>22</v>
      </c>
      <c r="D58" s="16">
        <v>0</v>
      </c>
      <c r="E58" s="16">
        <v>1</v>
      </c>
      <c r="F58" s="16">
        <v>2</v>
      </c>
      <c r="G58" s="16">
        <v>3</v>
      </c>
      <c r="H58" s="16">
        <v>4</v>
      </c>
      <c r="I58" s="16">
        <v>5</v>
      </c>
      <c r="J58" s="16">
        <v>6</v>
      </c>
      <c r="K58" s="16">
        <v>7</v>
      </c>
      <c r="L58" s="16">
        <v>8</v>
      </c>
      <c r="M58" s="16">
        <v>9</v>
      </c>
      <c r="N58" s="16">
        <v>10</v>
      </c>
      <c r="O58" s="16">
        <v>11</v>
      </c>
      <c r="P58" s="16">
        <v>12</v>
      </c>
      <c r="Q58" s="16">
        <v>13</v>
      </c>
      <c r="R58" s="16">
        <v>14</v>
      </c>
      <c r="S58" s="16">
        <v>15</v>
      </c>
      <c r="T58" s="16">
        <v>16</v>
      </c>
      <c r="U58" s="16">
        <v>17</v>
      </c>
      <c r="V58" s="16">
        <v>18</v>
      </c>
      <c r="W58" s="16">
        <v>19</v>
      </c>
      <c r="X58" s="16">
        <v>20</v>
      </c>
      <c r="Y58" s="16">
        <v>21</v>
      </c>
      <c r="Z58" s="16">
        <v>22</v>
      </c>
      <c r="AA58" s="16">
        <v>23</v>
      </c>
      <c r="AB58" s="16">
        <v>24</v>
      </c>
      <c r="AC58" s="16"/>
    </row>
    <row r="59" spans="2:30" hidden="1" x14ac:dyDescent="0.25">
      <c r="B59" s="51" t="s">
        <v>95</v>
      </c>
      <c r="C59" s="51"/>
      <c r="D59" s="82"/>
      <c r="E59" s="82">
        <f>D64</f>
        <v>0</v>
      </c>
      <c r="F59" s="82">
        <f t="shared" ref="F59:AB59" si="18">E64</f>
        <v>-463450</v>
      </c>
      <c r="G59" s="82">
        <f t="shared" si="18"/>
        <v>-1546125</v>
      </c>
      <c r="H59" s="82">
        <f t="shared" si="18"/>
        <v>-2628025</v>
      </c>
      <c r="I59" s="82">
        <f t="shared" si="18"/>
        <v>-2937250</v>
      </c>
      <c r="J59" s="112">
        <f t="shared" si="18"/>
        <v>-3092250</v>
      </c>
      <c r="K59" s="82">
        <f t="shared" si="18"/>
        <v>-3092250</v>
      </c>
      <c r="L59" s="82">
        <f t="shared" si="18"/>
        <v>-3092250</v>
      </c>
      <c r="M59" s="82">
        <f t="shared" si="18"/>
        <v>-3092250</v>
      </c>
      <c r="N59" s="82">
        <f t="shared" si="18"/>
        <v>-3092250</v>
      </c>
      <c r="O59" s="82">
        <f t="shared" si="18"/>
        <v>-3092250</v>
      </c>
      <c r="P59" s="82">
        <f t="shared" si="18"/>
        <v>-3092250</v>
      </c>
      <c r="Q59" s="82">
        <f t="shared" si="18"/>
        <v>-3092250</v>
      </c>
      <c r="R59" s="82">
        <f t="shared" si="18"/>
        <v>-3092250</v>
      </c>
      <c r="S59" s="82">
        <f t="shared" si="18"/>
        <v>-3092250</v>
      </c>
      <c r="T59" s="82">
        <f t="shared" si="18"/>
        <v>-3092250</v>
      </c>
      <c r="U59" s="82">
        <f t="shared" si="18"/>
        <v>-3092250</v>
      </c>
      <c r="V59" s="82">
        <f t="shared" si="18"/>
        <v>-3092250</v>
      </c>
      <c r="W59" s="82">
        <f t="shared" si="18"/>
        <v>-3092250</v>
      </c>
      <c r="X59" s="82">
        <f t="shared" si="18"/>
        <v>-3092250</v>
      </c>
      <c r="Y59" s="82">
        <f t="shared" si="18"/>
        <v>-3092250</v>
      </c>
      <c r="Z59" s="82">
        <f t="shared" si="18"/>
        <v>-3092250</v>
      </c>
      <c r="AA59" s="82">
        <f t="shared" si="18"/>
        <v>-3092250</v>
      </c>
      <c r="AB59" s="82">
        <f t="shared" si="18"/>
        <v>-3092250</v>
      </c>
      <c r="AC59" s="80"/>
      <c r="AD59" s="98"/>
    </row>
    <row r="60" spans="2:30" hidden="1" x14ac:dyDescent="0.25">
      <c r="B60" s="74" t="s">
        <v>96</v>
      </c>
      <c r="C60" s="51"/>
      <c r="D60" s="81">
        <f t="shared" ref="D60:AB60" si="19">$C29*D6</f>
        <v>0</v>
      </c>
      <c r="E60" s="81">
        <f t="shared" si="19"/>
        <v>1550</v>
      </c>
      <c r="F60" s="81">
        <f t="shared" si="19"/>
        <v>2325</v>
      </c>
      <c r="G60" s="81">
        <f t="shared" si="19"/>
        <v>3100</v>
      </c>
      <c r="H60" s="81">
        <f t="shared" si="19"/>
        <v>775</v>
      </c>
      <c r="I60" s="81">
        <f t="shared" si="19"/>
        <v>0</v>
      </c>
      <c r="J60" s="81">
        <f t="shared" si="19"/>
        <v>0</v>
      </c>
      <c r="K60" s="81">
        <f t="shared" si="19"/>
        <v>0</v>
      </c>
      <c r="L60" s="81">
        <f t="shared" si="19"/>
        <v>0</v>
      </c>
      <c r="M60" s="81">
        <f t="shared" si="19"/>
        <v>0</v>
      </c>
      <c r="N60" s="81">
        <f t="shared" si="19"/>
        <v>0</v>
      </c>
      <c r="O60" s="81">
        <f t="shared" si="19"/>
        <v>0</v>
      </c>
      <c r="P60" s="81">
        <f t="shared" si="19"/>
        <v>0</v>
      </c>
      <c r="Q60" s="81">
        <f t="shared" si="19"/>
        <v>0</v>
      </c>
      <c r="R60" s="81">
        <f t="shared" si="19"/>
        <v>0</v>
      </c>
      <c r="S60" s="81">
        <f t="shared" si="19"/>
        <v>0</v>
      </c>
      <c r="T60" s="81">
        <f t="shared" si="19"/>
        <v>0</v>
      </c>
      <c r="U60" s="81">
        <f t="shared" si="19"/>
        <v>0</v>
      </c>
      <c r="V60" s="81">
        <f t="shared" si="19"/>
        <v>0</v>
      </c>
      <c r="W60" s="81">
        <f t="shared" si="19"/>
        <v>0</v>
      </c>
      <c r="X60" s="81">
        <f t="shared" si="19"/>
        <v>0</v>
      </c>
      <c r="Y60" s="81">
        <f t="shared" si="19"/>
        <v>0</v>
      </c>
      <c r="Z60" s="81">
        <f t="shared" si="19"/>
        <v>0</v>
      </c>
      <c r="AA60" s="81">
        <f t="shared" si="19"/>
        <v>0</v>
      </c>
      <c r="AB60" s="81">
        <f t="shared" si="19"/>
        <v>0</v>
      </c>
      <c r="AC60" s="83"/>
      <c r="AD60" s="98">
        <f>SUM(D60:AB60)</f>
        <v>7750</v>
      </c>
    </row>
    <row r="61" spans="2:30" hidden="1" x14ac:dyDescent="0.25">
      <c r="B61" s="51" t="s">
        <v>97</v>
      </c>
      <c r="C61" s="51"/>
      <c r="D61" s="82">
        <v>0</v>
      </c>
      <c r="E61" s="82">
        <f t="shared" ref="E61:AB61" si="20">E59*$C131</f>
        <v>0</v>
      </c>
      <c r="F61" s="82">
        <f t="shared" si="20"/>
        <v>-111228</v>
      </c>
      <c r="G61" s="82">
        <f t="shared" si="20"/>
        <v>-371070</v>
      </c>
      <c r="H61" s="82">
        <f t="shared" si="20"/>
        <v>-630726</v>
      </c>
      <c r="I61" s="82">
        <f t="shared" si="20"/>
        <v>-704940</v>
      </c>
      <c r="J61" s="82">
        <f t="shared" si="20"/>
        <v>-742140</v>
      </c>
      <c r="K61" s="82">
        <f t="shared" si="20"/>
        <v>-742140</v>
      </c>
      <c r="L61" s="82">
        <f t="shared" si="20"/>
        <v>-742140</v>
      </c>
      <c r="M61" s="82">
        <f t="shared" si="20"/>
        <v>-742140</v>
      </c>
      <c r="N61" s="82">
        <f t="shared" si="20"/>
        <v>-742140</v>
      </c>
      <c r="O61" s="82">
        <f t="shared" si="20"/>
        <v>-742140</v>
      </c>
      <c r="P61" s="82">
        <f t="shared" si="20"/>
        <v>-742140</v>
      </c>
      <c r="Q61" s="82">
        <f t="shared" si="20"/>
        <v>-742140</v>
      </c>
      <c r="R61" s="82">
        <f t="shared" si="20"/>
        <v>-742140</v>
      </c>
      <c r="S61" s="82">
        <f t="shared" si="20"/>
        <v>-742140</v>
      </c>
      <c r="T61" s="82">
        <f t="shared" si="20"/>
        <v>-742140</v>
      </c>
      <c r="U61" s="82">
        <f t="shared" si="20"/>
        <v>-742140</v>
      </c>
      <c r="V61" s="82">
        <f t="shared" si="20"/>
        <v>-742140</v>
      </c>
      <c r="W61" s="82">
        <f t="shared" si="20"/>
        <v>-742140</v>
      </c>
      <c r="X61" s="82">
        <f t="shared" si="20"/>
        <v>-742140</v>
      </c>
      <c r="Y61" s="82">
        <f t="shared" si="20"/>
        <v>-742140</v>
      </c>
      <c r="Z61" s="82">
        <f t="shared" si="20"/>
        <v>-742140</v>
      </c>
      <c r="AA61" s="82">
        <f t="shared" si="20"/>
        <v>-742140</v>
      </c>
      <c r="AB61" s="82">
        <f t="shared" si="20"/>
        <v>-742140</v>
      </c>
      <c r="AC61" s="80"/>
      <c r="AD61" s="98">
        <f>SUM(D61:AB61)</f>
        <v>-15918624</v>
      </c>
    </row>
    <row r="62" spans="2:30" hidden="1" x14ac:dyDescent="0.25">
      <c r="B62" s="51" t="s">
        <v>99</v>
      </c>
      <c r="C62" s="51"/>
      <c r="D62" s="82">
        <f>D52</f>
        <v>0</v>
      </c>
      <c r="E62" s="82">
        <f t="shared" ref="E62:AB62" si="21">E52</f>
        <v>465000</v>
      </c>
      <c r="F62" s="82">
        <f t="shared" si="21"/>
        <v>1085000</v>
      </c>
      <c r="G62" s="82">
        <f t="shared" si="21"/>
        <v>1085000</v>
      </c>
      <c r="H62" s="82">
        <f t="shared" si="21"/>
        <v>310000</v>
      </c>
      <c r="I62" s="82">
        <f t="shared" si="21"/>
        <v>155000</v>
      </c>
      <c r="J62" s="82">
        <f t="shared" si="21"/>
        <v>0</v>
      </c>
      <c r="K62" s="82">
        <f t="shared" si="21"/>
        <v>0</v>
      </c>
      <c r="L62" s="82">
        <f t="shared" si="21"/>
        <v>0</v>
      </c>
      <c r="M62" s="82">
        <f t="shared" si="21"/>
        <v>0</v>
      </c>
      <c r="N62" s="82">
        <f t="shared" si="21"/>
        <v>0</v>
      </c>
      <c r="O62" s="82">
        <f t="shared" si="21"/>
        <v>0</v>
      </c>
      <c r="P62" s="82">
        <f t="shared" si="21"/>
        <v>0</v>
      </c>
      <c r="Q62" s="82">
        <f t="shared" si="21"/>
        <v>0</v>
      </c>
      <c r="R62" s="82">
        <f t="shared" si="21"/>
        <v>0</v>
      </c>
      <c r="S62" s="82">
        <f t="shared" si="21"/>
        <v>0</v>
      </c>
      <c r="T62" s="82">
        <f t="shared" si="21"/>
        <v>0</v>
      </c>
      <c r="U62" s="82">
        <f t="shared" si="21"/>
        <v>0</v>
      </c>
      <c r="V62" s="82">
        <f t="shared" si="21"/>
        <v>0</v>
      </c>
      <c r="W62" s="82">
        <f t="shared" si="21"/>
        <v>0</v>
      </c>
      <c r="X62" s="82">
        <f t="shared" si="21"/>
        <v>0</v>
      </c>
      <c r="Y62" s="82">
        <f t="shared" si="21"/>
        <v>0</v>
      </c>
      <c r="Z62" s="82">
        <f t="shared" si="21"/>
        <v>0</v>
      </c>
      <c r="AA62" s="82">
        <f t="shared" si="21"/>
        <v>0</v>
      </c>
      <c r="AB62" s="82">
        <f t="shared" si="21"/>
        <v>0</v>
      </c>
      <c r="AC62" s="80"/>
      <c r="AD62" s="98">
        <f>SUM(D62:AB62)</f>
        <v>3100000</v>
      </c>
    </row>
    <row r="63" spans="2:30" hidden="1" x14ac:dyDescent="0.25">
      <c r="B63" s="51" t="s">
        <v>145</v>
      </c>
      <c r="C63" s="51"/>
      <c r="D63" s="82">
        <f>D61+D62</f>
        <v>0</v>
      </c>
      <c r="E63" s="82">
        <f t="shared" ref="E63:AB63" si="22">E61+E62</f>
        <v>465000</v>
      </c>
      <c r="F63" s="82">
        <f t="shared" si="22"/>
        <v>973772</v>
      </c>
      <c r="G63" s="82">
        <f t="shared" si="22"/>
        <v>713930</v>
      </c>
      <c r="H63" s="82">
        <f t="shared" si="22"/>
        <v>-320726</v>
      </c>
      <c r="I63" s="82">
        <f t="shared" si="22"/>
        <v>-549940</v>
      </c>
      <c r="J63" s="112">
        <f t="shared" si="22"/>
        <v>-742140</v>
      </c>
      <c r="K63" s="82">
        <f t="shared" si="22"/>
        <v>-742140</v>
      </c>
      <c r="L63" s="82">
        <f t="shared" si="22"/>
        <v>-742140</v>
      </c>
      <c r="M63" s="82">
        <f t="shared" si="22"/>
        <v>-742140</v>
      </c>
      <c r="N63" s="82">
        <f t="shared" si="22"/>
        <v>-742140</v>
      </c>
      <c r="O63" s="82">
        <f t="shared" si="22"/>
        <v>-742140</v>
      </c>
      <c r="P63" s="82">
        <f t="shared" si="22"/>
        <v>-742140</v>
      </c>
      <c r="Q63" s="82">
        <f t="shared" si="22"/>
        <v>-742140</v>
      </c>
      <c r="R63" s="82">
        <f t="shared" si="22"/>
        <v>-742140</v>
      </c>
      <c r="S63" s="82">
        <f t="shared" si="22"/>
        <v>-742140</v>
      </c>
      <c r="T63" s="82">
        <f t="shared" si="22"/>
        <v>-742140</v>
      </c>
      <c r="U63" s="82">
        <f t="shared" si="22"/>
        <v>-742140</v>
      </c>
      <c r="V63" s="82">
        <f t="shared" si="22"/>
        <v>-742140</v>
      </c>
      <c r="W63" s="82">
        <f t="shared" si="22"/>
        <v>-742140</v>
      </c>
      <c r="X63" s="82">
        <f t="shared" si="22"/>
        <v>-742140</v>
      </c>
      <c r="Y63" s="82">
        <f t="shared" si="22"/>
        <v>-742140</v>
      </c>
      <c r="Z63" s="82">
        <f t="shared" si="22"/>
        <v>-742140</v>
      </c>
      <c r="AA63" s="82">
        <f t="shared" si="22"/>
        <v>-742140</v>
      </c>
      <c r="AB63" s="82">
        <f t="shared" si="22"/>
        <v>-742140</v>
      </c>
      <c r="AC63" s="80"/>
      <c r="AD63" s="98">
        <f>SUM(D63:AB63)</f>
        <v>-12818624</v>
      </c>
    </row>
    <row r="64" spans="2:30" hidden="1" x14ac:dyDescent="0.25">
      <c r="B64" s="51" t="s">
        <v>98</v>
      </c>
      <c r="C64" s="51"/>
      <c r="D64" s="82">
        <f>D59+D60-D63</f>
        <v>0</v>
      </c>
      <c r="E64" s="82">
        <f>E59+E60-E63+E61</f>
        <v>-463450</v>
      </c>
      <c r="F64" s="82">
        <f t="shared" ref="F64:AB64" si="23">F59+F60-F63+F61</f>
        <v>-1546125</v>
      </c>
      <c r="G64" s="82">
        <f t="shared" si="23"/>
        <v>-2628025</v>
      </c>
      <c r="H64" s="82">
        <f t="shared" si="23"/>
        <v>-2937250</v>
      </c>
      <c r="I64" s="82">
        <f t="shared" si="23"/>
        <v>-3092250</v>
      </c>
      <c r="J64" s="112">
        <f t="shared" si="23"/>
        <v>-3092250</v>
      </c>
      <c r="K64" s="82">
        <f t="shared" si="23"/>
        <v>-3092250</v>
      </c>
      <c r="L64" s="82">
        <f t="shared" si="23"/>
        <v>-3092250</v>
      </c>
      <c r="M64" s="82">
        <f t="shared" si="23"/>
        <v>-3092250</v>
      </c>
      <c r="N64" s="82">
        <f t="shared" si="23"/>
        <v>-3092250</v>
      </c>
      <c r="O64" s="82">
        <f t="shared" si="23"/>
        <v>-3092250</v>
      </c>
      <c r="P64" s="82">
        <f t="shared" si="23"/>
        <v>-3092250</v>
      </c>
      <c r="Q64" s="82">
        <f t="shared" si="23"/>
        <v>-3092250</v>
      </c>
      <c r="R64" s="82">
        <f t="shared" si="23"/>
        <v>-3092250</v>
      </c>
      <c r="S64" s="82">
        <f t="shared" si="23"/>
        <v>-3092250</v>
      </c>
      <c r="T64" s="82">
        <f t="shared" si="23"/>
        <v>-3092250</v>
      </c>
      <c r="U64" s="82">
        <f t="shared" si="23"/>
        <v>-3092250</v>
      </c>
      <c r="V64" s="82">
        <f t="shared" si="23"/>
        <v>-3092250</v>
      </c>
      <c r="W64" s="82">
        <f t="shared" si="23"/>
        <v>-3092250</v>
      </c>
      <c r="X64" s="82">
        <f t="shared" si="23"/>
        <v>-3092250</v>
      </c>
      <c r="Y64" s="82">
        <f t="shared" si="23"/>
        <v>-3092250</v>
      </c>
      <c r="Z64" s="82">
        <f t="shared" si="23"/>
        <v>-3092250</v>
      </c>
      <c r="AA64" s="82">
        <f t="shared" si="23"/>
        <v>-3092250</v>
      </c>
      <c r="AB64" s="82">
        <f t="shared" si="23"/>
        <v>-3092250</v>
      </c>
      <c r="AC64" s="80"/>
      <c r="AD64" s="98"/>
    </row>
    <row r="65" spans="1:30" hidden="1" x14ac:dyDescent="0.25">
      <c r="B65" s="108"/>
      <c r="C65" s="8"/>
      <c r="D65" s="16"/>
      <c r="E65" s="16"/>
      <c r="F65" s="16"/>
      <c r="G65" s="16"/>
      <c r="H65" s="16"/>
      <c r="I65" s="16"/>
      <c r="J65" s="16"/>
      <c r="K65" s="16"/>
      <c r="L65" s="16"/>
      <c r="M65" s="16"/>
      <c r="N65" s="16"/>
      <c r="O65" s="16"/>
      <c r="P65" s="16"/>
      <c r="Q65" s="16"/>
      <c r="R65" s="16"/>
      <c r="S65" s="16"/>
      <c r="T65" s="16"/>
      <c r="U65" s="16"/>
      <c r="V65" s="16"/>
      <c r="W65" s="16"/>
      <c r="X65" s="16"/>
      <c r="Y65" s="16"/>
      <c r="Z65" s="16"/>
      <c r="AA65" s="16"/>
      <c r="AB65" s="16"/>
      <c r="AC65" s="16"/>
    </row>
    <row r="66" spans="1:30" hidden="1" x14ac:dyDescent="0.25">
      <c r="B66" s="47" t="s">
        <v>101</v>
      </c>
      <c r="C66" s="78"/>
      <c r="T66" s="80"/>
      <c r="U66" s="80"/>
      <c r="V66" s="80"/>
      <c r="W66" s="80"/>
    </row>
    <row r="67" spans="1:30" hidden="1" x14ac:dyDescent="0.25">
      <c r="B67" s="108" t="s">
        <v>105</v>
      </c>
      <c r="C67" s="78"/>
      <c r="T67" s="80"/>
      <c r="U67" s="80"/>
      <c r="V67" s="80"/>
      <c r="W67" s="80"/>
    </row>
    <row r="68" spans="1:30" hidden="1" x14ac:dyDescent="0.25">
      <c r="B68" s="51" t="s">
        <v>95</v>
      </c>
      <c r="C68" s="51"/>
      <c r="D68" s="82"/>
      <c r="E68" s="82">
        <f>D73</f>
        <v>0</v>
      </c>
      <c r="F68" s="82">
        <f t="shared" ref="F68:AB68" si="24">E73</f>
        <v>-463450</v>
      </c>
      <c r="G68" s="82">
        <f t="shared" si="24"/>
        <v>-1546125</v>
      </c>
      <c r="H68" s="82">
        <f t="shared" si="24"/>
        <v>-2628025</v>
      </c>
      <c r="I68" s="82">
        <f t="shared" si="24"/>
        <v>-2937250</v>
      </c>
      <c r="J68" s="112">
        <f t="shared" si="24"/>
        <v>-3092250</v>
      </c>
      <c r="K68" s="82">
        <f t="shared" si="24"/>
        <v>-3092250</v>
      </c>
      <c r="L68" s="82">
        <f t="shared" si="24"/>
        <v>-3092250</v>
      </c>
      <c r="M68" s="82">
        <f t="shared" si="24"/>
        <v>-3092250</v>
      </c>
      <c r="N68" s="82">
        <f t="shared" si="24"/>
        <v>-3092250</v>
      </c>
      <c r="O68" s="82">
        <f t="shared" si="24"/>
        <v>-3092250</v>
      </c>
      <c r="P68" s="82">
        <f t="shared" si="24"/>
        <v>-3092250</v>
      </c>
      <c r="Q68" s="82">
        <f t="shared" si="24"/>
        <v>-3092250</v>
      </c>
      <c r="R68" s="82">
        <f t="shared" si="24"/>
        <v>-3092250</v>
      </c>
      <c r="S68" s="82">
        <f t="shared" si="24"/>
        <v>-3092250</v>
      </c>
      <c r="T68" s="82">
        <f t="shared" si="24"/>
        <v>-3092250</v>
      </c>
      <c r="U68" s="82">
        <f t="shared" si="24"/>
        <v>-3092250</v>
      </c>
      <c r="V68" s="82">
        <f t="shared" si="24"/>
        <v>-3092250</v>
      </c>
      <c r="W68" s="82">
        <f t="shared" si="24"/>
        <v>-3092250</v>
      </c>
      <c r="X68" s="82">
        <f t="shared" si="24"/>
        <v>-3092250</v>
      </c>
      <c r="Y68" s="82">
        <f t="shared" si="24"/>
        <v>-3092250</v>
      </c>
      <c r="Z68" s="82">
        <f t="shared" si="24"/>
        <v>-3092250</v>
      </c>
      <c r="AA68" s="82">
        <f t="shared" si="24"/>
        <v>-3092250</v>
      </c>
      <c r="AB68" s="82">
        <f t="shared" si="24"/>
        <v>-3092250</v>
      </c>
      <c r="AC68" s="80"/>
      <c r="AD68" s="98"/>
    </row>
    <row r="69" spans="1:30" hidden="1" x14ac:dyDescent="0.25">
      <c r="B69" s="74" t="s">
        <v>96</v>
      </c>
      <c r="C69" s="51"/>
      <c r="D69" s="81">
        <f>$C60*D47</f>
        <v>0</v>
      </c>
      <c r="E69" s="81">
        <f t="shared" ref="E69:AB69" si="25">$C29*E6</f>
        <v>1550</v>
      </c>
      <c r="F69" s="81">
        <f t="shared" si="25"/>
        <v>2325</v>
      </c>
      <c r="G69" s="81">
        <f t="shared" si="25"/>
        <v>3100</v>
      </c>
      <c r="H69" s="81">
        <f t="shared" si="25"/>
        <v>775</v>
      </c>
      <c r="I69" s="81">
        <f t="shared" si="25"/>
        <v>0</v>
      </c>
      <c r="J69" s="81">
        <f t="shared" si="25"/>
        <v>0</v>
      </c>
      <c r="K69" s="81">
        <f t="shared" si="25"/>
        <v>0</v>
      </c>
      <c r="L69" s="81">
        <f t="shared" si="25"/>
        <v>0</v>
      </c>
      <c r="M69" s="81">
        <f t="shared" si="25"/>
        <v>0</v>
      </c>
      <c r="N69" s="81">
        <f t="shared" si="25"/>
        <v>0</v>
      </c>
      <c r="O69" s="81">
        <f t="shared" si="25"/>
        <v>0</v>
      </c>
      <c r="P69" s="81">
        <f t="shared" si="25"/>
        <v>0</v>
      </c>
      <c r="Q69" s="81">
        <f t="shared" si="25"/>
        <v>0</v>
      </c>
      <c r="R69" s="81">
        <f t="shared" si="25"/>
        <v>0</v>
      </c>
      <c r="S69" s="81">
        <f t="shared" si="25"/>
        <v>0</v>
      </c>
      <c r="T69" s="81">
        <f t="shared" si="25"/>
        <v>0</v>
      </c>
      <c r="U69" s="81">
        <f t="shared" si="25"/>
        <v>0</v>
      </c>
      <c r="V69" s="81">
        <f t="shared" si="25"/>
        <v>0</v>
      </c>
      <c r="W69" s="81">
        <f t="shared" si="25"/>
        <v>0</v>
      </c>
      <c r="X69" s="81">
        <f t="shared" si="25"/>
        <v>0</v>
      </c>
      <c r="Y69" s="81">
        <f t="shared" si="25"/>
        <v>0</v>
      </c>
      <c r="Z69" s="81">
        <f t="shared" si="25"/>
        <v>0</v>
      </c>
      <c r="AA69" s="81">
        <f t="shared" si="25"/>
        <v>0</v>
      </c>
      <c r="AB69" s="81">
        <f t="shared" si="25"/>
        <v>0</v>
      </c>
      <c r="AC69" s="83"/>
      <c r="AD69" s="98">
        <f>SUM(D69:AB69)</f>
        <v>7750</v>
      </c>
    </row>
    <row r="70" spans="1:30" hidden="1" x14ac:dyDescent="0.25">
      <c r="B70" s="51" t="s">
        <v>97</v>
      </c>
      <c r="C70" s="51"/>
      <c r="D70" s="82">
        <v>0</v>
      </c>
      <c r="E70" s="82">
        <f t="shared" ref="E70:AB70" si="26">E68*$C131</f>
        <v>0</v>
      </c>
      <c r="F70" s="82">
        <f t="shared" si="26"/>
        <v>-111228</v>
      </c>
      <c r="G70" s="82">
        <f t="shared" si="26"/>
        <v>-371070</v>
      </c>
      <c r="H70" s="82">
        <f t="shared" si="26"/>
        <v>-630726</v>
      </c>
      <c r="I70" s="82">
        <f t="shared" si="26"/>
        <v>-704940</v>
      </c>
      <c r="J70" s="82">
        <f t="shared" si="26"/>
        <v>-742140</v>
      </c>
      <c r="K70" s="82">
        <f t="shared" si="26"/>
        <v>-742140</v>
      </c>
      <c r="L70" s="82">
        <f t="shared" si="26"/>
        <v>-742140</v>
      </c>
      <c r="M70" s="82">
        <f t="shared" si="26"/>
        <v>-742140</v>
      </c>
      <c r="N70" s="82">
        <f t="shared" si="26"/>
        <v>-742140</v>
      </c>
      <c r="O70" s="82">
        <f t="shared" si="26"/>
        <v>-742140</v>
      </c>
      <c r="P70" s="82">
        <f t="shared" si="26"/>
        <v>-742140</v>
      </c>
      <c r="Q70" s="82">
        <f t="shared" si="26"/>
        <v>-742140</v>
      </c>
      <c r="R70" s="82">
        <f t="shared" si="26"/>
        <v>-742140</v>
      </c>
      <c r="S70" s="82">
        <f t="shared" si="26"/>
        <v>-742140</v>
      </c>
      <c r="T70" s="82">
        <f t="shared" si="26"/>
        <v>-742140</v>
      </c>
      <c r="U70" s="82">
        <f t="shared" si="26"/>
        <v>-742140</v>
      </c>
      <c r="V70" s="82">
        <f t="shared" si="26"/>
        <v>-742140</v>
      </c>
      <c r="W70" s="82">
        <f t="shared" si="26"/>
        <v>-742140</v>
      </c>
      <c r="X70" s="82">
        <f t="shared" si="26"/>
        <v>-742140</v>
      </c>
      <c r="Y70" s="82">
        <f t="shared" si="26"/>
        <v>-742140</v>
      </c>
      <c r="Z70" s="82">
        <f t="shared" si="26"/>
        <v>-742140</v>
      </c>
      <c r="AA70" s="82">
        <f t="shared" si="26"/>
        <v>-742140</v>
      </c>
      <c r="AB70" s="82">
        <f t="shared" si="26"/>
        <v>-742140</v>
      </c>
      <c r="AC70" s="80"/>
      <c r="AD70" s="98">
        <f>SUM(D70:AB70)</f>
        <v>-15918624</v>
      </c>
    </row>
    <row r="71" spans="1:30" hidden="1" x14ac:dyDescent="0.25">
      <c r="B71" s="51" t="s">
        <v>99</v>
      </c>
      <c r="C71" s="51"/>
      <c r="D71" s="82">
        <v>0</v>
      </c>
      <c r="E71" s="82">
        <f>E62</f>
        <v>465000</v>
      </c>
      <c r="F71" s="82">
        <f t="shared" ref="F71:AB71" si="27">F62</f>
        <v>1085000</v>
      </c>
      <c r="G71" s="82">
        <f t="shared" si="27"/>
        <v>1085000</v>
      </c>
      <c r="H71" s="82">
        <f t="shared" si="27"/>
        <v>310000</v>
      </c>
      <c r="I71" s="82">
        <f t="shared" si="27"/>
        <v>155000</v>
      </c>
      <c r="J71" s="82">
        <f t="shared" si="27"/>
        <v>0</v>
      </c>
      <c r="K71" s="82">
        <f t="shared" si="27"/>
        <v>0</v>
      </c>
      <c r="L71" s="82">
        <f t="shared" si="27"/>
        <v>0</v>
      </c>
      <c r="M71" s="82">
        <f t="shared" si="27"/>
        <v>0</v>
      </c>
      <c r="N71" s="82">
        <f t="shared" si="27"/>
        <v>0</v>
      </c>
      <c r="O71" s="82">
        <f t="shared" si="27"/>
        <v>0</v>
      </c>
      <c r="P71" s="82">
        <f t="shared" si="27"/>
        <v>0</v>
      </c>
      <c r="Q71" s="82">
        <f t="shared" si="27"/>
        <v>0</v>
      </c>
      <c r="R71" s="82">
        <f t="shared" si="27"/>
        <v>0</v>
      </c>
      <c r="S71" s="82">
        <f t="shared" si="27"/>
        <v>0</v>
      </c>
      <c r="T71" s="82">
        <f t="shared" si="27"/>
        <v>0</v>
      </c>
      <c r="U71" s="82">
        <f t="shared" si="27"/>
        <v>0</v>
      </c>
      <c r="V71" s="82">
        <f t="shared" si="27"/>
        <v>0</v>
      </c>
      <c r="W71" s="82">
        <f t="shared" si="27"/>
        <v>0</v>
      </c>
      <c r="X71" s="82">
        <f t="shared" si="27"/>
        <v>0</v>
      </c>
      <c r="Y71" s="82">
        <f t="shared" si="27"/>
        <v>0</v>
      </c>
      <c r="Z71" s="82">
        <f t="shared" si="27"/>
        <v>0</v>
      </c>
      <c r="AA71" s="82">
        <f t="shared" si="27"/>
        <v>0</v>
      </c>
      <c r="AB71" s="82">
        <f t="shared" si="27"/>
        <v>0</v>
      </c>
      <c r="AC71" s="80"/>
      <c r="AD71" s="98">
        <f>SUM(D71:AB71)</f>
        <v>3100000</v>
      </c>
    </row>
    <row r="72" spans="1:30" hidden="1" x14ac:dyDescent="0.25">
      <c r="B72" s="51" t="s">
        <v>145</v>
      </c>
      <c r="C72" s="51"/>
      <c r="D72" s="82">
        <f>D70+D71</f>
        <v>0</v>
      </c>
      <c r="E72" s="82">
        <f t="shared" ref="E72:AB72" si="28">E70+E71</f>
        <v>465000</v>
      </c>
      <c r="F72" s="82">
        <f t="shared" si="28"/>
        <v>973772</v>
      </c>
      <c r="G72" s="82">
        <f t="shared" si="28"/>
        <v>713930</v>
      </c>
      <c r="H72" s="82">
        <f t="shared" si="28"/>
        <v>-320726</v>
      </c>
      <c r="I72" s="82">
        <f t="shared" si="28"/>
        <v>-549940</v>
      </c>
      <c r="J72" s="112">
        <f t="shared" si="28"/>
        <v>-742140</v>
      </c>
      <c r="K72" s="82">
        <f t="shared" si="28"/>
        <v>-742140</v>
      </c>
      <c r="L72" s="82">
        <f t="shared" si="28"/>
        <v>-742140</v>
      </c>
      <c r="M72" s="82">
        <f t="shared" si="28"/>
        <v>-742140</v>
      </c>
      <c r="N72" s="82">
        <f t="shared" si="28"/>
        <v>-742140</v>
      </c>
      <c r="O72" s="82">
        <f t="shared" si="28"/>
        <v>-742140</v>
      </c>
      <c r="P72" s="82">
        <f t="shared" si="28"/>
        <v>-742140</v>
      </c>
      <c r="Q72" s="82">
        <f t="shared" si="28"/>
        <v>-742140</v>
      </c>
      <c r="R72" s="82">
        <f t="shared" si="28"/>
        <v>-742140</v>
      </c>
      <c r="S72" s="82">
        <f t="shared" si="28"/>
        <v>-742140</v>
      </c>
      <c r="T72" s="82">
        <f t="shared" si="28"/>
        <v>-742140</v>
      </c>
      <c r="U72" s="82">
        <f t="shared" si="28"/>
        <v>-742140</v>
      </c>
      <c r="V72" s="82">
        <f t="shared" si="28"/>
        <v>-742140</v>
      </c>
      <c r="W72" s="82">
        <f t="shared" si="28"/>
        <v>-742140</v>
      </c>
      <c r="X72" s="82">
        <f t="shared" si="28"/>
        <v>-742140</v>
      </c>
      <c r="Y72" s="82">
        <f t="shared" si="28"/>
        <v>-742140</v>
      </c>
      <c r="Z72" s="82">
        <f t="shared" si="28"/>
        <v>-742140</v>
      </c>
      <c r="AA72" s="82">
        <f t="shared" si="28"/>
        <v>-742140</v>
      </c>
      <c r="AB72" s="82">
        <f t="shared" si="28"/>
        <v>-742140</v>
      </c>
      <c r="AC72" s="80"/>
      <c r="AD72" s="98">
        <f>SUM(D72:AB72)</f>
        <v>-12818624</v>
      </c>
    </row>
    <row r="73" spans="1:30" hidden="1" x14ac:dyDescent="0.25">
      <c r="B73" s="51" t="s">
        <v>98</v>
      </c>
      <c r="C73" s="51"/>
      <c r="D73" s="82">
        <f>D68+D69-D72</f>
        <v>0</v>
      </c>
      <c r="E73" s="82">
        <f>E68+E69-E72+E70</f>
        <v>-463450</v>
      </c>
      <c r="F73" s="82">
        <f t="shared" ref="F73:AB73" si="29">F68+F69-F72+F70</f>
        <v>-1546125</v>
      </c>
      <c r="G73" s="82">
        <f t="shared" si="29"/>
        <v>-2628025</v>
      </c>
      <c r="H73" s="82">
        <f t="shared" si="29"/>
        <v>-2937250</v>
      </c>
      <c r="I73" s="82">
        <f t="shared" si="29"/>
        <v>-3092250</v>
      </c>
      <c r="J73" s="112">
        <f t="shared" si="29"/>
        <v>-3092250</v>
      </c>
      <c r="K73" s="82">
        <f t="shared" si="29"/>
        <v>-3092250</v>
      </c>
      <c r="L73" s="82">
        <f t="shared" si="29"/>
        <v>-3092250</v>
      </c>
      <c r="M73" s="82">
        <f t="shared" si="29"/>
        <v>-3092250</v>
      </c>
      <c r="N73" s="82">
        <f t="shared" si="29"/>
        <v>-3092250</v>
      </c>
      <c r="O73" s="82">
        <f t="shared" si="29"/>
        <v>-3092250</v>
      </c>
      <c r="P73" s="82">
        <f t="shared" si="29"/>
        <v>-3092250</v>
      </c>
      <c r="Q73" s="82">
        <f t="shared" si="29"/>
        <v>-3092250</v>
      </c>
      <c r="R73" s="82">
        <f t="shared" si="29"/>
        <v>-3092250</v>
      </c>
      <c r="S73" s="82">
        <f t="shared" si="29"/>
        <v>-3092250</v>
      </c>
      <c r="T73" s="82">
        <f t="shared" si="29"/>
        <v>-3092250</v>
      </c>
      <c r="U73" s="82">
        <f t="shared" si="29"/>
        <v>-3092250</v>
      </c>
      <c r="V73" s="82">
        <f t="shared" si="29"/>
        <v>-3092250</v>
      </c>
      <c r="W73" s="82">
        <f t="shared" si="29"/>
        <v>-3092250</v>
      </c>
      <c r="X73" s="82">
        <f t="shared" si="29"/>
        <v>-3092250</v>
      </c>
      <c r="Y73" s="82">
        <f t="shared" si="29"/>
        <v>-3092250</v>
      </c>
      <c r="Z73" s="82">
        <f t="shared" si="29"/>
        <v>-3092250</v>
      </c>
      <c r="AA73" s="82">
        <f t="shared" si="29"/>
        <v>-3092250</v>
      </c>
      <c r="AB73" s="82">
        <f t="shared" si="29"/>
        <v>-3092250</v>
      </c>
      <c r="AC73" s="80"/>
      <c r="AD73" s="98"/>
    </row>
    <row r="74" spans="1:30" x14ac:dyDescent="0.25">
      <c r="B74" s="47"/>
      <c r="C74" s="78"/>
      <c r="T74" s="80"/>
      <c r="U74" s="80"/>
      <c r="V74" s="80"/>
      <c r="W74" s="80"/>
    </row>
    <row r="75" spans="1:30" x14ac:dyDescent="0.25">
      <c r="D75" s="80"/>
      <c r="E75" s="80"/>
      <c r="F75" s="80"/>
      <c r="G75" s="80"/>
      <c r="H75" s="80"/>
      <c r="I75" s="80"/>
      <c r="J75" s="80"/>
      <c r="K75" s="80"/>
      <c r="L75" s="80"/>
      <c r="M75" s="80"/>
      <c r="N75" s="80"/>
      <c r="O75" s="80"/>
      <c r="P75" s="80"/>
      <c r="Q75" s="80"/>
      <c r="R75" s="80"/>
      <c r="S75" s="80"/>
      <c r="T75" s="80"/>
      <c r="U75" s="80"/>
      <c r="V75" s="80"/>
      <c r="W75" s="80"/>
    </row>
    <row r="76" spans="1:30" x14ac:dyDescent="0.25">
      <c r="A76" s="70">
        <v>4</v>
      </c>
      <c r="B76" s="47" t="s">
        <v>142</v>
      </c>
      <c r="C76" s="151">
        <f>Assumption_Hatchery!C76</f>
        <v>0.09</v>
      </c>
      <c r="D76" s="80"/>
      <c r="E76" s="80"/>
      <c r="F76" s="80"/>
      <c r="G76" s="80"/>
      <c r="H76" s="80"/>
      <c r="I76" s="80"/>
      <c r="J76" s="80"/>
      <c r="K76" s="80"/>
      <c r="L76" s="80"/>
      <c r="M76" s="80"/>
      <c r="N76" s="80"/>
      <c r="O76" s="80"/>
      <c r="P76" s="80"/>
      <c r="Q76" s="80"/>
      <c r="R76" s="80"/>
      <c r="S76" s="80"/>
      <c r="T76" s="80"/>
      <c r="U76" s="80"/>
      <c r="V76" s="80"/>
      <c r="W76" s="80"/>
    </row>
    <row r="77" spans="1:30" x14ac:dyDescent="0.25">
      <c r="A77" s="100"/>
      <c r="C77" s="78"/>
      <c r="D77" s="80"/>
      <c r="E77" s="80"/>
      <c r="F77" s="80"/>
      <c r="G77" s="80"/>
      <c r="H77" s="80"/>
      <c r="I77" s="80"/>
      <c r="J77" s="80"/>
      <c r="K77" s="80"/>
      <c r="L77" s="80"/>
      <c r="M77" s="80"/>
      <c r="N77" s="80"/>
      <c r="O77" s="80"/>
      <c r="P77" s="80"/>
      <c r="Q77" s="80"/>
      <c r="R77" s="80"/>
      <c r="S77" s="80"/>
      <c r="T77" s="80"/>
      <c r="U77" s="80"/>
      <c r="V77" s="80"/>
      <c r="W77" s="80"/>
    </row>
    <row r="78" spans="1:30" x14ac:dyDescent="0.25">
      <c r="A78" s="70">
        <v>5</v>
      </c>
      <c r="B78" s="47" t="s">
        <v>148</v>
      </c>
      <c r="C78" s="78"/>
      <c r="D78" s="80"/>
      <c r="E78" s="80"/>
      <c r="F78" s="80"/>
      <c r="G78" s="80"/>
      <c r="H78" s="80"/>
      <c r="I78" s="80"/>
      <c r="J78" s="80"/>
      <c r="K78" s="80"/>
      <c r="L78" s="80"/>
      <c r="M78" s="80"/>
      <c r="N78" s="80"/>
      <c r="O78" s="80"/>
      <c r="P78" s="80"/>
      <c r="Q78" s="80"/>
      <c r="R78" s="80"/>
      <c r="S78" s="80"/>
      <c r="T78" s="80"/>
      <c r="U78" s="80"/>
      <c r="V78" s="80"/>
      <c r="W78" s="80"/>
    </row>
    <row r="79" spans="1:30" ht="48" customHeight="1" x14ac:dyDescent="0.25">
      <c r="B79" t="s">
        <v>149</v>
      </c>
      <c r="C79" s="274" t="s">
        <v>153</v>
      </c>
      <c r="D79" s="274"/>
      <c r="E79" s="274"/>
      <c r="F79" s="274"/>
      <c r="G79" s="80"/>
      <c r="H79" s="80"/>
      <c r="I79" s="80"/>
      <c r="J79" s="80"/>
      <c r="K79" s="80"/>
      <c r="L79" s="80"/>
      <c r="M79" s="80"/>
      <c r="N79" s="80"/>
      <c r="O79" s="80"/>
      <c r="P79" s="80"/>
      <c r="Q79" s="80"/>
      <c r="R79" s="80"/>
      <c r="S79" s="80"/>
      <c r="T79" s="80"/>
      <c r="U79" s="80"/>
      <c r="V79" s="80"/>
      <c r="W79" s="80"/>
    </row>
    <row r="80" spans="1:30" x14ac:dyDescent="0.25">
      <c r="B80" s="72"/>
      <c r="C80" s="17" t="s">
        <v>22</v>
      </c>
      <c r="D80" s="17">
        <v>1</v>
      </c>
      <c r="E80" s="17">
        <v>2</v>
      </c>
      <c r="F80" s="17">
        <v>3</v>
      </c>
      <c r="G80" s="80"/>
      <c r="H80" s="80"/>
      <c r="I80" s="80"/>
      <c r="J80" s="80"/>
      <c r="K80" s="80"/>
      <c r="L80" s="80"/>
      <c r="M80" s="80"/>
      <c r="N80" s="80"/>
      <c r="O80" s="80"/>
      <c r="P80" s="80"/>
      <c r="Q80" s="80"/>
      <c r="R80" s="80"/>
      <c r="S80" s="80"/>
      <c r="T80" s="80"/>
      <c r="U80" s="80"/>
      <c r="V80" s="80"/>
      <c r="W80" s="80"/>
    </row>
    <row r="81" spans="2:31" x14ac:dyDescent="0.25">
      <c r="B81" t="s">
        <v>92</v>
      </c>
      <c r="C81" s="70"/>
      <c r="D81" s="75">
        <f>Assumption_Hatchery!D81</f>
        <v>0</v>
      </c>
      <c r="E81" s="75">
        <f>Assumption_Hatchery!E81</f>
        <v>0</v>
      </c>
      <c r="F81" s="75">
        <f>Assumption_Hatchery!F81</f>
        <v>1</v>
      </c>
      <c r="G81" s="80"/>
      <c r="H81" s="80"/>
      <c r="I81" s="80"/>
      <c r="J81" s="80"/>
      <c r="K81" s="80"/>
      <c r="L81" s="80"/>
      <c r="M81" s="80"/>
      <c r="N81" s="80"/>
      <c r="O81" s="80"/>
      <c r="P81" s="80"/>
      <c r="Q81" s="80"/>
      <c r="R81" s="80"/>
      <c r="S81" s="80"/>
      <c r="T81" s="80"/>
      <c r="U81" s="80"/>
      <c r="V81" s="80"/>
      <c r="W81" s="80"/>
    </row>
    <row r="82" spans="2:31" x14ac:dyDescent="0.25">
      <c r="B82" t="s">
        <v>94</v>
      </c>
      <c r="C82" s="70"/>
      <c r="D82" s="151">
        <f>Assumption_Hatchery!D82</f>
        <v>0</v>
      </c>
      <c r="E82" s="151">
        <f>Assumption_Hatchery!E82</f>
        <v>0</v>
      </c>
      <c r="F82" s="151">
        <f>Assumption_Hatchery!F82</f>
        <v>0.5</v>
      </c>
      <c r="G82" s="80"/>
      <c r="H82" s="80"/>
      <c r="I82" s="80"/>
      <c r="J82" s="80"/>
      <c r="K82" s="80"/>
      <c r="L82" s="80"/>
      <c r="M82" s="80"/>
      <c r="N82" s="80"/>
      <c r="O82" s="80"/>
      <c r="P82" s="80"/>
      <c r="Q82" s="80"/>
      <c r="R82" s="80"/>
      <c r="S82" s="80"/>
      <c r="T82" s="80"/>
      <c r="U82" s="80"/>
      <c r="V82" s="80"/>
      <c r="W82" s="80"/>
    </row>
    <row r="83" spans="2:31" x14ac:dyDescent="0.25">
      <c r="C83" s="100"/>
      <c r="D83" s="78"/>
      <c r="E83" s="78"/>
      <c r="F83" s="78"/>
      <c r="G83" s="80"/>
      <c r="H83" s="80"/>
      <c r="I83" s="80"/>
      <c r="J83" s="80"/>
      <c r="K83" s="80"/>
      <c r="L83" s="80"/>
      <c r="M83" s="80"/>
      <c r="N83" s="80"/>
      <c r="O83" s="80"/>
      <c r="P83" s="80"/>
      <c r="Q83" s="80"/>
      <c r="R83" s="80"/>
      <c r="S83" s="80"/>
      <c r="T83" s="80"/>
      <c r="U83" s="80"/>
      <c r="V83" s="80"/>
      <c r="W83" s="80"/>
    </row>
    <row r="85" spans="2:31" x14ac:dyDescent="0.25">
      <c r="B85" s="72"/>
      <c r="C85" s="17" t="s">
        <v>22</v>
      </c>
      <c r="D85" s="17">
        <v>0</v>
      </c>
      <c r="E85" s="17">
        <v>1</v>
      </c>
      <c r="F85" s="17">
        <v>2</v>
      </c>
      <c r="G85" s="17">
        <v>3</v>
      </c>
      <c r="H85" s="17">
        <v>4</v>
      </c>
      <c r="I85" s="17">
        <v>5</v>
      </c>
      <c r="J85" s="17">
        <v>6</v>
      </c>
      <c r="K85" s="17">
        <v>7</v>
      </c>
      <c r="L85" s="17">
        <v>8</v>
      </c>
      <c r="M85" s="17">
        <v>9</v>
      </c>
      <c r="N85" s="17">
        <v>10</v>
      </c>
      <c r="O85" s="17">
        <v>11</v>
      </c>
      <c r="P85" s="17">
        <v>12</v>
      </c>
      <c r="Q85" s="17">
        <v>13</v>
      </c>
      <c r="R85" s="17">
        <v>14</v>
      </c>
      <c r="S85" s="17">
        <v>15</v>
      </c>
      <c r="T85" s="17">
        <v>16</v>
      </c>
      <c r="U85" s="17">
        <v>17</v>
      </c>
      <c r="V85" s="17">
        <v>18</v>
      </c>
      <c r="W85" s="17">
        <v>19</v>
      </c>
      <c r="X85" s="17">
        <v>20</v>
      </c>
      <c r="Y85" s="17">
        <v>21</v>
      </c>
      <c r="Z85" s="17">
        <v>22</v>
      </c>
      <c r="AA85" s="17">
        <v>23</v>
      </c>
      <c r="AB85" s="17">
        <v>24</v>
      </c>
      <c r="AC85" s="17">
        <v>25</v>
      </c>
    </row>
    <row r="86" spans="2:31" x14ac:dyDescent="0.25">
      <c r="B86" t="s">
        <v>92</v>
      </c>
      <c r="C86" s="70"/>
      <c r="D86" s="70"/>
      <c r="E86" s="70">
        <f>D81</f>
        <v>0</v>
      </c>
      <c r="F86" s="70">
        <f>E81</f>
        <v>0</v>
      </c>
      <c r="G86" s="70">
        <f>F81</f>
        <v>1</v>
      </c>
      <c r="H86" s="70">
        <f>D81</f>
        <v>0</v>
      </c>
      <c r="I86" s="70">
        <f t="shared" ref="I86:J86" si="30">E81</f>
        <v>0</v>
      </c>
      <c r="J86" s="70">
        <f t="shared" si="30"/>
        <v>1</v>
      </c>
      <c r="K86" s="70">
        <f>D81</f>
        <v>0</v>
      </c>
      <c r="L86" s="70">
        <f t="shared" ref="L86:M86" si="31">E81</f>
        <v>0</v>
      </c>
      <c r="M86" s="70">
        <f t="shared" si="31"/>
        <v>1</v>
      </c>
      <c r="N86" s="70">
        <f>D81</f>
        <v>0</v>
      </c>
      <c r="O86" s="70">
        <f t="shared" ref="O86:P86" si="32">E81</f>
        <v>0</v>
      </c>
      <c r="P86" s="70">
        <f t="shared" si="32"/>
        <v>1</v>
      </c>
      <c r="Q86" s="70">
        <f>D81</f>
        <v>0</v>
      </c>
      <c r="R86" s="70">
        <f t="shared" ref="R86:S86" si="33">E81</f>
        <v>0</v>
      </c>
      <c r="S86" s="70">
        <f t="shared" si="33"/>
        <v>1</v>
      </c>
      <c r="T86" s="70">
        <f>D81</f>
        <v>0</v>
      </c>
      <c r="U86" s="70">
        <f t="shared" ref="U86:V86" si="34">E81</f>
        <v>0</v>
      </c>
      <c r="V86" s="70">
        <f t="shared" si="34"/>
        <v>1</v>
      </c>
      <c r="W86" s="70">
        <f>D81</f>
        <v>0</v>
      </c>
      <c r="X86" s="70">
        <f t="shared" ref="X86:Y86" si="35">E81</f>
        <v>0</v>
      </c>
      <c r="Y86" s="70">
        <f t="shared" si="35"/>
        <v>1</v>
      </c>
      <c r="Z86" s="70">
        <f>D81</f>
        <v>0</v>
      </c>
      <c r="AA86" s="70">
        <f t="shared" ref="AA86:AB86" si="36">E81</f>
        <v>0</v>
      </c>
      <c r="AB86" s="70">
        <f t="shared" si="36"/>
        <v>1</v>
      </c>
      <c r="AC86" s="100"/>
    </row>
    <row r="87" spans="2:31" x14ac:dyDescent="0.25">
      <c r="B87" t="s">
        <v>94</v>
      </c>
      <c r="C87" s="70"/>
      <c r="D87" s="75"/>
      <c r="E87" s="63">
        <f>$D82</f>
        <v>0</v>
      </c>
      <c r="F87" s="115">
        <f>$E82</f>
        <v>0</v>
      </c>
      <c r="G87" s="115">
        <f>$F82</f>
        <v>0.5</v>
      </c>
      <c r="H87" s="63">
        <f>$D82</f>
        <v>0</v>
      </c>
      <c r="I87" s="115">
        <f>$E82</f>
        <v>0</v>
      </c>
      <c r="J87" s="115">
        <f>$F82</f>
        <v>0.5</v>
      </c>
      <c r="K87" s="63">
        <f>$D82</f>
        <v>0</v>
      </c>
      <c r="L87" s="115">
        <f>$E82</f>
        <v>0</v>
      </c>
      <c r="M87" s="115">
        <f>$F82</f>
        <v>0.5</v>
      </c>
      <c r="N87" s="63">
        <f>$D82</f>
        <v>0</v>
      </c>
      <c r="O87" s="115">
        <f>$E82</f>
        <v>0</v>
      </c>
      <c r="P87" s="115">
        <f>$F82</f>
        <v>0.5</v>
      </c>
      <c r="Q87" s="63">
        <f>$D82</f>
        <v>0</v>
      </c>
      <c r="R87" s="115">
        <f>$E82</f>
        <v>0</v>
      </c>
      <c r="S87" s="115">
        <f>$F82</f>
        <v>0.5</v>
      </c>
      <c r="T87" s="63">
        <f>$D82</f>
        <v>0</v>
      </c>
      <c r="U87" s="115">
        <f>$E82</f>
        <v>0</v>
      </c>
      <c r="V87" s="115">
        <f>$F82</f>
        <v>0.5</v>
      </c>
      <c r="W87" s="63">
        <f>$D82</f>
        <v>0</v>
      </c>
      <c r="X87" s="115">
        <f>$E82</f>
        <v>0</v>
      </c>
      <c r="Y87" s="115">
        <f>$F82</f>
        <v>0.5</v>
      </c>
      <c r="Z87" s="63">
        <f>$D82</f>
        <v>0</v>
      </c>
      <c r="AA87" s="115">
        <f>$E82</f>
        <v>0</v>
      </c>
      <c r="AB87" s="115">
        <f>$F82</f>
        <v>0.5</v>
      </c>
      <c r="AC87" s="116"/>
      <c r="AD87" s="116"/>
      <c r="AE87" s="116"/>
    </row>
    <row r="88" spans="2:31" x14ac:dyDescent="0.25">
      <c r="C88" s="100"/>
      <c r="D88" s="78"/>
      <c r="E88" s="78"/>
      <c r="F88" s="78"/>
      <c r="G88" s="78"/>
      <c r="H88" s="78"/>
      <c r="I88" s="78"/>
      <c r="J88" s="78"/>
      <c r="K88" s="78"/>
      <c r="L88" s="78"/>
      <c r="M88" s="78"/>
      <c r="N88" s="78"/>
      <c r="O88" s="78"/>
      <c r="P88" s="78"/>
      <c r="Q88" s="78"/>
      <c r="R88" s="78"/>
      <c r="S88" s="78"/>
      <c r="T88" s="78"/>
      <c r="U88" s="78"/>
      <c r="V88" s="78"/>
      <c r="W88" s="78"/>
      <c r="X88" s="78"/>
      <c r="Y88" s="114"/>
      <c r="Z88" s="114"/>
      <c r="AA88" s="114"/>
      <c r="AB88" s="114"/>
      <c r="AC88" s="114"/>
      <c r="AD88" s="114"/>
    </row>
    <row r="89" spans="2:31" x14ac:dyDescent="0.25">
      <c r="C89" s="100"/>
      <c r="D89" s="113"/>
      <c r="E89" s="113"/>
      <c r="F89" s="113"/>
      <c r="G89" s="113"/>
      <c r="H89" s="113"/>
      <c r="I89" s="113"/>
      <c r="J89" s="113"/>
      <c r="K89" s="113"/>
      <c r="L89" s="113"/>
      <c r="M89" s="113"/>
      <c r="N89" s="113"/>
      <c r="O89" s="113"/>
      <c r="P89" s="113"/>
      <c r="Q89" s="113"/>
      <c r="R89" s="113"/>
      <c r="S89" s="113"/>
      <c r="T89" s="113"/>
      <c r="U89" s="113"/>
      <c r="V89" s="113"/>
      <c r="W89" s="113"/>
      <c r="X89" s="113"/>
    </row>
    <row r="90" spans="2:31" x14ac:dyDescent="0.25">
      <c r="C90" s="100"/>
      <c r="D90" s="113"/>
      <c r="E90" s="113"/>
      <c r="F90" s="113"/>
      <c r="G90" s="113"/>
      <c r="H90" s="113"/>
      <c r="I90" s="113"/>
      <c r="J90" s="113"/>
      <c r="K90" s="113"/>
      <c r="L90" s="113"/>
      <c r="M90" s="113"/>
      <c r="N90" s="113"/>
      <c r="O90" s="113"/>
      <c r="P90" s="113"/>
      <c r="Q90" s="113"/>
      <c r="R90" s="113"/>
      <c r="S90" s="113"/>
      <c r="T90" s="113"/>
      <c r="U90" s="113"/>
      <c r="V90" s="113"/>
      <c r="W90" s="113"/>
      <c r="X90" s="113"/>
    </row>
    <row r="91" spans="2:31" x14ac:dyDescent="0.25">
      <c r="B91" s="47" t="s">
        <v>150</v>
      </c>
      <c r="C91" s="100"/>
      <c r="D91" s="113"/>
      <c r="E91" s="113"/>
      <c r="F91" s="113"/>
      <c r="G91" s="113"/>
      <c r="H91" s="113"/>
      <c r="I91" s="113"/>
      <c r="J91" s="113"/>
      <c r="K91" s="113"/>
      <c r="L91" s="113"/>
      <c r="M91" s="113"/>
      <c r="N91" s="113"/>
      <c r="O91" s="113"/>
      <c r="P91" s="113"/>
      <c r="Q91" s="113"/>
      <c r="R91" s="113"/>
      <c r="S91" s="113"/>
      <c r="T91" s="113"/>
      <c r="U91" s="113"/>
      <c r="V91" s="113"/>
      <c r="W91" s="113"/>
      <c r="X91" s="113"/>
    </row>
    <row r="92" spans="2:31" x14ac:dyDescent="0.25">
      <c r="C92" s="100"/>
      <c r="D92" s="113"/>
      <c r="E92" s="113"/>
      <c r="F92" s="113"/>
      <c r="G92" s="113"/>
      <c r="H92" s="113"/>
      <c r="I92" s="113"/>
      <c r="J92" s="113"/>
      <c r="K92" s="113"/>
      <c r="L92" s="113"/>
      <c r="M92" s="113"/>
      <c r="N92" s="113"/>
      <c r="O92" s="113"/>
      <c r="P92" s="113"/>
      <c r="Q92" s="113"/>
      <c r="R92" s="113"/>
      <c r="S92" s="113"/>
      <c r="T92" s="113"/>
      <c r="U92" s="113"/>
      <c r="V92" s="113"/>
      <c r="W92" s="113"/>
      <c r="X92" s="113"/>
    </row>
    <row r="93" spans="2:31" ht="38.450000000000003" customHeight="1" x14ac:dyDescent="0.25">
      <c r="B93" t="s">
        <v>149</v>
      </c>
      <c r="C93" s="274" t="s">
        <v>152</v>
      </c>
      <c r="D93" s="274"/>
      <c r="E93" s="274"/>
      <c r="F93" s="274"/>
      <c r="G93" s="80"/>
      <c r="H93" s="80"/>
      <c r="I93" s="80"/>
      <c r="J93" s="80"/>
      <c r="K93" s="80"/>
      <c r="L93" s="80"/>
      <c r="M93" s="80"/>
      <c r="N93" s="80"/>
      <c r="O93" s="80"/>
      <c r="P93" s="80"/>
      <c r="Q93" s="80"/>
      <c r="R93" s="80"/>
      <c r="S93" s="80"/>
      <c r="T93" s="80"/>
      <c r="U93" s="80"/>
      <c r="V93" s="80"/>
      <c r="W93" s="80"/>
    </row>
    <row r="94" spans="2:31" x14ac:dyDescent="0.25">
      <c r="B94" s="72"/>
      <c r="C94" s="17" t="s">
        <v>22</v>
      </c>
      <c r="D94" s="17">
        <v>1</v>
      </c>
      <c r="E94" s="17">
        <v>2</v>
      </c>
      <c r="F94" s="17">
        <v>3</v>
      </c>
      <c r="G94" s="80"/>
      <c r="H94" s="80"/>
      <c r="I94" s="80"/>
      <c r="J94" s="80"/>
      <c r="K94" s="80"/>
      <c r="L94" s="80"/>
      <c r="M94" s="80"/>
      <c r="N94" s="80"/>
      <c r="O94" s="80"/>
      <c r="P94" s="80"/>
      <c r="Q94" s="80"/>
      <c r="R94" s="80"/>
      <c r="S94" s="80"/>
      <c r="T94" s="80"/>
      <c r="U94" s="80"/>
      <c r="V94" s="80"/>
      <c r="W94" s="80"/>
    </row>
    <row r="95" spans="2:31" x14ac:dyDescent="0.25">
      <c r="B95" t="s">
        <v>92</v>
      </c>
      <c r="C95" s="70"/>
      <c r="D95" s="75">
        <f>Assumption_Hatchery!D95</f>
        <v>0</v>
      </c>
      <c r="E95" s="75">
        <f>Assumption_Hatchery!E95</f>
        <v>0</v>
      </c>
      <c r="F95" s="75">
        <f>Assumption_Hatchery!F95</f>
        <v>1</v>
      </c>
      <c r="G95" s="80"/>
      <c r="H95" s="80"/>
      <c r="I95" s="80"/>
      <c r="J95" s="80"/>
      <c r="K95" s="80"/>
      <c r="L95" s="80"/>
      <c r="M95" s="80"/>
      <c r="N95" s="80"/>
      <c r="O95" s="80"/>
      <c r="P95" s="80"/>
      <c r="Q95" s="80"/>
      <c r="R95" s="80"/>
      <c r="S95" s="80"/>
      <c r="T95" s="80"/>
      <c r="U95" s="80"/>
      <c r="V95" s="80"/>
      <c r="W95" s="80"/>
    </row>
    <row r="96" spans="2:31" x14ac:dyDescent="0.25">
      <c r="B96" t="s">
        <v>94</v>
      </c>
      <c r="C96" s="70"/>
      <c r="D96" s="151">
        <f>Assumption_Hatchery!D96</f>
        <v>0</v>
      </c>
      <c r="E96" s="151">
        <f>Assumption_Hatchery!E96</f>
        <v>0</v>
      </c>
      <c r="F96" s="151">
        <f>Assumption_Hatchery!F96</f>
        <v>0.5</v>
      </c>
      <c r="G96" s="80"/>
      <c r="H96" s="80"/>
      <c r="I96" s="80"/>
      <c r="J96" s="80"/>
      <c r="K96" s="80"/>
      <c r="L96" s="80"/>
      <c r="M96" s="80"/>
      <c r="N96" s="80"/>
      <c r="O96" s="80"/>
      <c r="P96" s="80"/>
      <c r="Q96" s="80"/>
      <c r="R96" s="80"/>
      <c r="S96" s="80"/>
      <c r="T96" s="80"/>
      <c r="U96" s="80"/>
      <c r="V96" s="80"/>
      <c r="W96" s="80"/>
    </row>
    <row r="97" spans="2:31" x14ac:dyDescent="0.25">
      <c r="C97" s="100"/>
      <c r="D97" s="78"/>
      <c r="E97" s="78"/>
      <c r="F97" s="78"/>
      <c r="G97" s="80"/>
      <c r="H97" s="80"/>
      <c r="I97" s="80"/>
      <c r="J97" s="80"/>
      <c r="K97" s="80"/>
      <c r="L97" s="80"/>
      <c r="M97" s="80"/>
      <c r="N97" s="80"/>
      <c r="O97" s="80"/>
      <c r="P97" s="80"/>
      <c r="Q97" s="80"/>
      <c r="R97" s="80"/>
      <c r="S97" s="80"/>
      <c r="T97" s="80"/>
      <c r="U97" s="80"/>
      <c r="V97" s="80"/>
      <c r="W97" s="80"/>
    </row>
    <row r="99" spans="2:31" x14ac:dyDescent="0.25">
      <c r="B99" s="72"/>
      <c r="C99" s="17" t="s">
        <v>22</v>
      </c>
      <c r="D99" s="17">
        <v>0</v>
      </c>
      <c r="E99" s="17">
        <v>1</v>
      </c>
      <c r="F99" s="17">
        <v>2</v>
      </c>
      <c r="G99" s="17">
        <v>3</v>
      </c>
      <c r="H99" s="17">
        <v>4</v>
      </c>
      <c r="I99" s="17">
        <v>5</v>
      </c>
      <c r="J99" s="17">
        <v>6</v>
      </c>
      <c r="K99" s="17">
        <v>7</v>
      </c>
      <c r="L99" s="17">
        <v>8</v>
      </c>
      <c r="M99" s="17">
        <v>9</v>
      </c>
      <c r="N99" s="17">
        <v>10</v>
      </c>
      <c r="O99" s="17">
        <v>11</v>
      </c>
      <c r="P99" s="17">
        <v>12</v>
      </c>
      <c r="Q99" s="17">
        <v>13</v>
      </c>
      <c r="R99" s="17">
        <v>14</v>
      </c>
      <c r="S99" s="17">
        <v>15</v>
      </c>
      <c r="T99" s="17">
        <v>16</v>
      </c>
      <c r="U99" s="17">
        <v>17</v>
      </c>
      <c r="V99" s="17">
        <v>18</v>
      </c>
      <c r="W99" s="17">
        <v>19</v>
      </c>
      <c r="X99" s="17">
        <v>20</v>
      </c>
      <c r="Y99" s="17">
        <v>21</v>
      </c>
      <c r="Z99" s="17">
        <v>22</v>
      </c>
      <c r="AA99" s="17">
        <v>23</v>
      </c>
      <c r="AB99" s="17">
        <v>24</v>
      </c>
      <c r="AC99" s="17">
        <v>25</v>
      </c>
    </row>
    <row r="100" spans="2:31" x14ac:dyDescent="0.25">
      <c r="B100" t="s">
        <v>92</v>
      </c>
      <c r="C100" s="70"/>
      <c r="D100" s="70"/>
      <c r="E100" s="70">
        <f>D95</f>
        <v>0</v>
      </c>
      <c r="F100" s="70">
        <f>E95</f>
        <v>0</v>
      </c>
      <c r="G100" s="70">
        <f>F95</f>
        <v>1</v>
      </c>
      <c r="H100" s="70">
        <f>D95</f>
        <v>0</v>
      </c>
      <c r="I100" s="70">
        <f t="shared" ref="I100:J100" si="37">E95</f>
        <v>0</v>
      </c>
      <c r="J100" s="70">
        <f t="shared" si="37"/>
        <v>1</v>
      </c>
      <c r="K100" s="70">
        <f>D95</f>
        <v>0</v>
      </c>
      <c r="L100" s="70">
        <f t="shared" ref="L100:M100" si="38">E95</f>
        <v>0</v>
      </c>
      <c r="M100" s="70">
        <f t="shared" si="38"/>
        <v>1</v>
      </c>
      <c r="N100" s="70">
        <f>D95</f>
        <v>0</v>
      </c>
      <c r="O100" s="70">
        <f t="shared" ref="O100:P100" si="39">E95</f>
        <v>0</v>
      </c>
      <c r="P100" s="70">
        <f t="shared" si="39"/>
        <v>1</v>
      </c>
      <c r="Q100" s="70">
        <f>D95</f>
        <v>0</v>
      </c>
      <c r="R100" s="70">
        <f t="shared" ref="R100:S100" si="40">E95</f>
        <v>0</v>
      </c>
      <c r="S100" s="70">
        <f t="shared" si="40"/>
        <v>1</v>
      </c>
      <c r="T100" s="70">
        <f>D95</f>
        <v>0</v>
      </c>
      <c r="U100" s="70">
        <f t="shared" ref="U100:V100" si="41">E95</f>
        <v>0</v>
      </c>
      <c r="V100" s="70">
        <f t="shared" si="41"/>
        <v>1</v>
      </c>
      <c r="W100" s="70">
        <f>D95</f>
        <v>0</v>
      </c>
      <c r="X100" s="70">
        <f t="shared" ref="X100:Y100" si="42">E95</f>
        <v>0</v>
      </c>
      <c r="Y100" s="70">
        <f t="shared" si="42"/>
        <v>1</v>
      </c>
      <c r="Z100" s="70">
        <f>D95</f>
        <v>0</v>
      </c>
      <c r="AA100" s="70">
        <f t="shared" ref="AA100:AB100" si="43">E95</f>
        <v>0</v>
      </c>
      <c r="AB100" s="70">
        <f t="shared" si="43"/>
        <v>1</v>
      </c>
      <c r="AC100" s="100"/>
    </row>
    <row r="101" spans="2:31" x14ac:dyDescent="0.25">
      <c r="B101" t="s">
        <v>94</v>
      </c>
      <c r="C101" s="70"/>
      <c r="D101" s="75"/>
      <c r="E101" s="63">
        <f>$D96</f>
        <v>0</v>
      </c>
      <c r="F101" s="115">
        <f>$E96</f>
        <v>0</v>
      </c>
      <c r="G101" s="115">
        <f>$F96</f>
        <v>0.5</v>
      </c>
      <c r="H101" s="63">
        <f>$D96</f>
        <v>0</v>
      </c>
      <c r="I101" s="115">
        <f>$E96</f>
        <v>0</v>
      </c>
      <c r="J101" s="115">
        <f>$F96</f>
        <v>0.5</v>
      </c>
      <c r="K101" s="63">
        <f>$D96</f>
        <v>0</v>
      </c>
      <c r="L101" s="115">
        <f>$E96</f>
        <v>0</v>
      </c>
      <c r="M101" s="115">
        <f>$F96</f>
        <v>0.5</v>
      </c>
      <c r="N101" s="63">
        <f>$D96</f>
        <v>0</v>
      </c>
      <c r="O101" s="115">
        <f>$E96</f>
        <v>0</v>
      </c>
      <c r="P101" s="115">
        <f>$F96</f>
        <v>0.5</v>
      </c>
      <c r="Q101" s="63">
        <f>$D96</f>
        <v>0</v>
      </c>
      <c r="R101" s="115">
        <f>$E96</f>
        <v>0</v>
      </c>
      <c r="S101" s="115">
        <f>$F96</f>
        <v>0.5</v>
      </c>
      <c r="T101" s="63">
        <f>$D96</f>
        <v>0</v>
      </c>
      <c r="U101" s="115">
        <f>$E96</f>
        <v>0</v>
      </c>
      <c r="V101" s="115">
        <f>$F96</f>
        <v>0.5</v>
      </c>
      <c r="W101" s="63">
        <f>$D96</f>
        <v>0</v>
      </c>
      <c r="X101" s="115">
        <f>$E96</f>
        <v>0</v>
      </c>
      <c r="Y101" s="115">
        <f>$F96</f>
        <v>0.5</v>
      </c>
      <c r="Z101" s="63">
        <f>$D96</f>
        <v>0</v>
      </c>
      <c r="AA101" s="115">
        <f>$E96</f>
        <v>0</v>
      </c>
      <c r="AB101" s="115">
        <f>$F96</f>
        <v>0.5</v>
      </c>
      <c r="AC101" s="116"/>
      <c r="AD101" s="116"/>
      <c r="AE101" s="116"/>
    </row>
    <row r="102" spans="2:31" x14ac:dyDescent="0.25">
      <c r="C102" s="100"/>
      <c r="D102" s="113"/>
      <c r="E102" s="113"/>
      <c r="F102" s="113"/>
      <c r="G102" s="113"/>
      <c r="H102" s="113"/>
      <c r="I102" s="113"/>
      <c r="J102" s="113"/>
      <c r="K102" s="113"/>
      <c r="L102" s="113"/>
      <c r="M102" s="113"/>
      <c r="N102" s="113"/>
      <c r="O102" s="113"/>
      <c r="P102" s="113"/>
      <c r="Q102" s="113"/>
      <c r="R102" s="113"/>
      <c r="S102" s="113"/>
      <c r="T102" s="113"/>
      <c r="U102" s="113"/>
      <c r="V102" s="113"/>
      <c r="W102" s="113"/>
      <c r="X102" s="113"/>
    </row>
    <row r="103" spans="2:31" x14ac:dyDescent="0.25">
      <c r="B103" s="47" t="s">
        <v>151</v>
      </c>
      <c r="C103" s="100"/>
      <c r="D103" s="113"/>
      <c r="E103" s="113"/>
      <c r="F103" s="113"/>
      <c r="G103" s="113"/>
      <c r="H103" s="113"/>
      <c r="I103" s="113"/>
      <c r="J103" s="113"/>
      <c r="K103" s="113"/>
      <c r="L103" s="113"/>
      <c r="M103" s="113"/>
      <c r="N103" s="113"/>
      <c r="O103" s="113"/>
      <c r="P103" s="113"/>
      <c r="Q103" s="113"/>
      <c r="R103" s="113"/>
      <c r="S103" s="113"/>
      <c r="T103" s="113"/>
      <c r="U103" s="113"/>
      <c r="V103" s="113"/>
      <c r="W103" s="113"/>
      <c r="X103" s="113"/>
    </row>
    <row r="104" spans="2:31" x14ac:dyDescent="0.25">
      <c r="C104" s="100"/>
      <c r="D104" s="113"/>
      <c r="E104" s="113"/>
      <c r="F104" s="113"/>
      <c r="G104" s="113"/>
      <c r="H104" s="113"/>
      <c r="I104" s="113"/>
      <c r="J104" s="113"/>
      <c r="K104" s="113"/>
      <c r="L104" s="113"/>
      <c r="M104" s="113"/>
      <c r="N104" s="113"/>
      <c r="O104" s="113"/>
      <c r="P104" s="113"/>
      <c r="Q104" s="113"/>
      <c r="R104" s="113"/>
      <c r="S104" s="113"/>
      <c r="T104" s="113"/>
      <c r="U104" s="113"/>
      <c r="V104" s="113"/>
      <c r="W104" s="113"/>
      <c r="X104" s="113"/>
    </row>
    <row r="105" spans="2:31" ht="28.15" customHeight="1" x14ac:dyDescent="0.25">
      <c r="B105" t="s">
        <v>149</v>
      </c>
      <c r="C105" s="274" t="s">
        <v>152</v>
      </c>
      <c r="D105" s="274"/>
      <c r="E105" s="274"/>
      <c r="F105" s="274"/>
      <c r="G105" s="80"/>
      <c r="H105" s="80"/>
      <c r="I105" s="80"/>
      <c r="J105" s="80"/>
      <c r="K105" s="80"/>
      <c r="L105" s="80"/>
      <c r="M105" s="80"/>
      <c r="N105" s="80"/>
      <c r="O105" s="80"/>
      <c r="P105" s="80"/>
      <c r="Q105" s="80"/>
      <c r="R105" s="80"/>
      <c r="S105" s="80"/>
      <c r="T105" s="80"/>
      <c r="U105" s="80"/>
      <c r="V105" s="80"/>
      <c r="W105" s="80"/>
    </row>
    <row r="106" spans="2:31" x14ac:dyDescent="0.25">
      <c r="B106" s="72"/>
      <c r="C106" s="17" t="s">
        <v>22</v>
      </c>
      <c r="D106" s="17">
        <v>1</v>
      </c>
      <c r="E106" s="17">
        <v>2</v>
      </c>
      <c r="F106" s="17">
        <v>3</v>
      </c>
      <c r="G106" s="80"/>
      <c r="H106" s="80"/>
      <c r="I106" s="80"/>
      <c r="J106" s="80"/>
      <c r="K106" s="80"/>
      <c r="L106" s="80"/>
      <c r="M106" s="80"/>
      <c r="N106" s="80"/>
      <c r="O106" s="80"/>
      <c r="P106" s="80"/>
      <c r="Q106" s="80"/>
      <c r="R106" s="80"/>
      <c r="S106" s="80"/>
      <c r="T106" s="80"/>
      <c r="U106" s="80"/>
      <c r="V106" s="80"/>
      <c r="W106" s="80"/>
    </row>
    <row r="107" spans="2:31" x14ac:dyDescent="0.25">
      <c r="B107" t="s">
        <v>92</v>
      </c>
      <c r="C107" s="70"/>
      <c r="D107" s="75">
        <f>Assumption_Hatchery!D107</f>
        <v>0</v>
      </c>
      <c r="E107" s="75">
        <f>Assumption_Hatchery!E107</f>
        <v>0</v>
      </c>
      <c r="F107" s="75">
        <f>Assumption_Hatchery!F107</f>
        <v>1</v>
      </c>
      <c r="G107" s="80"/>
      <c r="H107" s="80"/>
      <c r="I107" s="80"/>
      <c r="J107" s="80"/>
      <c r="K107" s="80"/>
      <c r="L107" s="80"/>
      <c r="M107" s="80"/>
      <c r="N107" s="80"/>
      <c r="O107" s="80"/>
      <c r="P107" s="80"/>
      <c r="Q107" s="80"/>
      <c r="R107" s="80"/>
      <c r="S107" s="80"/>
      <c r="T107" s="80"/>
      <c r="U107" s="80"/>
      <c r="V107" s="80"/>
      <c r="W107" s="80"/>
    </row>
    <row r="108" spans="2:31" x14ac:dyDescent="0.25">
      <c r="B108" t="s">
        <v>94</v>
      </c>
      <c r="C108" s="70"/>
      <c r="D108" s="151">
        <f>Assumption_Hatchery!D108</f>
        <v>0</v>
      </c>
      <c r="E108" s="151">
        <f>Assumption_Hatchery!E108</f>
        <v>0</v>
      </c>
      <c r="F108" s="151">
        <f>Assumption_Hatchery!F108</f>
        <v>0.5</v>
      </c>
      <c r="G108" s="80"/>
      <c r="H108" s="80"/>
      <c r="I108" s="80"/>
      <c r="J108" s="80"/>
      <c r="K108" s="80"/>
      <c r="L108" s="80"/>
      <c r="M108" s="80"/>
      <c r="N108" s="80"/>
      <c r="O108" s="80"/>
      <c r="P108" s="80"/>
      <c r="Q108" s="80"/>
      <c r="R108" s="80"/>
      <c r="S108" s="80"/>
      <c r="T108" s="80"/>
      <c r="U108" s="80"/>
      <c r="V108" s="80"/>
      <c r="W108" s="80"/>
    </row>
    <row r="109" spans="2:31" x14ac:dyDescent="0.25">
      <c r="C109" s="100"/>
      <c r="D109" s="78"/>
      <c r="E109" s="78"/>
      <c r="F109" s="78"/>
      <c r="G109" s="80"/>
      <c r="H109" s="80"/>
      <c r="I109" s="80"/>
      <c r="J109" s="80"/>
      <c r="K109" s="80"/>
      <c r="L109" s="80"/>
      <c r="M109" s="80"/>
      <c r="N109" s="80"/>
      <c r="O109" s="80"/>
      <c r="P109" s="80"/>
      <c r="Q109" s="80"/>
      <c r="R109" s="80"/>
      <c r="S109" s="80"/>
      <c r="T109" s="80"/>
      <c r="U109" s="80"/>
      <c r="V109" s="80"/>
      <c r="W109" s="80"/>
    </row>
    <row r="111" spans="2:31" x14ac:dyDescent="0.25">
      <c r="B111" s="72"/>
      <c r="C111" s="17" t="s">
        <v>22</v>
      </c>
      <c r="D111" s="17">
        <v>0</v>
      </c>
      <c r="E111" s="17">
        <v>1</v>
      </c>
      <c r="F111" s="17">
        <v>2</v>
      </c>
      <c r="G111" s="17">
        <v>3</v>
      </c>
      <c r="H111" s="17">
        <v>4</v>
      </c>
      <c r="I111" s="17">
        <v>5</v>
      </c>
      <c r="J111" s="17">
        <v>6</v>
      </c>
      <c r="K111" s="17">
        <v>7</v>
      </c>
      <c r="L111" s="17">
        <v>8</v>
      </c>
      <c r="M111" s="17">
        <v>9</v>
      </c>
      <c r="N111" s="17">
        <v>10</v>
      </c>
      <c r="O111" s="17">
        <v>11</v>
      </c>
      <c r="P111" s="17">
        <v>12</v>
      </c>
      <c r="Q111" s="17">
        <v>13</v>
      </c>
      <c r="R111" s="17">
        <v>14</v>
      </c>
      <c r="S111" s="17">
        <v>15</v>
      </c>
      <c r="T111" s="17">
        <v>16</v>
      </c>
      <c r="U111" s="17">
        <v>17</v>
      </c>
      <c r="V111" s="17">
        <v>18</v>
      </c>
      <c r="W111" s="17">
        <v>19</v>
      </c>
      <c r="X111" s="17">
        <v>20</v>
      </c>
      <c r="Y111" s="17">
        <v>21</v>
      </c>
      <c r="Z111" s="17">
        <v>22</v>
      </c>
      <c r="AA111" s="17">
        <v>23</v>
      </c>
      <c r="AB111" s="17">
        <v>24</v>
      </c>
      <c r="AC111" s="16"/>
    </row>
    <row r="112" spans="2:31" x14ac:dyDescent="0.25">
      <c r="B112" t="s">
        <v>92</v>
      </c>
      <c r="C112" s="70"/>
      <c r="D112" s="70"/>
      <c r="E112" s="70">
        <f>D107</f>
        <v>0</v>
      </c>
      <c r="F112" s="70">
        <f>E107</f>
        <v>0</v>
      </c>
      <c r="G112" s="70">
        <f>F107</f>
        <v>1</v>
      </c>
      <c r="H112" s="70">
        <f>D107</f>
        <v>0</v>
      </c>
      <c r="I112" s="70">
        <f t="shared" ref="I112:J112" si="44">E107</f>
        <v>0</v>
      </c>
      <c r="J112" s="70">
        <f t="shared" si="44"/>
        <v>1</v>
      </c>
      <c r="K112" s="70">
        <f>D107</f>
        <v>0</v>
      </c>
      <c r="L112" s="70">
        <f t="shared" ref="L112:M112" si="45">E107</f>
        <v>0</v>
      </c>
      <c r="M112" s="70">
        <f t="shared" si="45"/>
        <v>1</v>
      </c>
      <c r="N112" s="70">
        <f>D107</f>
        <v>0</v>
      </c>
      <c r="O112" s="70">
        <f t="shared" ref="O112:P112" si="46">E107</f>
        <v>0</v>
      </c>
      <c r="P112" s="70">
        <f t="shared" si="46"/>
        <v>1</v>
      </c>
      <c r="Q112" s="70">
        <f>D107</f>
        <v>0</v>
      </c>
      <c r="R112" s="70">
        <f t="shared" ref="R112:S112" si="47">E107</f>
        <v>0</v>
      </c>
      <c r="S112" s="70">
        <f t="shared" si="47"/>
        <v>1</v>
      </c>
      <c r="T112" s="70">
        <f>D107</f>
        <v>0</v>
      </c>
      <c r="U112" s="70">
        <f t="shared" ref="U112:V112" si="48">E107</f>
        <v>0</v>
      </c>
      <c r="V112" s="70">
        <f t="shared" si="48"/>
        <v>1</v>
      </c>
      <c r="W112" s="70">
        <f>D107</f>
        <v>0</v>
      </c>
      <c r="X112" s="70">
        <f t="shared" ref="X112:Y112" si="49">E107</f>
        <v>0</v>
      </c>
      <c r="Y112" s="70">
        <f t="shared" si="49"/>
        <v>1</v>
      </c>
      <c r="Z112" s="70">
        <f>D107</f>
        <v>0</v>
      </c>
      <c r="AA112" s="70">
        <f t="shared" ref="AA112:AB112" si="50">E107</f>
        <v>0</v>
      </c>
      <c r="AB112" s="70">
        <f t="shared" si="50"/>
        <v>1</v>
      </c>
      <c r="AC112" s="100"/>
    </row>
    <row r="113" spans="1:31" x14ac:dyDescent="0.25">
      <c r="B113" t="s">
        <v>94</v>
      </c>
      <c r="C113" s="70"/>
      <c r="D113" s="75"/>
      <c r="E113" s="63">
        <f>$D108</f>
        <v>0</v>
      </c>
      <c r="F113" s="115">
        <f>$E108</f>
        <v>0</v>
      </c>
      <c r="G113" s="115">
        <f>$F108</f>
        <v>0.5</v>
      </c>
      <c r="H113" s="63">
        <f>$D108</f>
        <v>0</v>
      </c>
      <c r="I113" s="115">
        <f>$E108</f>
        <v>0</v>
      </c>
      <c r="J113" s="115">
        <f>$F108</f>
        <v>0.5</v>
      </c>
      <c r="K113" s="63">
        <f>$D108</f>
        <v>0</v>
      </c>
      <c r="L113" s="115">
        <f>$E108</f>
        <v>0</v>
      </c>
      <c r="M113" s="115">
        <f>$F108</f>
        <v>0.5</v>
      </c>
      <c r="N113" s="63">
        <f>$D108</f>
        <v>0</v>
      </c>
      <c r="O113" s="115">
        <f>$E108</f>
        <v>0</v>
      </c>
      <c r="P113" s="115">
        <f>$F108</f>
        <v>0.5</v>
      </c>
      <c r="Q113" s="63">
        <f>$D108</f>
        <v>0</v>
      </c>
      <c r="R113" s="115">
        <f>$E108</f>
        <v>0</v>
      </c>
      <c r="S113" s="115">
        <f>$F108</f>
        <v>0.5</v>
      </c>
      <c r="T113" s="63">
        <f>$D108</f>
        <v>0</v>
      </c>
      <c r="U113" s="115">
        <f>$E108</f>
        <v>0</v>
      </c>
      <c r="V113" s="115">
        <f>$F108</f>
        <v>0.5</v>
      </c>
      <c r="W113" s="63">
        <f>$D108</f>
        <v>0</v>
      </c>
      <c r="X113" s="115">
        <f>$E108</f>
        <v>0</v>
      </c>
      <c r="Y113" s="115">
        <f>$F108</f>
        <v>0.5</v>
      </c>
      <c r="Z113" s="63">
        <f>$D108</f>
        <v>0</v>
      </c>
      <c r="AA113" s="115">
        <f>$E108</f>
        <v>0</v>
      </c>
      <c r="AB113" s="115">
        <f>$F108</f>
        <v>0.5</v>
      </c>
      <c r="AC113" s="116"/>
      <c r="AD113" s="116"/>
      <c r="AE113" s="116"/>
    </row>
    <row r="114" spans="1:31" x14ac:dyDescent="0.25">
      <c r="C114" s="100"/>
      <c r="D114" s="113"/>
      <c r="E114" s="113"/>
      <c r="F114" s="113"/>
      <c r="G114" s="113"/>
      <c r="H114" s="113"/>
      <c r="I114" s="113"/>
      <c r="J114" s="113"/>
      <c r="K114" s="113"/>
      <c r="L114" s="113"/>
      <c r="M114" s="113"/>
      <c r="N114" s="113"/>
      <c r="O114" s="113"/>
      <c r="P114" s="113"/>
      <c r="Q114" s="113"/>
      <c r="R114" s="113"/>
      <c r="S114" s="113"/>
      <c r="T114" s="113"/>
      <c r="U114" s="113"/>
      <c r="V114" s="113"/>
      <c r="W114" s="113"/>
      <c r="X114" s="113"/>
    </row>
    <row r="115" spans="1:31" x14ac:dyDescent="0.25">
      <c r="C115" s="100"/>
      <c r="D115" s="113"/>
      <c r="E115" s="113"/>
      <c r="F115" s="113"/>
      <c r="G115" s="113"/>
      <c r="H115" s="113"/>
      <c r="I115" s="113"/>
      <c r="J115" s="113"/>
      <c r="K115" s="113"/>
      <c r="L115" s="113"/>
      <c r="M115" s="113"/>
      <c r="N115" s="113"/>
      <c r="O115" s="113"/>
      <c r="P115" s="113"/>
      <c r="Q115" s="113"/>
      <c r="R115" s="113"/>
      <c r="S115" s="113"/>
      <c r="T115" s="113"/>
      <c r="U115" s="113"/>
      <c r="V115" s="113"/>
      <c r="W115" s="113"/>
      <c r="X115" s="113"/>
    </row>
    <row r="116" spans="1:31" x14ac:dyDescent="0.25">
      <c r="C116" s="78"/>
      <c r="D116" s="80"/>
      <c r="E116" s="98"/>
      <c r="F116" s="98"/>
      <c r="G116" s="80"/>
      <c r="H116" s="80"/>
      <c r="I116" s="80"/>
      <c r="J116" s="80"/>
      <c r="K116" s="80"/>
      <c r="L116" s="80"/>
      <c r="M116" s="80"/>
      <c r="N116" s="80"/>
      <c r="O116" s="80"/>
      <c r="P116" s="80"/>
      <c r="Q116" s="80"/>
      <c r="R116" s="80"/>
      <c r="S116" s="80"/>
      <c r="T116" s="80"/>
      <c r="U116" s="80"/>
      <c r="V116" s="80"/>
      <c r="W116" s="80"/>
    </row>
    <row r="117" spans="1:31" x14ac:dyDescent="0.25">
      <c r="A117" s="70">
        <v>6</v>
      </c>
      <c r="B117" s="47" t="s">
        <v>189</v>
      </c>
      <c r="C117" s="80"/>
      <c r="D117" s="98"/>
      <c r="E117" s="80"/>
      <c r="F117" s="80"/>
      <c r="G117" s="80"/>
      <c r="H117" s="80"/>
      <c r="P117" s="80"/>
      <c r="U117" s="80"/>
      <c r="V117" s="80"/>
      <c r="W117" s="80"/>
    </row>
    <row r="118" spans="1:31" x14ac:dyDescent="0.25">
      <c r="A118" s="100"/>
      <c r="B118" s="47"/>
      <c r="C118" s="80"/>
      <c r="D118" s="98"/>
      <c r="E118" s="80"/>
      <c r="F118" s="145"/>
      <c r="G118" s="145"/>
      <c r="H118" s="145"/>
      <c r="K118" s="265" t="s">
        <v>84</v>
      </c>
      <c r="L118" s="265"/>
      <c r="M118" s="265"/>
      <c r="N118" s="265"/>
      <c r="P118" s="270" t="s">
        <v>82</v>
      </c>
      <c r="Q118" s="270"/>
      <c r="R118" s="270"/>
      <c r="S118" s="270"/>
      <c r="U118" s="270" t="s">
        <v>85</v>
      </c>
      <c r="V118" s="270"/>
      <c r="W118" s="270"/>
      <c r="X118" s="270"/>
    </row>
    <row r="119" spans="1:31" ht="22.15" customHeight="1" x14ac:dyDescent="0.25">
      <c r="K119" s="271" t="s">
        <v>154</v>
      </c>
      <c r="L119" s="272"/>
      <c r="M119" s="272"/>
      <c r="N119" s="273"/>
      <c r="P119" s="271" t="s">
        <v>154</v>
      </c>
      <c r="Q119" s="272"/>
      <c r="R119" s="272"/>
      <c r="S119" s="273"/>
      <c r="U119" s="271" t="s">
        <v>154</v>
      </c>
      <c r="V119" s="272"/>
      <c r="W119" s="272"/>
      <c r="X119" s="273"/>
    </row>
    <row r="120" spans="1:31" ht="45" x14ac:dyDescent="0.25">
      <c r="B120" s="18" t="s">
        <v>6</v>
      </c>
      <c r="C120" s="14" t="s">
        <v>7</v>
      </c>
      <c r="D120" s="21" t="s">
        <v>8</v>
      </c>
      <c r="E120" s="260" t="s">
        <v>9</v>
      </c>
      <c r="F120" s="260"/>
      <c r="G120" s="260"/>
      <c r="H120" s="260"/>
      <c r="K120" s="97"/>
      <c r="L120" s="119" t="s">
        <v>155</v>
      </c>
      <c r="M120" s="97" t="s">
        <v>120</v>
      </c>
      <c r="N120" s="97" t="s">
        <v>119</v>
      </c>
      <c r="P120" s="97"/>
      <c r="Q120" s="119" t="s">
        <v>155</v>
      </c>
      <c r="R120" s="97" t="s">
        <v>120</v>
      </c>
      <c r="S120" s="97" t="s">
        <v>119</v>
      </c>
      <c r="U120" s="97"/>
      <c r="V120" s="119" t="s">
        <v>155</v>
      </c>
      <c r="W120" s="97" t="s">
        <v>120</v>
      </c>
      <c r="X120" s="97" t="s">
        <v>119</v>
      </c>
    </row>
    <row r="121" spans="1:31" ht="17.25" customHeight="1" x14ac:dyDescent="0.25">
      <c r="B121" s="2" t="s">
        <v>72</v>
      </c>
      <c r="C121" s="205">
        <f>(C134/C142)*(1-0.15)</f>
        <v>95.625</v>
      </c>
      <c r="D121" s="30" t="s">
        <v>225</v>
      </c>
      <c r="E121" s="261" t="s">
        <v>194</v>
      </c>
      <c r="F121" s="261"/>
      <c r="G121" s="261"/>
      <c r="H121" s="261"/>
      <c r="K121" s="51" t="s">
        <v>89</v>
      </c>
      <c r="L121" s="164">
        <f>D140-1</f>
        <v>-0.35</v>
      </c>
      <c r="M121" s="63">
        <f>$F82</f>
        <v>0.5</v>
      </c>
      <c r="N121" s="117">
        <f>L121*M121</f>
        <v>-0.17499999999999999</v>
      </c>
      <c r="P121" s="51" t="s">
        <v>89</v>
      </c>
      <c r="Q121" s="151">
        <f>E140-1</f>
        <v>-0.38</v>
      </c>
      <c r="R121" s="63">
        <f>F96</f>
        <v>0.5</v>
      </c>
      <c r="S121" s="117">
        <f>Q121*R121</f>
        <v>-0.19</v>
      </c>
      <c r="U121" s="51" t="s">
        <v>89</v>
      </c>
      <c r="V121" s="151">
        <f>F140-1</f>
        <v>-0.44999999999999996</v>
      </c>
      <c r="W121" s="63">
        <f>F108</f>
        <v>0.5</v>
      </c>
      <c r="X121" s="117">
        <f>V121*W121</f>
        <v>-0.22499999999999998</v>
      </c>
    </row>
    <row r="122" spans="1:31" ht="17.25" customHeight="1" x14ac:dyDescent="0.25">
      <c r="B122" s="2" t="s">
        <v>73</v>
      </c>
      <c r="C122" s="152">
        <v>4.2</v>
      </c>
      <c r="D122" s="30" t="s">
        <v>74</v>
      </c>
      <c r="E122" s="261"/>
      <c r="F122" s="261"/>
      <c r="G122" s="261"/>
      <c r="H122" s="261"/>
      <c r="K122" s="51" t="s">
        <v>83</v>
      </c>
      <c r="L122" s="106">
        <v>0</v>
      </c>
      <c r="M122" s="63">
        <f>M121</f>
        <v>0.5</v>
      </c>
      <c r="N122" s="117">
        <f t="shared" ref="N122:N123" si="51">L122*M122</f>
        <v>0</v>
      </c>
      <c r="P122" s="51" t="s">
        <v>83</v>
      </c>
      <c r="Q122" s="106">
        <v>0</v>
      </c>
      <c r="R122" s="63">
        <f>R121</f>
        <v>0.5</v>
      </c>
      <c r="S122" s="117">
        <f t="shared" ref="S122:S123" si="52">Q122*R122</f>
        <v>0</v>
      </c>
      <c r="U122" s="51" t="s">
        <v>83</v>
      </c>
      <c r="V122" s="106">
        <v>0</v>
      </c>
      <c r="W122" s="63">
        <f>W121</f>
        <v>0.5</v>
      </c>
      <c r="X122" s="117">
        <f t="shared" ref="X122:X123" si="53">V122*W122</f>
        <v>0</v>
      </c>
    </row>
    <row r="123" spans="1:31" ht="17.25" customHeight="1" x14ac:dyDescent="0.25">
      <c r="B123" s="2" t="s">
        <v>68</v>
      </c>
      <c r="C123" s="124">
        <v>0.01</v>
      </c>
      <c r="D123" s="29" t="s">
        <v>19</v>
      </c>
      <c r="E123" s="261"/>
      <c r="F123" s="261"/>
      <c r="G123" s="261"/>
      <c r="H123" s="261"/>
      <c r="K123" s="51" t="s">
        <v>83</v>
      </c>
      <c r="L123" s="106">
        <v>0</v>
      </c>
      <c r="M123" s="63">
        <f t="shared" ref="M123" si="54">M122</f>
        <v>0.5</v>
      </c>
      <c r="N123" s="117">
        <f t="shared" si="51"/>
        <v>0</v>
      </c>
      <c r="P123" s="51" t="s">
        <v>83</v>
      </c>
      <c r="Q123" s="106">
        <v>0</v>
      </c>
      <c r="R123" s="63">
        <f t="shared" ref="R123" si="55">R122</f>
        <v>0.5</v>
      </c>
      <c r="S123" s="117">
        <f t="shared" si="52"/>
        <v>0</v>
      </c>
      <c r="U123" s="51" t="s">
        <v>83</v>
      </c>
      <c r="V123" s="106">
        <v>0</v>
      </c>
      <c r="W123" s="63">
        <f t="shared" ref="W123" si="56">W122</f>
        <v>0.5</v>
      </c>
      <c r="X123" s="117">
        <f t="shared" si="53"/>
        <v>0</v>
      </c>
    </row>
    <row r="124" spans="1:31" x14ac:dyDescent="0.25">
      <c r="L124" s="100"/>
      <c r="M124" s="100"/>
      <c r="N124" s="100"/>
      <c r="Q124" s="100"/>
      <c r="R124" s="100"/>
      <c r="S124" s="100"/>
      <c r="V124" s="100"/>
      <c r="W124" s="100"/>
      <c r="X124" s="100"/>
    </row>
    <row r="125" spans="1:31" x14ac:dyDescent="0.25">
      <c r="L125" s="100"/>
      <c r="M125" s="100"/>
      <c r="N125" s="100"/>
      <c r="Q125" s="100"/>
      <c r="R125" s="100"/>
      <c r="S125" s="100"/>
      <c r="V125" s="100"/>
      <c r="W125" s="100"/>
      <c r="X125" s="100"/>
    </row>
    <row r="126" spans="1:31" x14ac:dyDescent="0.25">
      <c r="B126" s="18" t="s">
        <v>13</v>
      </c>
      <c r="C126" s="15" t="s">
        <v>7</v>
      </c>
      <c r="D126" s="22" t="s">
        <v>8</v>
      </c>
      <c r="E126" s="262" t="s">
        <v>9</v>
      </c>
      <c r="F126" s="262"/>
      <c r="G126" s="262"/>
      <c r="H126" s="262"/>
      <c r="L126" s="100"/>
      <c r="M126" s="100"/>
      <c r="N126" s="100"/>
      <c r="Q126" s="100"/>
      <c r="R126" s="100"/>
      <c r="S126" s="100"/>
      <c r="V126" s="100"/>
      <c r="W126" s="100"/>
      <c r="X126" s="100"/>
    </row>
    <row r="127" spans="1:31" ht="16.899999999999999" customHeight="1" x14ac:dyDescent="0.25">
      <c r="B127" s="2" t="s">
        <v>75</v>
      </c>
      <c r="C127" s="152">
        <v>300</v>
      </c>
      <c r="D127" s="30" t="s">
        <v>12</v>
      </c>
      <c r="E127" s="253" t="s">
        <v>14</v>
      </c>
      <c r="F127" s="254"/>
      <c r="G127" s="254"/>
      <c r="H127" s="255"/>
      <c r="K127" s="51" t="s">
        <v>83</v>
      </c>
      <c r="L127" s="106">
        <v>0</v>
      </c>
      <c r="M127" s="63">
        <f>M121</f>
        <v>0.5</v>
      </c>
      <c r="N127" s="71">
        <f>L127*M127</f>
        <v>0</v>
      </c>
      <c r="P127" s="51" t="s">
        <v>83</v>
      </c>
      <c r="Q127" s="106">
        <v>0</v>
      </c>
      <c r="R127" s="63">
        <f>R123</f>
        <v>0.5</v>
      </c>
      <c r="S127" s="120">
        <f>Q127*R127</f>
        <v>0</v>
      </c>
      <c r="U127" s="51" t="s">
        <v>83</v>
      </c>
      <c r="V127" s="106">
        <v>0</v>
      </c>
      <c r="W127" s="63">
        <f>W123</f>
        <v>0.5</v>
      </c>
      <c r="X127" s="150">
        <f>V127*W127</f>
        <v>0</v>
      </c>
    </row>
    <row r="128" spans="1:31" x14ac:dyDescent="0.25">
      <c r="B128" s="2" t="s">
        <v>76</v>
      </c>
      <c r="C128" s="163">
        <f>C134*C136</f>
        <v>39.375000000000007</v>
      </c>
      <c r="D128" s="30" t="s">
        <v>50</v>
      </c>
      <c r="E128" s="253" t="s">
        <v>188</v>
      </c>
      <c r="F128" s="254"/>
      <c r="G128" s="254"/>
      <c r="H128" s="255"/>
      <c r="K128" s="51" t="s">
        <v>83</v>
      </c>
      <c r="L128" s="106">
        <v>0</v>
      </c>
      <c r="M128" s="63">
        <f t="shared" ref="M128" si="57">M122</f>
        <v>0.5</v>
      </c>
      <c r="N128" s="117">
        <f t="shared" ref="N128:N130" si="58">L128*M128</f>
        <v>0</v>
      </c>
      <c r="P128" s="51" t="s">
        <v>83</v>
      </c>
      <c r="Q128" s="106">
        <v>0</v>
      </c>
      <c r="R128" s="63">
        <f>R127</f>
        <v>0.5</v>
      </c>
      <c r="S128" s="120">
        <f t="shared" ref="S128:S131" si="59">Q128*R128</f>
        <v>0</v>
      </c>
      <c r="U128" s="51" t="s">
        <v>83</v>
      </c>
      <c r="V128" s="106">
        <v>0</v>
      </c>
      <c r="W128" s="63">
        <f>W127</f>
        <v>0.5</v>
      </c>
      <c r="X128" s="150">
        <f t="shared" ref="X128:X131" si="60">V128*W128</f>
        <v>0</v>
      </c>
    </row>
    <row r="129" spans="1:24" ht="14.45" customHeight="1" x14ac:dyDescent="0.25">
      <c r="B129" s="2" t="s">
        <v>71</v>
      </c>
      <c r="C129" s="122">
        <v>140</v>
      </c>
      <c r="D129" s="30" t="s">
        <v>50</v>
      </c>
      <c r="E129" s="253" t="s">
        <v>188</v>
      </c>
      <c r="F129" s="254"/>
      <c r="G129" s="254"/>
      <c r="H129" s="255"/>
      <c r="K129" s="99" t="s">
        <v>86</v>
      </c>
      <c r="L129" s="106">
        <v>0.03</v>
      </c>
      <c r="M129" s="63">
        <f>M128</f>
        <v>0.5</v>
      </c>
      <c r="N129" s="117">
        <f t="shared" si="58"/>
        <v>1.4999999999999999E-2</v>
      </c>
      <c r="P129" s="99" t="s">
        <v>86</v>
      </c>
      <c r="Q129" s="106">
        <v>0.04</v>
      </c>
      <c r="R129" s="63">
        <f t="shared" ref="R129:R130" si="61">R128</f>
        <v>0.5</v>
      </c>
      <c r="S129" s="120">
        <f t="shared" si="59"/>
        <v>0.02</v>
      </c>
      <c r="U129" s="99" t="s">
        <v>86</v>
      </c>
      <c r="V129" s="106">
        <v>0.08</v>
      </c>
      <c r="W129" s="63">
        <f t="shared" ref="W129:W130" si="62">W128</f>
        <v>0.5</v>
      </c>
      <c r="X129" s="150">
        <f t="shared" si="60"/>
        <v>0.04</v>
      </c>
    </row>
    <row r="130" spans="1:24" ht="14.45" customHeight="1" x14ac:dyDescent="0.25">
      <c r="B130" s="2" t="s">
        <v>39</v>
      </c>
      <c r="C130" s="122">
        <v>150</v>
      </c>
      <c r="D130" s="30" t="s">
        <v>50</v>
      </c>
      <c r="E130" s="253" t="s">
        <v>188</v>
      </c>
      <c r="F130" s="254"/>
      <c r="G130" s="254"/>
      <c r="H130" s="255"/>
      <c r="K130" s="99" t="s">
        <v>86</v>
      </c>
      <c r="L130" s="106">
        <v>0.1</v>
      </c>
      <c r="M130" s="63">
        <f>M129</f>
        <v>0.5</v>
      </c>
      <c r="N130" s="117">
        <f t="shared" si="58"/>
        <v>0.05</v>
      </c>
      <c r="P130" s="99" t="s">
        <v>86</v>
      </c>
      <c r="Q130" s="106">
        <v>0.12</v>
      </c>
      <c r="R130" s="63">
        <f t="shared" si="61"/>
        <v>0.5</v>
      </c>
      <c r="S130" s="120">
        <f t="shared" si="59"/>
        <v>0.06</v>
      </c>
      <c r="U130" s="99" t="s">
        <v>86</v>
      </c>
      <c r="V130" s="106">
        <v>0.15</v>
      </c>
      <c r="W130" s="63">
        <f t="shared" si="62"/>
        <v>0.5</v>
      </c>
      <c r="X130" s="150">
        <f t="shared" si="60"/>
        <v>7.4999999999999997E-2</v>
      </c>
    </row>
    <row r="131" spans="1:24" x14ac:dyDescent="0.25">
      <c r="B131" s="9" t="s">
        <v>18</v>
      </c>
      <c r="C131" s="111">
        <v>0.24</v>
      </c>
      <c r="D131" s="29" t="s">
        <v>19</v>
      </c>
      <c r="E131" s="256" t="s">
        <v>20</v>
      </c>
      <c r="F131" s="256"/>
      <c r="G131" s="256"/>
      <c r="H131" s="256"/>
      <c r="K131" s="51" t="s">
        <v>83</v>
      </c>
      <c r="L131" s="106">
        <v>0</v>
      </c>
      <c r="M131" s="63">
        <f>M130</f>
        <v>0.5</v>
      </c>
      <c r="N131" s="117">
        <f>L131*M131</f>
        <v>0</v>
      </c>
      <c r="P131" s="51" t="s">
        <v>83</v>
      </c>
      <c r="Q131" s="106">
        <v>0</v>
      </c>
      <c r="R131" s="63">
        <f>R130</f>
        <v>0.5</v>
      </c>
      <c r="S131" s="120">
        <f t="shared" si="59"/>
        <v>0</v>
      </c>
      <c r="U131" s="51" t="s">
        <v>83</v>
      </c>
      <c r="V131" s="106">
        <v>0</v>
      </c>
      <c r="W131" s="63">
        <f>W130</f>
        <v>0.5</v>
      </c>
      <c r="X131" s="150">
        <f t="shared" si="60"/>
        <v>0</v>
      </c>
    </row>
    <row r="132" spans="1:24" ht="28.9" customHeight="1" x14ac:dyDescent="0.25">
      <c r="B132" s="9"/>
      <c r="C132" s="144"/>
      <c r="D132" s="29"/>
      <c r="E132" s="257" t="s">
        <v>234</v>
      </c>
      <c r="F132" s="258"/>
      <c r="G132" s="258"/>
      <c r="H132" s="259"/>
      <c r="L132" s="78"/>
      <c r="M132" s="116"/>
      <c r="N132" s="153"/>
      <c r="O132" s="114"/>
      <c r="P132" s="114"/>
      <c r="Q132" s="78"/>
      <c r="R132" s="116"/>
      <c r="S132" s="154"/>
      <c r="T132" s="114"/>
      <c r="U132" s="114"/>
      <c r="V132" s="78"/>
      <c r="W132" s="116"/>
      <c r="X132" s="155"/>
    </row>
    <row r="133" spans="1:24" ht="18.600000000000001" customHeight="1" x14ac:dyDescent="0.25">
      <c r="B133" s="10"/>
      <c r="C133" s="68"/>
      <c r="D133" s="109"/>
      <c r="E133" s="110"/>
      <c r="F133" s="110"/>
      <c r="G133" s="110"/>
      <c r="H133" s="110"/>
      <c r="L133" s="78"/>
      <c r="M133" s="116"/>
      <c r="N133" s="153"/>
      <c r="O133" s="114"/>
      <c r="P133" s="114"/>
      <c r="Q133" s="78"/>
      <c r="R133" s="116"/>
      <c r="S133" s="154"/>
      <c r="T133" s="114"/>
      <c r="U133" s="114"/>
      <c r="V133" s="78"/>
      <c r="W133" s="116"/>
      <c r="X133" s="155"/>
    </row>
    <row r="134" spans="1:24" ht="13.9" customHeight="1" x14ac:dyDescent="0.25">
      <c r="B134" s="9" t="s">
        <v>172</v>
      </c>
      <c r="C134" s="162">
        <f>(Assumption_Nursery!C121*Assumption_Nursery!C13)/Assumption_Fattening!C13</f>
        <v>1125</v>
      </c>
      <c r="D134" s="29" t="s">
        <v>233</v>
      </c>
      <c r="E134" s="288"/>
      <c r="F134" s="288"/>
      <c r="G134" s="288"/>
      <c r="H134" s="288"/>
      <c r="I134" s="288"/>
      <c r="L134" s="78"/>
      <c r="M134" s="116"/>
      <c r="N134" s="153"/>
      <c r="O134" s="114"/>
      <c r="P134" s="114"/>
      <c r="Q134" s="78"/>
      <c r="R134" s="116"/>
      <c r="S134" s="154"/>
      <c r="T134" s="114"/>
      <c r="U134" s="114"/>
      <c r="V134" s="78"/>
      <c r="W134" s="116"/>
      <c r="X134" s="155"/>
    </row>
    <row r="135" spans="1:24" ht="12.6" customHeight="1" x14ac:dyDescent="0.25">
      <c r="B135" s="125" t="s">
        <v>174</v>
      </c>
      <c r="C135" s="160">
        <v>2</v>
      </c>
      <c r="D135" s="29" t="s">
        <v>17</v>
      </c>
      <c r="E135" s="288"/>
      <c r="F135" s="288"/>
      <c r="G135" s="288"/>
      <c r="H135" s="288"/>
      <c r="I135" s="288"/>
      <c r="L135" s="78"/>
      <c r="M135" s="116"/>
      <c r="N135" s="153"/>
      <c r="O135" s="114"/>
      <c r="P135" s="114"/>
      <c r="Q135" s="78"/>
      <c r="R135" s="116"/>
      <c r="S135" s="154"/>
      <c r="T135" s="114"/>
      <c r="U135" s="114"/>
      <c r="V135" s="78"/>
      <c r="W135" s="116"/>
      <c r="X135" s="155"/>
    </row>
    <row r="136" spans="1:24" ht="12.6" customHeight="1" x14ac:dyDescent="0.25">
      <c r="B136" s="9" t="s">
        <v>175</v>
      </c>
      <c r="C136" s="162">
        <f>Assumption_Nursery!C122</f>
        <v>3.5000000000000003E-2</v>
      </c>
      <c r="D136" s="29"/>
      <c r="E136" s="110"/>
      <c r="F136" s="110"/>
      <c r="G136" s="110"/>
      <c r="H136" s="110"/>
      <c r="L136" s="78"/>
      <c r="M136" s="116"/>
      <c r="N136" s="153"/>
      <c r="O136" s="114"/>
      <c r="P136" s="114"/>
      <c r="Q136" s="78"/>
      <c r="R136" s="116"/>
      <c r="S136" s="154"/>
      <c r="T136" s="114"/>
      <c r="U136" s="114"/>
      <c r="V136" s="78"/>
      <c r="W136" s="116"/>
      <c r="X136" s="155"/>
    </row>
    <row r="137" spans="1:24" ht="12.6" customHeight="1" x14ac:dyDescent="0.25">
      <c r="B137" s="10"/>
      <c r="C137" s="161"/>
      <c r="D137" s="109"/>
      <c r="E137" s="110"/>
      <c r="F137" s="110"/>
      <c r="G137" s="110"/>
      <c r="H137" s="110"/>
      <c r="L137" s="78"/>
      <c r="M137" s="116"/>
      <c r="N137" s="153"/>
      <c r="O137" s="114"/>
      <c r="P137" s="114"/>
      <c r="Q137" s="78"/>
      <c r="R137" s="116"/>
      <c r="S137" s="154"/>
      <c r="T137" s="114"/>
      <c r="U137" s="114"/>
      <c r="V137" s="78"/>
      <c r="W137" s="116"/>
      <c r="X137" s="155"/>
    </row>
    <row r="138" spans="1:24" ht="12.6" customHeight="1" x14ac:dyDescent="0.25">
      <c r="B138" s="10" t="s">
        <v>176</v>
      </c>
      <c r="F138" s="110"/>
      <c r="G138" s="110"/>
      <c r="H138" s="110"/>
      <c r="L138" s="78"/>
      <c r="M138" s="116"/>
      <c r="N138" s="153"/>
      <c r="O138" s="114"/>
      <c r="P138" s="114"/>
      <c r="Q138" s="78"/>
      <c r="R138" s="116"/>
      <c r="S138" s="154"/>
      <c r="T138" s="114"/>
      <c r="U138" s="114"/>
      <c r="V138" s="78"/>
      <c r="W138" s="116"/>
      <c r="X138" s="155"/>
    </row>
    <row r="139" spans="1:24" ht="12.6" customHeight="1" x14ac:dyDescent="0.25">
      <c r="B139" s="51"/>
      <c r="C139" s="70"/>
      <c r="D139" s="162" t="s">
        <v>84</v>
      </c>
      <c r="E139" s="29" t="s">
        <v>82</v>
      </c>
      <c r="F139" s="31" t="s">
        <v>85</v>
      </c>
      <c r="G139" s="110"/>
      <c r="H139" s="110"/>
      <c r="L139" s="78"/>
      <c r="M139" s="116"/>
      <c r="N139" s="153"/>
      <c r="O139" s="114"/>
      <c r="P139" s="114"/>
      <c r="Q139" s="78"/>
      <c r="R139" s="116"/>
      <c r="S139" s="154"/>
      <c r="T139" s="114"/>
      <c r="U139" s="114"/>
      <c r="V139" s="78"/>
      <c r="W139" s="116"/>
      <c r="X139" s="155"/>
    </row>
    <row r="140" spans="1:24" ht="12.6" customHeight="1" x14ac:dyDescent="0.25">
      <c r="B140" s="9" t="s">
        <v>177</v>
      </c>
      <c r="C140" s="106"/>
      <c r="D140" s="159">
        <v>0.65</v>
      </c>
      <c r="E140" s="159">
        <v>0.62</v>
      </c>
      <c r="F140" s="165">
        <v>0.55000000000000004</v>
      </c>
      <c r="G140" s="110"/>
      <c r="H140" s="110"/>
      <c r="L140" s="78"/>
      <c r="M140" s="116"/>
      <c r="N140" s="153"/>
      <c r="O140" s="114"/>
      <c r="P140" s="114"/>
      <c r="Q140" s="78"/>
      <c r="R140" s="116"/>
      <c r="S140" s="154"/>
      <c r="T140" s="114"/>
      <c r="U140" s="114"/>
      <c r="V140" s="78"/>
      <c r="W140" s="116"/>
      <c r="X140" s="155"/>
    </row>
    <row r="141" spans="1:24" ht="12.6" customHeight="1" x14ac:dyDescent="0.25">
      <c r="B141" s="10"/>
      <c r="C141" s="161"/>
      <c r="D141" s="109"/>
      <c r="E141" s="110"/>
      <c r="F141" s="110"/>
      <c r="G141" s="110"/>
      <c r="H141" s="110"/>
      <c r="L141" s="78"/>
      <c r="M141" s="116"/>
      <c r="N141" s="153"/>
      <c r="O141" s="114"/>
      <c r="P141" s="114"/>
      <c r="Q141" s="78"/>
      <c r="R141" s="116"/>
      <c r="S141" s="154"/>
      <c r="T141" s="114"/>
      <c r="U141" s="114"/>
      <c r="V141" s="78"/>
      <c r="W141" s="116"/>
      <c r="X141" s="155"/>
    </row>
    <row r="142" spans="1:24" ht="18.600000000000001" customHeight="1" x14ac:dyDescent="0.25">
      <c r="B142" s="10" t="s">
        <v>226</v>
      </c>
      <c r="C142" s="160">
        <v>10</v>
      </c>
      <c r="D142" s="109"/>
      <c r="E142" s="110"/>
      <c r="F142" s="110"/>
      <c r="G142" s="110"/>
      <c r="H142" s="110"/>
      <c r="L142" s="78"/>
      <c r="M142" s="116"/>
      <c r="N142" s="153"/>
      <c r="O142" s="114"/>
      <c r="P142" s="114"/>
      <c r="Q142" s="78"/>
      <c r="R142" s="116"/>
      <c r="S142" s="154"/>
      <c r="T142" s="114"/>
      <c r="U142" s="114"/>
      <c r="V142" s="78"/>
      <c r="W142" s="116"/>
      <c r="X142" s="155"/>
    </row>
    <row r="143" spans="1:24" x14ac:dyDescent="0.25">
      <c r="B143" s="10"/>
      <c r="C143" s="68"/>
      <c r="D143" s="109"/>
      <c r="E143" s="110"/>
      <c r="F143" s="110"/>
      <c r="G143" s="110"/>
      <c r="H143" s="110"/>
    </row>
    <row r="144" spans="1:24" x14ac:dyDescent="0.25">
      <c r="A144" s="70">
        <v>7</v>
      </c>
      <c r="B144" s="47" t="s">
        <v>192</v>
      </c>
      <c r="C144" s="100"/>
      <c r="D144" s="113"/>
      <c r="E144" s="113"/>
      <c r="F144" s="113"/>
      <c r="G144" s="113"/>
      <c r="H144" s="113"/>
      <c r="I144" s="113"/>
      <c r="J144" s="113"/>
      <c r="K144" s="113"/>
      <c r="L144" s="113"/>
      <c r="M144" s="113"/>
      <c r="N144" s="113"/>
      <c r="O144" s="113"/>
      <c r="P144" s="113"/>
      <c r="Q144" s="113"/>
      <c r="R144" s="113"/>
      <c r="S144" s="113"/>
      <c r="T144" s="113"/>
      <c r="U144" s="113"/>
      <c r="V144" s="113"/>
      <c r="W144" s="113"/>
      <c r="X144" s="113"/>
    </row>
    <row r="145" spans="2:29" x14ac:dyDescent="0.25">
      <c r="C145" s="100"/>
      <c r="D145" s="113"/>
      <c r="E145" s="113"/>
      <c r="F145" s="113"/>
      <c r="G145" s="113"/>
      <c r="H145" s="113"/>
      <c r="I145" s="113"/>
      <c r="J145" s="113"/>
      <c r="K145" s="113"/>
      <c r="L145" s="113"/>
      <c r="M145" s="113"/>
      <c r="N145" s="113"/>
      <c r="O145" s="113"/>
      <c r="P145" s="113"/>
      <c r="Q145" s="113"/>
      <c r="R145" s="113"/>
      <c r="S145" s="113"/>
      <c r="T145" s="113"/>
      <c r="U145" s="113"/>
      <c r="V145" s="113"/>
      <c r="W145" s="113"/>
      <c r="X145" s="113"/>
    </row>
    <row r="146" spans="2:29" x14ac:dyDescent="0.25">
      <c r="B146" s="18" t="s">
        <v>6</v>
      </c>
      <c r="C146" s="17" t="s">
        <v>22</v>
      </c>
      <c r="D146" s="17">
        <v>0</v>
      </c>
      <c r="E146" s="17">
        <v>1</v>
      </c>
      <c r="F146" s="17">
        <v>2</v>
      </c>
      <c r="G146" s="132">
        <v>3</v>
      </c>
      <c r="H146" s="17">
        <v>4</v>
      </c>
      <c r="I146" s="17">
        <v>5</v>
      </c>
      <c r="J146" s="132">
        <v>6</v>
      </c>
      <c r="K146" s="17">
        <v>7</v>
      </c>
      <c r="L146" s="17">
        <v>8</v>
      </c>
      <c r="M146" s="132">
        <v>9</v>
      </c>
      <c r="N146" s="17">
        <v>10</v>
      </c>
      <c r="O146" s="17">
        <v>11</v>
      </c>
      <c r="P146" s="132">
        <v>12</v>
      </c>
      <c r="Q146" s="17">
        <v>13</v>
      </c>
      <c r="R146" s="17">
        <v>14</v>
      </c>
      <c r="S146" s="132">
        <v>15</v>
      </c>
      <c r="T146" s="17">
        <v>16</v>
      </c>
      <c r="U146" s="17">
        <v>17</v>
      </c>
      <c r="V146" s="132">
        <v>18</v>
      </c>
      <c r="W146" s="17">
        <v>19</v>
      </c>
      <c r="X146" s="17">
        <v>20</v>
      </c>
      <c r="Y146" s="132">
        <v>21</v>
      </c>
      <c r="Z146" s="17">
        <v>22</v>
      </c>
      <c r="AA146" s="17">
        <v>23</v>
      </c>
      <c r="AB146" s="132">
        <v>24</v>
      </c>
      <c r="AC146" s="17">
        <v>25</v>
      </c>
    </row>
    <row r="147" spans="2:29" x14ac:dyDescent="0.25">
      <c r="B147" s="168" t="str">
        <f>B121</f>
        <v>Crab Production</v>
      </c>
      <c r="C147" s="70" t="str">
        <f>K121</f>
        <v>Decrease</v>
      </c>
      <c r="D147" s="128">
        <f>C121</f>
        <v>95.625</v>
      </c>
      <c r="E147" s="128">
        <f>D147</f>
        <v>95.625</v>
      </c>
      <c r="F147" s="128">
        <f>E147</f>
        <v>95.625</v>
      </c>
      <c r="G147" s="170">
        <f>F147*(1+$N121)</f>
        <v>78.890625</v>
      </c>
      <c r="H147" s="128">
        <f>E147</f>
        <v>95.625</v>
      </c>
      <c r="I147" s="128">
        <f t="shared" ref="I147" si="63">F147</f>
        <v>95.625</v>
      </c>
      <c r="J147" s="70">
        <f>I147*(1+$N121)</f>
        <v>78.890625</v>
      </c>
      <c r="K147" s="128">
        <f>H147</f>
        <v>95.625</v>
      </c>
      <c r="L147" s="128">
        <f>K147</f>
        <v>95.625</v>
      </c>
      <c r="M147" s="70">
        <f>L147*(1+$N121)</f>
        <v>78.890625</v>
      </c>
      <c r="N147" s="128">
        <f>K147</f>
        <v>95.625</v>
      </c>
      <c r="O147" s="128">
        <f t="shared" ref="O147" si="64">L147</f>
        <v>95.625</v>
      </c>
      <c r="P147" s="70">
        <f>O147*(1+$N121)</f>
        <v>78.890625</v>
      </c>
      <c r="Q147" s="128">
        <f>N147</f>
        <v>95.625</v>
      </c>
      <c r="R147" s="128">
        <f>O147</f>
        <v>95.625</v>
      </c>
      <c r="S147" s="70">
        <f>R147*(1+$N121)</f>
        <v>78.890625</v>
      </c>
      <c r="T147" s="128">
        <f>Q147</f>
        <v>95.625</v>
      </c>
      <c r="U147" s="128">
        <f>R147</f>
        <v>95.625</v>
      </c>
      <c r="V147" s="70">
        <f>U147*(1+$N121)</f>
        <v>78.890625</v>
      </c>
      <c r="W147" s="128">
        <f>T147</f>
        <v>95.625</v>
      </c>
      <c r="X147" s="128">
        <f>U147</f>
        <v>95.625</v>
      </c>
      <c r="Y147" s="70">
        <f>X147*(1+$N121)</f>
        <v>78.890625</v>
      </c>
      <c r="Z147" s="128">
        <f>W147</f>
        <v>95.625</v>
      </c>
      <c r="AA147" s="128">
        <f>X147</f>
        <v>95.625</v>
      </c>
      <c r="AB147" s="70">
        <f>AA147*(1+$N121)</f>
        <v>78.890625</v>
      </c>
      <c r="AC147" s="102">
        <f>AB147*(1+$N121)</f>
        <v>65.084765625000003</v>
      </c>
    </row>
    <row r="148" spans="2:29" x14ac:dyDescent="0.25">
      <c r="B148" s="118" t="str">
        <f>B122</f>
        <v>Price of Crab</v>
      </c>
      <c r="C148" s="70" t="str">
        <f>K122</f>
        <v>No change</v>
      </c>
      <c r="D148" s="129">
        <f>C122</f>
        <v>4.2</v>
      </c>
      <c r="E148" s="129">
        <f>D148</f>
        <v>4.2</v>
      </c>
      <c r="F148" s="129">
        <f t="shared" ref="F148:U149" si="65">E148</f>
        <v>4.2</v>
      </c>
      <c r="G148" s="129">
        <f t="shared" si="65"/>
        <v>4.2</v>
      </c>
      <c r="H148" s="129">
        <f t="shared" si="65"/>
        <v>4.2</v>
      </c>
      <c r="I148" s="129">
        <f t="shared" si="65"/>
        <v>4.2</v>
      </c>
      <c r="J148" s="129">
        <f t="shared" si="65"/>
        <v>4.2</v>
      </c>
      <c r="K148" s="129">
        <f t="shared" si="65"/>
        <v>4.2</v>
      </c>
      <c r="L148" s="129">
        <f t="shared" si="65"/>
        <v>4.2</v>
      </c>
      <c r="M148" s="129">
        <f t="shared" si="65"/>
        <v>4.2</v>
      </c>
      <c r="N148" s="129">
        <f t="shared" si="65"/>
        <v>4.2</v>
      </c>
      <c r="O148" s="129">
        <f t="shared" si="65"/>
        <v>4.2</v>
      </c>
      <c r="P148" s="129">
        <f t="shared" si="65"/>
        <v>4.2</v>
      </c>
      <c r="Q148" s="129">
        <f t="shared" si="65"/>
        <v>4.2</v>
      </c>
      <c r="R148" s="129">
        <f t="shared" si="65"/>
        <v>4.2</v>
      </c>
      <c r="S148" s="129">
        <f t="shared" si="65"/>
        <v>4.2</v>
      </c>
      <c r="T148" s="129">
        <f t="shared" si="65"/>
        <v>4.2</v>
      </c>
      <c r="U148" s="129">
        <f t="shared" si="65"/>
        <v>4.2</v>
      </c>
      <c r="V148" s="129">
        <f t="shared" ref="V148:AC149" si="66">U148</f>
        <v>4.2</v>
      </c>
      <c r="W148" s="129">
        <f t="shared" si="66"/>
        <v>4.2</v>
      </c>
      <c r="X148" s="129">
        <f t="shared" si="66"/>
        <v>4.2</v>
      </c>
      <c r="Y148" s="129">
        <f t="shared" si="66"/>
        <v>4.2</v>
      </c>
      <c r="Z148" s="129">
        <f t="shared" si="66"/>
        <v>4.2</v>
      </c>
      <c r="AA148" s="129">
        <f t="shared" si="66"/>
        <v>4.2</v>
      </c>
      <c r="AB148" s="129">
        <f t="shared" si="66"/>
        <v>4.2</v>
      </c>
      <c r="AC148" s="129">
        <f t="shared" si="66"/>
        <v>4.2</v>
      </c>
    </row>
    <row r="149" spans="2:29" x14ac:dyDescent="0.25">
      <c r="B149" s="118" t="str">
        <f>B123</f>
        <v>Change in Crab Price</v>
      </c>
      <c r="C149" s="70" t="str">
        <f>K123</f>
        <v>No change</v>
      </c>
      <c r="D149" s="63">
        <f>C123</f>
        <v>0.01</v>
      </c>
      <c r="E149" s="63">
        <f>D149</f>
        <v>0.01</v>
      </c>
      <c r="F149" s="63">
        <f>E149</f>
        <v>0.01</v>
      </c>
      <c r="G149" s="63">
        <f t="shared" si="65"/>
        <v>0.01</v>
      </c>
      <c r="H149" s="63">
        <f t="shared" si="65"/>
        <v>0.01</v>
      </c>
      <c r="I149" s="63">
        <f t="shared" si="65"/>
        <v>0.01</v>
      </c>
      <c r="J149" s="63">
        <f t="shared" si="65"/>
        <v>0.01</v>
      </c>
      <c r="K149" s="63">
        <f t="shared" si="65"/>
        <v>0.01</v>
      </c>
      <c r="L149" s="63">
        <f t="shared" si="65"/>
        <v>0.01</v>
      </c>
      <c r="M149" s="63">
        <f t="shared" si="65"/>
        <v>0.01</v>
      </c>
      <c r="N149" s="63">
        <f t="shared" si="65"/>
        <v>0.01</v>
      </c>
      <c r="O149" s="63">
        <f t="shared" si="65"/>
        <v>0.01</v>
      </c>
      <c r="P149" s="63">
        <f t="shared" si="65"/>
        <v>0.01</v>
      </c>
      <c r="Q149" s="63">
        <f t="shared" si="65"/>
        <v>0.01</v>
      </c>
      <c r="R149" s="63">
        <f t="shared" si="65"/>
        <v>0.01</v>
      </c>
      <c r="S149" s="63">
        <f t="shared" si="65"/>
        <v>0.01</v>
      </c>
      <c r="T149" s="63">
        <f t="shared" si="65"/>
        <v>0.01</v>
      </c>
      <c r="U149" s="63">
        <f t="shared" si="65"/>
        <v>0.01</v>
      </c>
      <c r="V149" s="63">
        <f t="shared" si="66"/>
        <v>0.01</v>
      </c>
      <c r="W149" s="63">
        <f t="shared" si="66"/>
        <v>0.01</v>
      </c>
      <c r="X149" s="63">
        <f t="shared" si="66"/>
        <v>0.01</v>
      </c>
      <c r="Y149" s="63">
        <f t="shared" si="66"/>
        <v>0.01</v>
      </c>
      <c r="Z149" s="63">
        <f t="shared" si="66"/>
        <v>0.01</v>
      </c>
      <c r="AA149" s="63">
        <f t="shared" si="66"/>
        <v>0.01</v>
      </c>
      <c r="AB149" s="63">
        <f t="shared" si="66"/>
        <v>0.01</v>
      </c>
      <c r="AC149" s="63">
        <f t="shared" si="66"/>
        <v>0.01</v>
      </c>
    </row>
    <row r="150" spans="2:29" x14ac:dyDescent="0.25">
      <c r="J150" s="137"/>
      <c r="M150" s="137"/>
      <c r="P150" s="137"/>
      <c r="S150" s="137"/>
      <c r="V150" s="137"/>
      <c r="Y150" s="137"/>
      <c r="AB150" s="137"/>
      <c r="AC150" s="137"/>
    </row>
    <row r="151" spans="2:29" x14ac:dyDescent="0.25">
      <c r="J151" s="137"/>
      <c r="M151" s="137"/>
      <c r="P151" s="137"/>
      <c r="S151" s="137"/>
      <c r="V151" s="137"/>
      <c r="Y151" s="137"/>
      <c r="AB151" s="137"/>
      <c r="AC151" s="137"/>
    </row>
    <row r="152" spans="2:29" x14ac:dyDescent="0.25">
      <c r="B152" s="18" t="s">
        <v>13</v>
      </c>
      <c r="C152" s="17" t="s">
        <v>22</v>
      </c>
      <c r="D152" s="17">
        <v>0</v>
      </c>
      <c r="E152" s="17">
        <v>1</v>
      </c>
      <c r="F152" s="17">
        <v>2</v>
      </c>
      <c r="G152" s="169">
        <v>3</v>
      </c>
      <c r="H152" s="17">
        <v>4</v>
      </c>
      <c r="I152" s="17">
        <v>5</v>
      </c>
      <c r="J152" s="132">
        <v>6</v>
      </c>
      <c r="K152" s="17">
        <v>7</v>
      </c>
      <c r="L152" s="17">
        <v>8</v>
      </c>
      <c r="M152" s="132">
        <v>9</v>
      </c>
      <c r="N152" s="17">
        <v>10</v>
      </c>
      <c r="O152" s="17">
        <v>11</v>
      </c>
      <c r="P152" s="132">
        <v>12</v>
      </c>
      <c r="Q152" s="17">
        <v>13</v>
      </c>
      <c r="R152" s="17">
        <v>14</v>
      </c>
      <c r="S152" s="132">
        <v>15</v>
      </c>
      <c r="T152" s="17">
        <v>16</v>
      </c>
      <c r="U152" s="17">
        <v>17</v>
      </c>
      <c r="V152" s="132">
        <v>18</v>
      </c>
      <c r="W152" s="17">
        <v>19</v>
      </c>
      <c r="X152" s="17">
        <v>20</v>
      </c>
      <c r="Y152" s="132">
        <v>21</v>
      </c>
      <c r="Z152" s="17">
        <v>22</v>
      </c>
      <c r="AA152" s="17">
        <v>23</v>
      </c>
      <c r="AB152" s="132">
        <v>24</v>
      </c>
      <c r="AC152" s="17">
        <v>25</v>
      </c>
    </row>
    <row r="153" spans="2:29" x14ac:dyDescent="0.25">
      <c r="B153" s="118" t="str">
        <f>B127</f>
        <v>Crab Farm Establishment</v>
      </c>
      <c r="C153" s="70" t="str">
        <f>K127</f>
        <v>No change</v>
      </c>
      <c r="D153" s="128">
        <f>C127</f>
        <v>300</v>
      </c>
      <c r="E153" s="128">
        <f t="shared" ref="E153:T157" si="67">D153</f>
        <v>300</v>
      </c>
      <c r="F153" s="128">
        <f t="shared" si="67"/>
        <v>300</v>
      </c>
      <c r="G153" s="128">
        <f t="shared" si="67"/>
        <v>300</v>
      </c>
      <c r="H153" s="128">
        <f t="shared" si="67"/>
        <v>300</v>
      </c>
      <c r="I153" s="128">
        <f t="shared" si="67"/>
        <v>300</v>
      </c>
      <c r="J153" s="128">
        <f t="shared" si="67"/>
        <v>300</v>
      </c>
      <c r="K153" s="128">
        <f t="shared" si="67"/>
        <v>300</v>
      </c>
      <c r="L153" s="128">
        <f t="shared" si="67"/>
        <v>300</v>
      </c>
      <c r="M153" s="128">
        <f t="shared" si="67"/>
        <v>300</v>
      </c>
      <c r="N153" s="128">
        <f t="shared" si="67"/>
        <v>300</v>
      </c>
      <c r="O153" s="128">
        <f t="shared" si="67"/>
        <v>300</v>
      </c>
      <c r="P153" s="128">
        <f t="shared" si="67"/>
        <v>300</v>
      </c>
      <c r="Q153" s="128">
        <f t="shared" si="67"/>
        <v>300</v>
      </c>
      <c r="R153" s="128">
        <f t="shared" si="67"/>
        <v>300</v>
      </c>
      <c r="S153" s="128">
        <f t="shared" si="67"/>
        <v>300</v>
      </c>
      <c r="T153" s="128">
        <f t="shared" si="67"/>
        <v>300</v>
      </c>
      <c r="U153" s="128">
        <f t="shared" ref="U153:AC154" si="68">T153</f>
        <v>300</v>
      </c>
      <c r="V153" s="128">
        <f t="shared" si="68"/>
        <v>300</v>
      </c>
      <c r="W153" s="128">
        <f t="shared" si="68"/>
        <v>300</v>
      </c>
      <c r="X153" s="128">
        <f t="shared" si="68"/>
        <v>300</v>
      </c>
      <c r="Y153" s="128">
        <f t="shared" si="68"/>
        <v>300</v>
      </c>
      <c r="Z153" s="128">
        <f t="shared" si="68"/>
        <v>300</v>
      </c>
      <c r="AA153" s="128">
        <f t="shared" si="68"/>
        <v>300</v>
      </c>
      <c r="AB153" s="128">
        <f t="shared" si="68"/>
        <v>300</v>
      </c>
      <c r="AC153" s="128">
        <f t="shared" si="68"/>
        <v>300</v>
      </c>
    </row>
    <row r="154" spans="2:29" x14ac:dyDescent="0.25">
      <c r="B154" s="118" t="str">
        <f>B128</f>
        <v>Operation Cost (Small crab purchase)</v>
      </c>
      <c r="C154" s="70" t="str">
        <f>K128</f>
        <v>No change</v>
      </c>
      <c r="D154" s="128">
        <f>C128</f>
        <v>39.375000000000007</v>
      </c>
      <c r="E154" s="128">
        <f t="shared" si="67"/>
        <v>39.375000000000007</v>
      </c>
      <c r="F154" s="128">
        <f t="shared" si="67"/>
        <v>39.375000000000007</v>
      </c>
      <c r="G154" s="128">
        <f t="shared" si="67"/>
        <v>39.375000000000007</v>
      </c>
      <c r="H154" s="128">
        <f t="shared" si="67"/>
        <v>39.375000000000007</v>
      </c>
      <c r="I154" s="128">
        <f t="shared" si="67"/>
        <v>39.375000000000007</v>
      </c>
      <c r="J154" s="128">
        <f t="shared" si="67"/>
        <v>39.375000000000007</v>
      </c>
      <c r="K154" s="128">
        <f t="shared" si="67"/>
        <v>39.375000000000007</v>
      </c>
      <c r="L154" s="128">
        <f t="shared" si="67"/>
        <v>39.375000000000007</v>
      </c>
      <c r="M154" s="128">
        <f t="shared" si="67"/>
        <v>39.375000000000007</v>
      </c>
      <c r="N154" s="128">
        <f t="shared" si="67"/>
        <v>39.375000000000007</v>
      </c>
      <c r="O154" s="128">
        <f t="shared" si="67"/>
        <v>39.375000000000007</v>
      </c>
      <c r="P154" s="128">
        <f t="shared" si="67"/>
        <v>39.375000000000007</v>
      </c>
      <c r="Q154" s="128">
        <f t="shared" si="67"/>
        <v>39.375000000000007</v>
      </c>
      <c r="R154" s="128">
        <f t="shared" si="67"/>
        <v>39.375000000000007</v>
      </c>
      <c r="S154" s="128">
        <f t="shared" si="67"/>
        <v>39.375000000000007</v>
      </c>
      <c r="T154" s="128">
        <f t="shared" si="67"/>
        <v>39.375000000000007</v>
      </c>
      <c r="U154" s="128">
        <f t="shared" si="68"/>
        <v>39.375000000000007</v>
      </c>
      <c r="V154" s="128">
        <f t="shared" si="68"/>
        <v>39.375000000000007</v>
      </c>
      <c r="W154" s="128">
        <f t="shared" si="68"/>
        <v>39.375000000000007</v>
      </c>
      <c r="X154" s="128">
        <f t="shared" si="68"/>
        <v>39.375000000000007</v>
      </c>
      <c r="Y154" s="128">
        <f t="shared" si="68"/>
        <v>39.375000000000007</v>
      </c>
      <c r="Z154" s="128">
        <f t="shared" si="68"/>
        <v>39.375000000000007</v>
      </c>
      <c r="AA154" s="128">
        <f t="shared" si="68"/>
        <v>39.375000000000007</v>
      </c>
      <c r="AB154" s="128">
        <f t="shared" si="68"/>
        <v>39.375000000000007</v>
      </c>
      <c r="AC154" s="128">
        <f t="shared" si="68"/>
        <v>39.375000000000007</v>
      </c>
    </row>
    <row r="155" spans="2:29" x14ac:dyDescent="0.25">
      <c r="B155" s="168" t="str">
        <f>B129</f>
        <v>Maintenance</v>
      </c>
      <c r="C155" s="70" t="str">
        <f>K129</f>
        <v>Increase</v>
      </c>
      <c r="D155" s="128">
        <f>C129</f>
        <v>140</v>
      </c>
      <c r="E155" s="128">
        <f t="shared" si="67"/>
        <v>140</v>
      </c>
      <c r="F155" s="128">
        <f t="shared" si="67"/>
        <v>140</v>
      </c>
      <c r="G155" s="170">
        <f>F155*(1+$N129)</f>
        <v>142.1</v>
      </c>
      <c r="H155" s="128">
        <f>F155</f>
        <v>140</v>
      </c>
      <c r="I155" s="128">
        <f>H155</f>
        <v>140</v>
      </c>
      <c r="J155" s="170">
        <f>I155*(1+$N129)</f>
        <v>142.1</v>
      </c>
      <c r="K155" s="128">
        <f>I155</f>
        <v>140</v>
      </c>
      <c r="L155" s="128">
        <f>K155</f>
        <v>140</v>
      </c>
      <c r="M155" s="170">
        <f>L155*(1+$N129)</f>
        <v>142.1</v>
      </c>
      <c r="N155" s="128">
        <f>L155</f>
        <v>140</v>
      </c>
      <c r="O155" s="128">
        <f>N155</f>
        <v>140</v>
      </c>
      <c r="P155" s="170">
        <f>O155*(1+$N129)</f>
        <v>142.1</v>
      </c>
      <c r="Q155" s="128">
        <f>O155</f>
        <v>140</v>
      </c>
      <c r="R155" s="128">
        <f>Q155</f>
        <v>140</v>
      </c>
      <c r="S155" s="170">
        <f>R155*(1+$N129)</f>
        <v>142.1</v>
      </c>
      <c r="T155" s="128">
        <f>R155</f>
        <v>140</v>
      </c>
      <c r="U155" s="128">
        <f>T155</f>
        <v>140</v>
      </c>
      <c r="V155" s="170">
        <f>U155*(1+$N129)</f>
        <v>142.1</v>
      </c>
      <c r="W155" s="128">
        <f>U155</f>
        <v>140</v>
      </c>
      <c r="X155" s="128">
        <f>W155</f>
        <v>140</v>
      </c>
      <c r="Y155" s="170">
        <f>X155*(1+$N129)</f>
        <v>142.1</v>
      </c>
      <c r="Z155" s="128">
        <f>X155</f>
        <v>140</v>
      </c>
      <c r="AA155" s="128">
        <f>Z155</f>
        <v>140</v>
      </c>
      <c r="AB155" s="170">
        <f>AA155*(1+$N129)</f>
        <v>142.1</v>
      </c>
      <c r="AC155" s="70">
        <f>AB155*(1+$N129)</f>
        <v>144.23149999999998</v>
      </c>
    </row>
    <row r="156" spans="2:29" x14ac:dyDescent="0.25">
      <c r="B156" s="168" t="str">
        <f>B130</f>
        <v>Feed</v>
      </c>
      <c r="C156" s="70" t="str">
        <f>K130</f>
        <v>Increase</v>
      </c>
      <c r="D156" s="128">
        <f>C130</f>
        <v>150</v>
      </c>
      <c r="E156" s="128">
        <f t="shared" si="67"/>
        <v>150</v>
      </c>
      <c r="F156" s="128">
        <f t="shared" si="67"/>
        <v>150</v>
      </c>
      <c r="G156" s="170">
        <f>F156*(1+$N130)</f>
        <v>157.5</v>
      </c>
      <c r="H156" s="128">
        <f t="shared" ref="H156" si="69">F156</f>
        <v>150</v>
      </c>
      <c r="I156" s="128">
        <f t="shared" ref="I156" si="70">H156</f>
        <v>150</v>
      </c>
      <c r="J156" s="170">
        <f>I156*(1+$N130)</f>
        <v>157.5</v>
      </c>
      <c r="K156" s="128">
        <f t="shared" ref="K156" si="71">I156</f>
        <v>150</v>
      </c>
      <c r="L156" s="128">
        <f t="shared" ref="L156" si="72">K156</f>
        <v>150</v>
      </c>
      <c r="M156" s="170">
        <f>L156*(1+$N130)</f>
        <v>157.5</v>
      </c>
      <c r="N156" s="128">
        <f t="shared" ref="N156" si="73">L156</f>
        <v>150</v>
      </c>
      <c r="O156" s="128">
        <f t="shared" ref="O156" si="74">N156</f>
        <v>150</v>
      </c>
      <c r="P156" s="170">
        <f>O156*(1+$N130)</f>
        <v>157.5</v>
      </c>
      <c r="Q156" s="128">
        <f t="shared" ref="Q156" si="75">O156</f>
        <v>150</v>
      </c>
      <c r="R156" s="128">
        <f t="shared" ref="R156" si="76">Q156</f>
        <v>150</v>
      </c>
      <c r="S156" s="170">
        <f>R156*(1+$N130)</f>
        <v>157.5</v>
      </c>
      <c r="T156" s="128">
        <f t="shared" ref="T156" si="77">R156</f>
        <v>150</v>
      </c>
      <c r="U156" s="128">
        <f t="shared" ref="U156:AC157" si="78">T156</f>
        <v>150</v>
      </c>
      <c r="V156" s="170">
        <f>U156*(1+$N130)</f>
        <v>157.5</v>
      </c>
      <c r="W156" s="128">
        <f t="shared" ref="W156" si="79">U156</f>
        <v>150</v>
      </c>
      <c r="X156" s="128">
        <f t="shared" ref="X156" si="80">W156</f>
        <v>150</v>
      </c>
      <c r="Y156" s="170">
        <f>X156*(1+$N130)</f>
        <v>157.5</v>
      </c>
      <c r="Z156" s="128">
        <f t="shared" ref="Z156" si="81">X156</f>
        <v>150</v>
      </c>
      <c r="AA156" s="128">
        <f t="shared" ref="AA156" si="82">Z156</f>
        <v>150</v>
      </c>
      <c r="AB156" s="170">
        <f>AA156*(1+$N130)</f>
        <v>157.5</v>
      </c>
      <c r="AC156" s="70">
        <f>AB156*(1+$N130)</f>
        <v>165.375</v>
      </c>
    </row>
    <row r="157" spans="2:29" x14ac:dyDescent="0.25">
      <c r="B157" s="171" t="str">
        <f>B131</f>
        <v>Interest Rate (Capital Cost)</v>
      </c>
      <c r="C157" s="70" t="str">
        <f>K131</f>
        <v>No change</v>
      </c>
      <c r="D157" s="63">
        <f>C131</f>
        <v>0.24</v>
      </c>
      <c r="E157" s="71">
        <f t="shared" si="67"/>
        <v>0.24</v>
      </c>
      <c r="F157" s="71">
        <f t="shared" si="67"/>
        <v>0.24</v>
      </c>
      <c r="G157" s="71">
        <f t="shared" si="67"/>
        <v>0.24</v>
      </c>
      <c r="H157" s="71">
        <f t="shared" si="67"/>
        <v>0.24</v>
      </c>
      <c r="I157" s="71">
        <f t="shared" si="67"/>
        <v>0.24</v>
      </c>
      <c r="J157" s="71">
        <f t="shared" si="67"/>
        <v>0.24</v>
      </c>
      <c r="K157" s="71">
        <f t="shared" si="67"/>
        <v>0.24</v>
      </c>
      <c r="L157" s="71">
        <f t="shared" si="67"/>
        <v>0.24</v>
      </c>
      <c r="M157" s="71">
        <f t="shared" si="67"/>
        <v>0.24</v>
      </c>
      <c r="N157" s="71">
        <f t="shared" si="67"/>
        <v>0.24</v>
      </c>
      <c r="O157" s="71">
        <f t="shared" si="67"/>
        <v>0.24</v>
      </c>
      <c r="P157" s="71">
        <f t="shared" si="67"/>
        <v>0.24</v>
      </c>
      <c r="Q157" s="71">
        <f t="shared" si="67"/>
        <v>0.24</v>
      </c>
      <c r="R157" s="71">
        <f t="shared" si="67"/>
        <v>0.24</v>
      </c>
      <c r="S157" s="71">
        <f t="shared" si="67"/>
        <v>0.24</v>
      </c>
      <c r="T157" s="71">
        <f t="shared" si="67"/>
        <v>0.24</v>
      </c>
      <c r="U157" s="71">
        <f t="shared" si="78"/>
        <v>0.24</v>
      </c>
      <c r="V157" s="71">
        <f t="shared" si="78"/>
        <v>0.24</v>
      </c>
      <c r="W157" s="71">
        <f t="shared" si="78"/>
        <v>0.24</v>
      </c>
      <c r="X157" s="71">
        <f t="shared" si="78"/>
        <v>0.24</v>
      </c>
      <c r="Y157" s="71">
        <f t="shared" si="78"/>
        <v>0.24</v>
      </c>
      <c r="Z157" s="71">
        <f t="shared" si="78"/>
        <v>0.24</v>
      </c>
      <c r="AA157" s="71">
        <f t="shared" si="78"/>
        <v>0.24</v>
      </c>
      <c r="AB157" s="71">
        <f t="shared" si="78"/>
        <v>0.24</v>
      </c>
      <c r="AC157" s="71">
        <f t="shared" si="78"/>
        <v>0.24</v>
      </c>
    </row>
    <row r="158" spans="2:29" x14ac:dyDescent="0.25">
      <c r="G158" s="137"/>
      <c r="J158" s="137"/>
      <c r="M158" s="137"/>
      <c r="P158" s="137"/>
      <c r="S158" s="137"/>
      <c r="V158" s="137"/>
      <c r="Y158" s="137"/>
      <c r="AB158" s="137"/>
      <c r="AC158" s="137"/>
    </row>
    <row r="159" spans="2:29" x14ac:dyDescent="0.25">
      <c r="G159" s="137"/>
    </row>
    <row r="160" spans="2:29" x14ac:dyDescent="0.25">
      <c r="G160" s="137"/>
    </row>
  </sheetData>
  <mergeCells count="24">
    <mergeCell ref="E134:I135"/>
    <mergeCell ref="E128:H128"/>
    <mergeCell ref="E129:H129"/>
    <mergeCell ref="E130:H130"/>
    <mergeCell ref="E131:H131"/>
    <mergeCell ref="E132:H132"/>
    <mergeCell ref="E127:H127"/>
    <mergeCell ref="K118:N118"/>
    <mergeCell ref="P118:S118"/>
    <mergeCell ref="U118:X118"/>
    <mergeCell ref="K119:N119"/>
    <mergeCell ref="P119:S119"/>
    <mergeCell ref="U119:X119"/>
    <mergeCell ref="E120:H120"/>
    <mergeCell ref="E121:H121"/>
    <mergeCell ref="E122:H122"/>
    <mergeCell ref="E123:H123"/>
    <mergeCell ref="E126:H126"/>
    <mergeCell ref="C105:F105"/>
    <mergeCell ref="B3:E3"/>
    <mergeCell ref="B22:H22"/>
    <mergeCell ref="B23:J23"/>
    <mergeCell ref="C79:F79"/>
    <mergeCell ref="C93:F9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2:AA80"/>
  <sheetViews>
    <sheetView showGridLines="0" topLeftCell="G54" zoomScale="85" zoomScaleNormal="85" workbookViewId="0">
      <selection activeCell="I80" sqref="I80"/>
    </sheetView>
  </sheetViews>
  <sheetFormatPr defaultColWidth="9" defaultRowHeight="15" x14ac:dyDescent="0.25"/>
  <cols>
    <col min="1" max="1" width="40.7109375" style="10" customWidth="1"/>
    <col min="2" max="2" width="18.28515625" style="28" customWidth="1"/>
    <col min="3" max="3" width="13" style="28" customWidth="1"/>
    <col min="4" max="4" width="17" style="28" customWidth="1"/>
    <col min="5" max="5" width="14.7109375" style="28" customWidth="1"/>
    <col min="6" max="6" width="14.5703125" style="28" customWidth="1"/>
    <col min="7" max="7" width="14.28515625" style="28" customWidth="1"/>
    <col min="8" max="8" width="15.28515625" style="28" customWidth="1"/>
    <col min="9" max="9" width="14.28515625" style="28" customWidth="1"/>
    <col min="10" max="10" width="16.42578125" style="28" customWidth="1"/>
    <col min="11" max="11" width="15" style="28" customWidth="1"/>
    <col min="12" max="12" width="15.140625" style="28" customWidth="1"/>
    <col min="13" max="23" width="13.7109375" style="3" customWidth="1"/>
    <col min="24" max="24" width="15.7109375" style="3" customWidth="1"/>
    <col min="25" max="25" width="13.7109375" style="3" customWidth="1"/>
    <col min="26" max="26" width="15.42578125" style="3" customWidth="1"/>
    <col min="27" max="27" width="14.7109375" style="3" customWidth="1"/>
    <col min="28" max="16384" width="9" style="3"/>
  </cols>
  <sheetData>
    <row r="2" spans="1:27" ht="38.25" customHeight="1" x14ac:dyDescent="0.25">
      <c r="A2" s="11" t="s">
        <v>190</v>
      </c>
      <c r="B2" s="32"/>
      <c r="C2" s="76"/>
      <c r="D2" s="77"/>
      <c r="E2" s="32"/>
      <c r="F2" s="126" t="s">
        <v>106</v>
      </c>
      <c r="G2" s="32"/>
      <c r="H2" s="32"/>
      <c r="I2" s="32"/>
      <c r="J2" s="32"/>
      <c r="K2" s="32"/>
      <c r="L2" s="32"/>
      <c r="M2" s="11"/>
    </row>
    <row r="3" spans="1:27" ht="15" customHeight="1" x14ac:dyDescent="0.25">
      <c r="A3" s="23"/>
      <c r="B3" s="32"/>
      <c r="C3" s="32"/>
      <c r="D3" s="32"/>
      <c r="E3" s="32"/>
      <c r="F3" s="32"/>
      <c r="G3" s="32"/>
      <c r="H3" s="32"/>
      <c r="I3" s="32"/>
      <c r="J3" s="32"/>
      <c r="K3" s="32"/>
      <c r="L3" s="32"/>
      <c r="M3" s="11"/>
    </row>
    <row r="4" spans="1:27" x14ac:dyDescent="0.25">
      <c r="A4" s="10" t="s">
        <v>22</v>
      </c>
      <c r="B4" s="28">
        <v>0</v>
      </c>
      <c r="C4" s="28">
        <v>1</v>
      </c>
      <c r="D4" s="28">
        <v>2</v>
      </c>
      <c r="E4" s="28">
        <v>3</v>
      </c>
      <c r="F4" s="28">
        <v>4</v>
      </c>
      <c r="G4" s="28">
        <v>5</v>
      </c>
      <c r="H4" s="28">
        <v>6</v>
      </c>
      <c r="I4" s="28">
        <v>7</v>
      </c>
      <c r="J4" s="28">
        <v>8</v>
      </c>
      <c r="K4" s="28">
        <v>9</v>
      </c>
      <c r="L4" s="28">
        <v>10</v>
      </c>
      <c r="M4" s="28">
        <v>11</v>
      </c>
      <c r="N4" s="28">
        <v>12</v>
      </c>
      <c r="O4" s="28">
        <v>13</v>
      </c>
      <c r="P4" s="28">
        <v>14</v>
      </c>
      <c r="Q4" s="28">
        <v>15</v>
      </c>
      <c r="R4" s="28">
        <v>16</v>
      </c>
      <c r="S4" s="28">
        <v>17</v>
      </c>
      <c r="T4" s="28">
        <v>18</v>
      </c>
      <c r="U4" s="28">
        <v>19</v>
      </c>
      <c r="V4" s="28">
        <v>20</v>
      </c>
      <c r="W4" s="28">
        <v>21</v>
      </c>
      <c r="X4" s="28">
        <v>22</v>
      </c>
      <c r="Y4" s="28">
        <v>23</v>
      </c>
      <c r="Z4" s="28">
        <v>24</v>
      </c>
      <c r="AA4" s="28">
        <v>25</v>
      </c>
    </row>
    <row r="5" spans="1:27" x14ac:dyDescent="0.25">
      <c r="A5" s="24" t="s">
        <v>23</v>
      </c>
    </row>
    <row r="6" spans="1:27" x14ac:dyDescent="0.25">
      <c r="A6" s="10" t="s">
        <v>191</v>
      </c>
      <c r="B6" s="33">
        <f>Assumption_Fattening!D18*Assumption_Fattening!D147*Assumption_Fattening!D148*(1+Assumption_Fattening!D149)^Assumption_Fattening!D146</f>
        <v>0</v>
      </c>
      <c r="C6" s="33">
        <f>Assumption_Fattening!E18*Assumption_Fattening!E147*Assumption_Fattening!E148*(1+Assumption_Fattening!E149)^Assumption_Fattening!E146</f>
        <v>1216923.75</v>
      </c>
      <c r="D6" s="33">
        <f>Assumption_Fattening!F18*Assumption_Fattening!F147*Assumption_Fattening!F148*(1+Assumption_Fattening!F149)^Assumption_Fattening!F146</f>
        <v>4096976.625</v>
      </c>
      <c r="E6" s="33">
        <f>Assumption_Fattening!G18*Assumption_Fattening!G147*Assumption_Fattening!G148*(1+Assumption_Fattening!G149)^Assumption_Fattening!G146</f>
        <v>5803469.8137281248</v>
      </c>
      <c r="F6" s="33">
        <f>Assumption_Fattening!H18*Assumption_Fattening!H147*Assumption_Fattening!H148*(1+Assumption_Fattening!H149)^Assumption_Fattening!H146</f>
        <v>7940719.1248087501</v>
      </c>
      <c r="G6" s="33">
        <f>Assumption_Fattening!I18*Assumption_Fattening!I147*Assumption_Fattening!I148*(1+Assumption_Fattening!I149)^Assumption_Fattening!I146</f>
        <v>8442238.22742825</v>
      </c>
      <c r="H6" s="33">
        <f>Assumption_Fattening!J18*Assumption_Fattening!J147*Assumption_Fattening!J148*(1+Assumption_Fattening!J149)^Assumption_Fattening!J146</f>
        <v>7034495.00300459</v>
      </c>
      <c r="I6" s="33">
        <f>Assumption_Fattening!K18*Assumption_Fattening!K147*Assumption_Fattening!K148*(1+Assumption_Fattening!K149)^Assumption_Fattening!K146</f>
        <v>8611927.215799557</v>
      </c>
      <c r="J6" s="33">
        <f>Assumption_Fattening!L18*Assumption_Fattening!L147*Assumption_Fattening!L148*(1+Assumption_Fattening!L149)^Assumption_Fattening!L146</f>
        <v>8698046.4879575539</v>
      </c>
      <c r="K6" s="33">
        <f>Assumption_Fattening!M18*Assumption_Fattening!M147*Assumption_Fattening!M148*(1+Assumption_Fattening!M149)^Assumption_Fattening!M146</f>
        <v>7247647.2360906331</v>
      </c>
      <c r="L6" s="33">
        <f>Assumption_Fattening!N18*Assumption_Fattening!N147*Assumption_Fattening!N148*(1+Assumption_Fattening!N149)^Assumption_Fattening!N146</f>
        <v>8872877.2223655023</v>
      </c>
      <c r="M6" s="33">
        <f>Assumption_Fattening!O18*Assumption_Fattening!O147*Assumption_Fattening!O148*(1+Assumption_Fattening!O149)^Assumption_Fattening!O146</f>
        <v>8961605.9945891555</v>
      </c>
      <c r="N6" s="33">
        <f>Assumption_Fattening!P18*Assumption_Fattening!P147*Assumption_Fattening!P148*(1+Assumption_Fattening!P149)^Assumption_Fattening!P146</f>
        <v>7467258.1949914135</v>
      </c>
      <c r="O6" s="33">
        <f>Assumption_Fattening!Q18*Assumption_Fattening!Q147*Assumption_Fattening!Q148*(1+Assumption_Fattening!Q149)^Assumption_Fattening!Q146</f>
        <v>9141734.2750803977</v>
      </c>
      <c r="P6" s="33">
        <f>Assumption_Fattening!R18*Assumption_Fattening!R147*Assumption_Fattening!R148*(1+Assumption_Fattening!R149)^Assumption_Fattening!R146</f>
        <v>9233151.6178312041</v>
      </c>
      <c r="Q6" s="33">
        <f>Assumption_Fattening!S18*Assumption_Fattening!S147*Assumption_Fattening!S148*(1+Assumption_Fattening!S149)^Assumption_Fattening!S146</f>
        <v>7693523.5855578482</v>
      </c>
      <c r="R6" s="33">
        <f>Assumption_Fattening!T18*Assumption_Fattening!T147*Assumption_Fattening!T148*(1+Assumption_Fattening!T149)^Assumption_Fattening!T146</f>
        <v>9418737.9653496109</v>
      </c>
      <c r="S6" s="33">
        <f>Assumption_Fattening!U18*Assumption_Fattening!U147*Assumption_Fattening!U148*(1+Assumption_Fattening!U149)^Assumption_Fattening!U146</f>
        <v>9512925.3450031076</v>
      </c>
      <c r="T6" s="33">
        <f>Assumption_Fattening!V18*Assumption_Fattening!V147*Assumption_Fattening!V148*(1+Assumption_Fattening!V149)^Assumption_Fattening!V146</f>
        <v>7926645.0437238393</v>
      </c>
      <c r="U6" s="33">
        <f>Assumption_Fattening!W18*Assumption_Fattening!W147*Assumption_Fattening!W148*(1+Assumption_Fattening!W149)^Assumption_Fattening!W146</f>
        <v>9704135.144437667</v>
      </c>
      <c r="V6" s="33">
        <f>Assumption_Fattening!X18*Assumption_Fattening!X147*Assumption_Fattening!X148*(1+Assumption_Fattening!X149)^Assumption_Fattening!X146</f>
        <v>9801176.4958820455</v>
      </c>
      <c r="W6" s="33">
        <f>Assumption_Fattening!Y18*Assumption_Fattening!Y147*Assumption_Fattening!Y148*(1+Assumption_Fattening!Y149)^Assumption_Fattening!Y146</f>
        <v>6941805.7679146565</v>
      </c>
      <c r="X6" s="33">
        <f>Assumption_Fattening!Z18*Assumption_Fattening!Z147*Assumption_Fattening!Z148*(1+Assumption_Fattening!Z149)^Assumption_Fattening!Z146</f>
        <v>4999090.0717246383</v>
      </c>
      <c r="Y6" s="33">
        <f>Assumption_Fattening!AA18*Assumption_Fattening!AA147*Assumption_Fattening!AA148*(1+Assumption_Fattening!AA149)^Assumption_Fattening!AA146</f>
        <v>1514724.291732565</v>
      </c>
      <c r="Z6" s="33">
        <f>Assumption_Fattening!AB18*Assumption_Fattening!AB147*Assumption_Fattening!AB148*(1+Assumption_Fattening!AB149)^Assumption_Fattening!AB146</f>
        <v>420714.67202872003</v>
      </c>
      <c r="AA6" s="33">
        <f>Assumption_Fattening!AC18*Assumption_Fattening!AC147*Assumption_Fattening!AC148*(1+Assumption_Fattening!AC149)^Assumption_Fattening!AC146</f>
        <v>0</v>
      </c>
    </row>
    <row r="7" spans="1:27" s="13" customFormat="1" x14ac:dyDescent="0.25">
      <c r="A7" s="24" t="s">
        <v>58</v>
      </c>
      <c r="B7" s="41">
        <f>B6</f>
        <v>0</v>
      </c>
      <c r="C7" s="41">
        <f t="shared" ref="C7:AA7" si="0">C6</f>
        <v>1216923.75</v>
      </c>
      <c r="D7" s="41">
        <f t="shared" si="0"/>
        <v>4096976.625</v>
      </c>
      <c r="E7" s="41">
        <f t="shared" si="0"/>
        <v>5803469.8137281248</v>
      </c>
      <c r="F7" s="41">
        <f t="shared" si="0"/>
        <v>7940719.1248087501</v>
      </c>
      <c r="G7" s="41">
        <f t="shared" si="0"/>
        <v>8442238.22742825</v>
      </c>
      <c r="H7" s="41">
        <f t="shared" si="0"/>
        <v>7034495.00300459</v>
      </c>
      <c r="I7" s="41">
        <f t="shared" si="0"/>
        <v>8611927.215799557</v>
      </c>
      <c r="J7" s="41">
        <f t="shared" si="0"/>
        <v>8698046.4879575539</v>
      </c>
      <c r="K7" s="41">
        <f t="shared" si="0"/>
        <v>7247647.2360906331</v>
      </c>
      <c r="L7" s="41">
        <f t="shared" si="0"/>
        <v>8872877.2223655023</v>
      </c>
      <c r="M7" s="41">
        <f t="shared" si="0"/>
        <v>8961605.9945891555</v>
      </c>
      <c r="N7" s="41">
        <f t="shared" si="0"/>
        <v>7467258.1949914135</v>
      </c>
      <c r="O7" s="41">
        <f t="shared" si="0"/>
        <v>9141734.2750803977</v>
      </c>
      <c r="P7" s="41">
        <f t="shared" si="0"/>
        <v>9233151.6178312041</v>
      </c>
      <c r="Q7" s="41">
        <f t="shared" si="0"/>
        <v>7693523.5855578482</v>
      </c>
      <c r="R7" s="41">
        <f t="shared" si="0"/>
        <v>9418737.9653496109</v>
      </c>
      <c r="S7" s="41">
        <f t="shared" si="0"/>
        <v>9512925.3450031076</v>
      </c>
      <c r="T7" s="41">
        <f t="shared" si="0"/>
        <v>7926645.0437238393</v>
      </c>
      <c r="U7" s="41">
        <f t="shared" si="0"/>
        <v>9704135.144437667</v>
      </c>
      <c r="V7" s="41">
        <f t="shared" si="0"/>
        <v>9801176.4958820455</v>
      </c>
      <c r="W7" s="41">
        <f t="shared" si="0"/>
        <v>6941805.7679146565</v>
      </c>
      <c r="X7" s="41">
        <f t="shared" si="0"/>
        <v>4999090.0717246383</v>
      </c>
      <c r="Y7" s="41">
        <f t="shared" si="0"/>
        <v>1514724.291732565</v>
      </c>
      <c r="Z7" s="41">
        <f t="shared" si="0"/>
        <v>420714.67202872003</v>
      </c>
      <c r="AA7" s="41">
        <f t="shared" si="0"/>
        <v>0</v>
      </c>
    </row>
    <row r="8" spans="1:27" x14ac:dyDescent="0.25">
      <c r="A8" s="24"/>
      <c r="B8" s="44"/>
      <c r="C8" s="44"/>
      <c r="D8" s="44"/>
      <c r="E8" s="44"/>
      <c r="F8" s="44"/>
      <c r="G8" s="44"/>
      <c r="H8" s="44"/>
      <c r="I8" s="44"/>
      <c r="J8" s="44"/>
      <c r="K8" s="44"/>
    </row>
    <row r="9" spans="1:27" x14ac:dyDescent="0.25">
      <c r="A9" s="24" t="s">
        <v>24</v>
      </c>
    </row>
    <row r="10" spans="1:27" x14ac:dyDescent="0.25">
      <c r="A10" s="9" t="str">
        <f>Assumption_Fattening!B153</f>
        <v>Crab Farm Establishment</v>
      </c>
      <c r="B10" s="35">
        <f>Assumption_Fattening!D153*Assumption_Fattening!D16</f>
        <v>0</v>
      </c>
      <c r="C10" s="35">
        <f>Assumption_Fattening!E153*Assumption_Fattening!E16</f>
        <v>900000</v>
      </c>
      <c r="D10" s="35">
        <f>Assumption_Fattening!F153*Assumption_Fattening!F16</f>
        <v>2100000</v>
      </c>
      <c r="E10" s="35">
        <f>Assumption_Fattening!G153*Assumption_Fattening!G16</f>
        <v>2100000</v>
      </c>
      <c r="F10" s="35">
        <f>Assumption_Fattening!H153*Assumption_Fattening!H16</f>
        <v>600000</v>
      </c>
      <c r="G10" s="35">
        <f>Assumption_Fattening!I153*Assumption_Fattening!I16</f>
        <v>300000</v>
      </c>
      <c r="H10" s="35">
        <f>Assumption_Fattening!J153*Assumption_Fattening!J16</f>
        <v>0</v>
      </c>
      <c r="I10" s="35">
        <f>Assumption_Fattening!K153*Assumption_Fattening!K16</f>
        <v>0</v>
      </c>
      <c r="J10" s="35">
        <f>Assumption_Fattening!L153*Assumption_Fattening!L16</f>
        <v>0</v>
      </c>
      <c r="K10" s="35">
        <f>Assumption_Fattening!M153*Assumption_Fattening!M16</f>
        <v>0</v>
      </c>
      <c r="L10" s="35">
        <f>Assumption_Fattening!N153*Assumption_Fattening!N16</f>
        <v>0</v>
      </c>
      <c r="M10" s="35">
        <f>Assumption_Fattening!O153*Assumption_Fattening!O16</f>
        <v>0</v>
      </c>
      <c r="N10" s="35">
        <f>Assumption_Fattening!P153*Assumption_Fattening!P16</f>
        <v>0</v>
      </c>
      <c r="O10" s="35">
        <f>Assumption_Fattening!Q153*Assumption_Fattening!Q16</f>
        <v>0</v>
      </c>
      <c r="P10" s="35">
        <f>Assumption_Fattening!R153*Assumption_Fattening!R16</f>
        <v>0</v>
      </c>
      <c r="Q10" s="35">
        <f>Assumption_Fattening!S153*Assumption_Fattening!S16</f>
        <v>0</v>
      </c>
      <c r="R10" s="35">
        <f>Assumption_Fattening!T153*Assumption_Fattening!T16</f>
        <v>0</v>
      </c>
      <c r="S10" s="35">
        <f>Assumption_Fattening!U153*Assumption_Fattening!U16</f>
        <v>0</v>
      </c>
      <c r="T10" s="35">
        <f>Assumption_Fattening!V153*Assumption_Fattening!V16</f>
        <v>0</v>
      </c>
      <c r="U10" s="35">
        <f>Assumption_Fattening!W153*Assumption_Fattening!W16</f>
        <v>0</v>
      </c>
      <c r="V10" s="35">
        <f>Assumption_Fattening!X153*Assumption_Fattening!X16</f>
        <v>0</v>
      </c>
      <c r="W10" s="35">
        <f>Assumption_Fattening!Y153*Assumption_Fattening!Y16</f>
        <v>0</v>
      </c>
      <c r="X10" s="35">
        <f>Assumption_Fattening!Z153*Assumption_Fattening!Z16</f>
        <v>0</v>
      </c>
      <c r="Y10" s="35">
        <f>Assumption_Fattening!AA153*Assumption_Fattening!AA16</f>
        <v>0</v>
      </c>
      <c r="Z10" s="35">
        <f>Assumption_Fattening!AB153*Assumption_Fattening!AB16</f>
        <v>0</v>
      </c>
      <c r="AA10" s="35">
        <f>Assumption_Fattening!AC153*Assumption_Fattening!AC16</f>
        <v>0</v>
      </c>
    </row>
    <row r="11" spans="1:27" x14ac:dyDescent="0.25">
      <c r="A11" s="9" t="str">
        <f>Assumption_Fattening!B154</f>
        <v>Operation Cost (Small crab purchase)</v>
      </c>
      <c r="B11" s="35">
        <f>Assumption_Fattening!D18*Assumption_Fattening!D154</f>
        <v>0</v>
      </c>
      <c r="C11" s="35">
        <f>Assumption_Fattening!E18*Assumption_Fattening!E154</f>
        <v>118125.00000000001</v>
      </c>
      <c r="D11" s="35">
        <f>Assumption_Fattening!F18*Assumption_Fattening!F154</f>
        <v>393750.00000000006</v>
      </c>
      <c r="E11" s="35">
        <f>Assumption_Fattening!G18*Assumption_Fattening!G154</f>
        <v>669375.00000000012</v>
      </c>
      <c r="F11" s="35">
        <f>Assumption_Fattening!H18*Assumption_Fattening!H154</f>
        <v>748125.00000000012</v>
      </c>
      <c r="G11" s="35">
        <f>Assumption_Fattening!I18*Assumption_Fattening!I154</f>
        <v>787500.00000000012</v>
      </c>
      <c r="H11" s="35">
        <f>Assumption_Fattening!J18*Assumption_Fattening!J154</f>
        <v>787500.00000000012</v>
      </c>
      <c r="I11" s="35">
        <f>Assumption_Fattening!K18*Assumption_Fattening!K154</f>
        <v>787500.00000000012</v>
      </c>
      <c r="J11" s="35">
        <f>Assumption_Fattening!L18*Assumption_Fattening!L154</f>
        <v>787500.00000000012</v>
      </c>
      <c r="K11" s="35">
        <f>Assumption_Fattening!M18*Assumption_Fattening!M154</f>
        <v>787500.00000000012</v>
      </c>
      <c r="L11" s="35">
        <f>Assumption_Fattening!N18*Assumption_Fattening!N154</f>
        <v>787500.00000000012</v>
      </c>
      <c r="M11" s="35">
        <f>Assumption_Fattening!O18*Assumption_Fattening!O154</f>
        <v>787500.00000000012</v>
      </c>
      <c r="N11" s="35">
        <f>Assumption_Fattening!P18*Assumption_Fattening!P154</f>
        <v>787500.00000000012</v>
      </c>
      <c r="O11" s="35">
        <f>Assumption_Fattening!Q18*Assumption_Fattening!Q154</f>
        <v>787500.00000000012</v>
      </c>
      <c r="P11" s="35">
        <f>Assumption_Fattening!R18*Assumption_Fattening!R154</f>
        <v>787500.00000000012</v>
      </c>
      <c r="Q11" s="35">
        <f>Assumption_Fattening!S18*Assumption_Fattening!S154</f>
        <v>787500.00000000012</v>
      </c>
      <c r="R11" s="35">
        <f>Assumption_Fattening!T18*Assumption_Fattening!T154</f>
        <v>787500.00000000012</v>
      </c>
      <c r="S11" s="35">
        <f>Assumption_Fattening!U18*Assumption_Fattening!U154</f>
        <v>787500.00000000012</v>
      </c>
      <c r="T11" s="35">
        <f>Assumption_Fattening!V18*Assumption_Fattening!V154</f>
        <v>787500.00000000012</v>
      </c>
      <c r="U11" s="35">
        <f>Assumption_Fattening!W18*Assumption_Fattening!W154</f>
        <v>787500.00000000012</v>
      </c>
      <c r="V11" s="35">
        <f>Assumption_Fattening!X18*Assumption_Fattening!X154</f>
        <v>787500.00000000012</v>
      </c>
      <c r="W11" s="35">
        <f>Assumption_Fattening!Y18*Assumption_Fattening!Y154</f>
        <v>669375.00000000012</v>
      </c>
      <c r="X11" s="35">
        <f>Assumption_Fattening!Z18*Assumption_Fattening!Z154</f>
        <v>393750.00000000006</v>
      </c>
      <c r="Y11" s="35">
        <f>Assumption_Fattening!AA18*Assumption_Fattening!AA154</f>
        <v>118125.00000000001</v>
      </c>
      <c r="Z11" s="35">
        <f>Assumption_Fattening!AB18*Assumption_Fattening!AB154</f>
        <v>39375.000000000007</v>
      </c>
      <c r="AA11" s="35">
        <f>Assumption_Fattening!AC18*Assumption_Fattening!AC154</f>
        <v>0</v>
      </c>
    </row>
    <row r="12" spans="1:27" x14ac:dyDescent="0.25">
      <c r="A12" s="9" t="str">
        <f>Assumption_Fattening!B155</f>
        <v>Maintenance</v>
      </c>
      <c r="B12" s="35">
        <f>Assumption_Fattening!D18*Assumption_Fattening!D155</f>
        <v>0</v>
      </c>
      <c r="C12" s="35">
        <f>Assumption_Fattening!E18*Assumption_Fattening!E155</f>
        <v>420000</v>
      </c>
      <c r="D12" s="35">
        <f>Assumption_Fattening!F18*Assumption_Fattening!F155</f>
        <v>1400000</v>
      </c>
      <c r="E12" s="35">
        <f>Assumption_Fattening!G18*Assumption_Fattening!G155</f>
        <v>2415700</v>
      </c>
      <c r="F12" s="35">
        <f>Assumption_Fattening!H18*Assumption_Fattening!H155</f>
        <v>2660000</v>
      </c>
      <c r="G12" s="35">
        <f>Assumption_Fattening!I18*Assumption_Fattening!I155</f>
        <v>2800000</v>
      </c>
      <c r="H12" s="35">
        <f>Assumption_Fattening!J18*Assumption_Fattening!J155</f>
        <v>2842000</v>
      </c>
      <c r="I12" s="35">
        <f>Assumption_Fattening!K18*Assumption_Fattening!K155</f>
        <v>2800000</v>
      </c>
      <c r="J12" s="35">
        <f>Assumption_Fattening!L18*Assumption_Fattening!L155</f>
        <v>2800000</v>
      </c>
      <c r="K12" s="35">
        <f>Assumption_Fattening!M18*Assumption_Fattening!M155</f>
        <v>2842000</v>
      </c>
      <c r="L12" s="35">
        <f>Assumption_Fattening!N18*Assumption_Fattening!N155</f>
        <v>2800000</v>
      </c>
      <c r="M12" s="35">
        <f>Assumption_Fattening!O18*Assumption_Fattening!O155</f>
        <v>2800000</v>
      </c>
      <c r="N12" s="35">
        <f>Assumption_Fattening!P18*Assumption_Fattening!P155</f>
        <v>2842000</v>
      </c>
      <c r="O12" s="35">
        <f>Assumption_Fattening!Q18*Assumption_Fattening!Q155</f>
        <v>2800000</v>
      </c>
      <c r="P12" s="35">
        <f>Assumption_Fattening!R18*Assumption_Fattening!R155</f>
        <v>2800000</v>
      </c>
      <c r="Q12" s="35">
        <f>Assumption_Fattening!S18*Assumption_Fattening!S155</f>
        <v>2842000</v>
      </c>
      <c r="R12" s="35">
        <f>Assumption_Fattening!T18*Assumption_Fattening!T155</f>
        <v>2800000</v>
      </c>
      <c r="S12" s="35">
        <f>Assumption_Fattening!U18*Assumption_Fattening!U155</f>
        <v>2800000</v>
      </c>
      <c r="T12" s="35">
        <f>Assumption_Fattening!V18*Assumption_Fattening!V155</f>
        <v>2842000</v>
      </c>
      <c r="U12" s="35">
        <f>Assumption_Fattening!W18*Assumption_Fattening!W155</f>
        <v>2800000</v>
      </c>
      <c r="V12" s="35">
        <f>Assumption_Fattening!X18*Assumption_Fattening!X155</f>
        <v>2800000</v>
      </c>
      <c r="W12" s="35">
        <f>Assumption_Fattening!Y18*Assumption_Fattening!Y155</f>
        <v>2415700</v>
      </c>
      <c r="X12" s="35">
        <f>Assumption_Fattening!Z18*Assumption_Fattening!Z155</f>
        <v>1400000</v>
      </c>
      <c r="Y12" s="35">
        <f>Assumption_Fattening!AA18*Assumption_Fattening!AA155</f>
        <v>420000</v>
      </c>
      <c r="Z12" s="35">
        <f>Assumption_Fattening!AB18*Assumption_Fattening!AB155</f>
        <v>142100</v>
      </c>
      <c r="AA12" s="35">
        <f>Assumption_Fattening!AC18*Assumption_Fattening!AC155</f>
        <v>0</v>
      </c>
    </row>
    <row r="13" spans="1:27" x14ac:dyDescent="0.25">
      <c r="A13" s="9" t="str">
        <f>Assumption_Fattening!B156</f>
        <v>Feed</v>
      </c>
      <c r="B13" s="35">
        <f>Assumption_Fattening!D18*Assumption_Fattening!D156</f>
        <v>0</v>
      </c>
      <c r="C13" s="35">
        <f>Assumption_Fattening!E18*Assumption_Fattening!E156</f>
        <v>450000</v>
      </c>
      <c r="D13" s="35">
        <f>Assumption_Fattening!F18*Assumption_Fattening!F156</f>
        <v>1500000</v>
      </c>
      <c r="E13" s="35">
        <f>Assumption_Fattening!G18*Assumption_Fattening!G156</f>
        <v>2677500</v>
      </c>
      <c r="F13" s="35">
        <f>Assumption_Fattening!H18*Assumption_Fattening!H156</f>
        <v>2850000</v>
      </c>
      <c r="G13" s="35">
        <f>Assumption_Fattening!I18*Assumption_Fattening!I156</f>
        <v>3000000</v>
      </c>
      <c r="H13" s="35">
        <f>Assumption_Fattening!J18*Assumption_Fattening!J156</f>
        <v>3150000</v>
      </c>
      <c r="I13" s="35">
        <f>Assumption_Fattening!K18*Assumption_Fattening!K156</f>
        <v>3000000</v>
      </c>
      <c r="J13" s="35">
        <f>Assumption_Fattening!L18*Assumption_Fattening!L156</f>
        <v>3000000</v>
      </c>
      <c r="K13" s="35">
        <f>Assumption_Fattening!M18*Assumption_Fattening!M156</f>
        <v>3150000</v>
      </c>
      <c r="L13" s="35">
        <f>Assumption_Fattening!N18*Assumption_Fattening!N156</f>
        <v>3000000</v>
      </c>
      <c r="M13" s="35">
        <f>Assumption_Fattening!O18*Assumption_Fattening!O156</f>
        <v>3000000</v>
      </c>
      <c r="N13" s="35">
        <f>Assumption_Fattening!P18*Assumption_Fattening!P156</f>
        <v>3150000</v>
      </c>
      <c r="O13" s="35">
        <f>Assumption_Fattening!Q18*Assumption_Fattening!Q156</f>
        <v>3000000</v>
      </c>
      <c r="P13" s="35">
        <f>Assumption_Fattening!R18*Assumption_Fattening!R156</f>
        <v>3000000</v>
      </c>
      <c r="Q13" s="35">
        <f>Assumption_Fattening!S18*Assumption_Fattening!S156</f>
        <v>3150000</v>
      </c>
      <c r="R13" s="35">
        <f>Assumption_Fattening!T18*Assumption_Fattening!T156</f>
        <v>3000000</v>
      </c>
      <c r="S13" s="35">
        <f>Assumption_Fattening!U18*Assumption_Fattening!U156</f>
        <v>3000000</v>
      </c>
      <c r="T13" s="35">
        <f>Assumption_Fattening!V18*Assumption_Fattening!V156</f>
        <v>3150000</v>
      </c>
      <c r="U13" s="35">
        <f>Assumption_Fattening!W18*Assumption_Fattening!W156</f>
        <v>3000000</v>
      </c>
      <c r="V13" s="35">
        <f>Assumption_Fattening!X18*Assumption_Fattening!X156</f>
        <v>3000000</v>
      </c>
      <c r="W13" s="35">
        <f>Assumption_Fattening!Y18*Assumption_Fattening!Y156</f>
        <v>2677500</v>
      </c>
      <c r="X13" s="35">
        <f>Assumption_Fattening!Z18*Assumption_Fattening!Z156</f>
        <v>1500000</v>
      </c>
      <c r="Y13" s="35">
        <f>Assumption_Fattening!AA18*Assumption_Fattening!AA156</f>
        <v>450000</v>
      </c>
      <c r="Z13" s="35">
        <f>Assumption_Fattening!AB18*Assumption_Fattening!AB156</f>
        <v>157500</v>
      </c>
      <c r="AA13" s="35">
        <f>Assumption_Fattening!AC18*Assumption_Fattening!AC156</f>
        <v>0</v>
      </c>
    </row>
    <row r="14" spans="1:27" s="54" customFormat="1" x14ac:dyDescent="0.25">
      <c r="A14" s="56" t="s">
        <v>156</v>
      </c>
      <c r="B14" s="53">
        <f>Assumption_Fattening!D43</f>
        <v>0</v>
      </c>
      <c r="C14" s="53">
        <f>Assumption_Fattening!E43</f>
        <v>1692600</v>
      </c>
      <c r="D14" s="53">
        <f>Assumption_Fattening!F43</f>
        <v>3949400</v>
      </c>
      <c r="E14" s="53">
        <f>Assumption_Fattening!G43</f>
        <v>3949400</v>
      </c>
      <c r="F14" s="53">
        <f>Assumption_Fattening!H43</f>
        <v>1128400</v>
      </c>
      <c r="G14" s="53">
        <f>Assumption_Fattening!I43</f>
        <v>564200</v>
      </c>
      <c r="H14" s="53">
        <f>Assumption_Fattening!J43</f>
        <v>0</v>
      </c>
      <c r="I14" s="53">
        <f>Assumption_Fattening!K43</f>
        <v>0</v>
      </c>
      <c r="J14" s="53">
        <f>Assumption_Fattening!L43</f>
        <v>0</v>
      </c>
      <c r="K14" s="53">
        <f>Assumption_Fattening!M43</f>
        <v>0</v>
      </c>
      <c r="L14" s="53">
        <f>Assumption_Fattening!N43</f>
        <v>0</v>
      </c>
      <c r="M14" s="53">
        <f>Assumption_Fattening!O43</f>
        <v>0</v>
      </c>
      <c r="N14" s="53">
        <f>Assumption_Fattening!P43</f>
        <v>0</v>
      </c>
      <c r="O14" s="53">
        <f>Assumption_Fattening!Q43</f>
        <v>0</v>
      </c>
      <c r="P14" s="53">
        <f>Assumption_Fattening!R43</f>
        <v>0</v>
      </c>
      <c r="Q14" s="53">
        <f>Assumption_Fattening!S43</f>
        <v>0</v>
      </c>
      <c r="R14" s="53">
        <f>Assumption_Fattening!T43</f>
        <v>0</v>
      </c>
      <c r="S14" s="53">
        <f>Assumption_Fattening!U43</f>
        <v>0</v>
      </c>
      <c r="T14" s="53">
        <f>Assumption_Fattening!V43</f>
        <v>0</v>
      </c>
      <c r="U14" s="53">
        <f>Assumption_Fattening!W43</f>
        <v>0</v>
      </c>
      <c r="V14" s="53">
        <f>Assumption_Fattening!X43</f>
        <v>0</v>
      </c>
      <c r="W14" s="53">
        <f>Assumption_Fattening!Y43</f>
        <v>0</v>
      </c>
      <c r="X14" s="53">
        <f>Assumption_Fattening!Z43</f>
        <v>0</v>
      </c>
      <c r="Y14" s="53">
        <f>Assumption_Fattening!AA43</f>
        <v>0</v>
      </c>
      <c r="Z14" s="53">
        <f>Assumption_Fattening!AB43</f>
        <v>0</v>
      </c>
      <c r="AA14" s="53">
        <f>Assumption_Fattening!AC43</f>
        <v>0</v>
      </c>
    </row>
    <row r="15" spans="1:27" x14ac:dyDescent="0.25">
      <c r="A15" s="127" t="s">
        <v>59</v>
      </c>
      <c r="B15" s="40">
        <f t="shared" ref="B15:AA15" si="1">SUM(B10:B14)</f>
        <v>0</v>
      </c>
      <c r="C15" s="40">
        <f t="shared" si="1"/>
        <v>3580725</v>
      </c>
      <c r="D15" s="40">
        <f t="shared" si="1"/>
        <v>9343150</v>
      </c>
      <c r="E15" s="40">
        <f t="shared" si="1"/>
        <v>11811975</v>
      </c>
      <c r="F15" s="40">
        <f t="shared" si="1"/>
        <v>7986525</v>
      </c>
      <c r="G15" s="40">
        <f t="shared" si="1"/>
        <v>7451700</v>
      </c>
      <c r="H15" s="40">
        <f t="shared" si="1"/>
        <v>6779500</v>
      </c>
      <c r="I15" s="40">
        <f t="shared" si="1"/>
        <v>6587500</v>
      </c>
      <c r="J15" s="40">
        <f t="shared" si="1"/>
        <v>6587500</v>
      </c>
      <c r="K15" s="40">
        <f t="shared" si="1"/>
        <v>6779500</v>
      </c>
      <c r="L15" s="40">
        <f t="shared" si="1"/>
        <v>6587500</v>
      </c>
      <c r="M15" s="40">
        <f t="shared" si="1"/>
        <v>6587500</v>
      </c>
      <c r="N15" s="40">
        <f t="shared" si="1"/>
        <v>6779500</v>
      </c>
      <c r="O15" s="40">
        <f t="shared" si="1"/>
        <v>6587500</v>
      </c>
      <c r="P15" s="40">
        <f t="shared" si="1"/>
        <v>6587500</v>
      </c>
      <c r="Q15" s="40">
        <f t="shared" si="1"/>
        <v>6779500</v>
      </c>
      <c r="R15" s="40">
        <f t="shared" si="1"/>
        <v>6587500</v>
      </c>
      <c r="S15" s="40">
        <f t="shared" si="1"/>
        <v>6587500</v>
      </c>
      <c r="T15" s="40">
        <f t="shared" si="1"/>
        <v>6779500</v>
      </c>
      <c r="U15" s="40">
        <f t="shared" si="1"/>
        <v>6587500</v>
      </c>
      <c r="V15" s="40">
        <f t="shared" si="1"/>
        <v>6587500</v>
      </c>
      <c r="W15" s="40">
        <f t="shared" si="1"/>
        <v>5762575</v>
      </c>
      <c r="X15" s="40">
        <f t="shared" si="1"/>
        <v>3293750</v>
      </c>
      <c r="Y15" s="40">
        <f t="shared" si="1"/>
        <v>988125</v>
      </c>
      <c r="Z15" s="40">
        <f t="shared" si="1"/>
        <v>338975</v>
      </c>
      <c r="AA15" s="40">
        <f t="shared" si="1"/>
        <v>0</v>
      </c>
    </row>
    <row r="16" spans="1:27" x14ac:dyDescent="0.25">
      <c r="B16" s="34"/>
      <c r="C16" s="34"/>
      <c r="D16" s="34"/>
      <c r="E16" s="34"/>
      <c r="F16" s="34"/>
      <c r="G16" s="34"/>
      <c r="H16" s="34"/>
      <c r="I16" s="34"/>
      <c r="J16" s="34"/>
      <c r="K16" s="34"/>
      <c r="L16" s="34"/>
    </row>
    <row r="17" spans="1:27" x14ac:dyDescent="0.25">
      <c r="A17" s="24" t="s">
        <v>60</v>
      </c>
      <c r="B17" s="36">
        <f t="shared" ref="B17:AA17" si="2">B7-B15</f>
        <v>0</v>
      </c>
      <c r="C17" s="36">
        <f t="shared" si="2"/>
        <v>-2363801.25</v>
      </c>
      <c r="D17" s="36">
        <f t="shared" si="2"/>
        <v>-5246173.375</v>
      </c>
      <c r="E17" s="36">
        <f t="shared" si="2"/>
        <v>-6008505.1862718752</v>
      </c>
      <c r="F17" s="36">
        <f t="shared" si="2"/>
        <v>-45805.875191249885</v>
      </c>
      <c r="G17" s="36">
        <f t="shared" si="2"/>
        <v>990538.22742825001</v>
      </c>
      <c r="H17" s="36">
        <f t="shared" si="2"/>
        <v>254995.00300459005</v>
      </c>
      <c r="I17" s="36">
        <f t="shared" si="2"/>
        <v>2024427.215799557</v>
      </c>
      <c r="J17" s="36">
        <f t="shared" si="2"/>
        <v>2110546.4879575539</v>
      </c>
      <c r="K17" s="36">
        <f t="shared" si="2"/>
        <v>468147.23609063309</v>
      </c>
      <c r="L17" s="36">
        <f t="shared" si="2"/>
        <v>2285377.2223655023</v>
      </c>
      <c r="M17" s="36">
        <f t="shared" si="2"/>
        <v>2374105.9945891555</v>
      </c>
      <c r="N17" s="36">
        <f t="shared" si="2"/>
        <v>687758.1949914135</v>
      </c>
      <c r="O17" s="36">
        <f t="shared" si="2"/>
        <v>2554234.2750803977</v>
      </c>
      <c r="P17" s="36">
        <f t="shared" si="2"/>
        <v>2645651.6178312041</v>
      </c>
      <c r="Q17" s="36">
        <f t="shared" si="2"/>
        <v>914023.58555784822</v>
      </c>
      <c r="R17" s="36">
        <f t="shared" si="2"/>
        <v>2831237.9653496109</v>
      </c>
      <c r="S17" s="36">
        <f t="shared" si="2"/>
        <v>2925425.3450031076</v>
      </c>
      <c r="T17" s="36">
        <f t="shared" si="2"/>
        <v>1147145.0437238393</v>
      </c>
      <c r="U17" s="36">
        <f t="shared" si="2"/>
        <v>3116635.144437667</v>
      </c>
      <c r="V17" s="36">
        <f t="shared" si="2"/>
        <v>3213676.4958820455</v>
      </c>
      <c r="W17" s="36">
        <f t="shared" si="2"/>
        <v>1179230.7679146565</v>
      </c>
      <c r="X17" s="36">
        <f t="shared" si="2"/>
        <v>1705340.0717246383</v>
      </c>
      <c r="Y17" s="36">
        <f t="shared" si="2"/>
        <v>526599.29173256503</v>
      </c>
      <c r="Z17" s="36">
        <f t="shared" si="2"/>
        <v>81739.67202872003</v>
      </c>
      <c r="AA17" s="36">
        <f t="shared" si="2"/>
        <v>0</v>
      </c>
    </row>
    <row r="18" spans="1:27" x14ac:dyDescent="0.25">
      <c r="B18" s="34"/>
      <c r="C18" s="34"/>
      <c r="D18" s="34"/>
      <c r="E18" s="34"/>
      <c r="F18" s="34"/>
      <c r="G18" s="34"/>
      <c r="H18" s="34"/>
      <c r="I18" s="34"/>
      <c r="J18" s="34"/>
      <c r="K18" s="34"/>
      <c r="L18" s="34"/>
    </row>
    <row r="19" spans="1:27" s="13" customFormat="1" x14ac:dyDescent="0.25">
      <c r="A19" s="24" t="s">
        <v>61</v>
      </c>
      <c r="B19" s="42">
        <f>B17/(1+Assumption_Hatchery!$C76)^B4</f>
        <v>0</v>
      </c>
      <c r="C19" s="42">
        <f>C17/(1+Assumption_Hatchery!$C76)^C4</f>
        <v>-2168625</v>
      </c>
      <c r="D19" s="42">
        <f>D17/(1+Assumption_Hatchery!$C76)^D4</f>
        <v>-4415599.1709452057</v>
      </c>
      <c r="E19" s="42">
        <f>E17/(1+Assumption_Hatchery!$C76)^E4</f>
        <v>-4639668.4447003687</v>
      </c>
      <c r="F19" s="42">
        <f>F17/(1+Assumption_Hatchery!$C76)^F4</f>
        <v>-32450.036800387246</v>
      </c>
      <c r="G19" s="42">
        <f>G17/(1+Assumption_Hatchery!$C76)^G4</f>
        <v>643781.88333394821</v>
      </c>
      <c r="H19" s="42">
        <f>H17/(1+Assumption_Hatchery!$C76)^H4</f>
        <v>152045.18880910453</v>
      </c>
      <c r="I19" s="42">
        <f>I17/(1+Assumption_Hatchery!$C76)^I4</f>
        <v>1107431.0132351699</v>
      </c>
      <c r="J19" s="42">
        <f>J17/(1+Assumption_Hatchery!$C76)^J4</f>
        <v>1059212.1139876842</v>
      </c>
      <c r="K19" s="42">
        <f>K17/(1+Assumption_Hatchery!$C76)^K4</f>
        <v>215547.99239990371</v>
      </c>
      <c r="L19" s="42">
        <f>L17/(1+Assumption_Hatchery!$C76)^L4</f>
        <v>965368.03656044009</v>
      </c>
      <c r="M19" s="42">
        <f>M17/(1+Assumption_Hatchery!$C76)^M4</f>
        <v>920044.06314706174</v>
      </c>
      <c r="N19" s="42">
        <f>N17/(1+Assumption_Hatchery!$C76)^N4</f>
        <v>244521.92079407925</v>
      </c>
      <c r="O19" s="42">
        <f>O17/(1+Assumption_Hatchery!$C76)^O4</f>
        <v>833136.67967075307</v>
      </c>
      <c r="P19" s="42">
        <f>P17/(1+Assumption_Hatchery!$C76)^P4</f>
        <v>791701.8943403234</v>
      </c>
      <c r="Q19" s="42">
        <f>Q17/(1+Assumption_Hatchery!$C76)^Q4</f>
        <v>250934.24489304455</v>
      </c>
      <c r="R19" s="42">
        <f>R17/(1+Assumption_Hatchery!$C76)^R4</f>
        <v>713103.23440221918</v>
      </c>
      <c r="S19" s="42">
        <f>S17/(1+Assumption_Hatchery!$C76)^S4</f>
        <v>675987.32785531937</v>
      </c>
      <c r="T19" s="42">
        <f>T17/(1+Assumption_Hatchery!$C76)^T4</f>
        <v>243187.56831390929</v>
      </c>
      <c r="U19" s="42">
        <f>U17/(1+Assumption_Hatchery!$C76)^U4</f>
        <v>606153.34032407997</v>
      </c>
      <c r="V19" s="42">
        <f>V17/(1+Assumption_Hatchery!$C76)^V4</f>
        <v>573419.15663259139</v>
      </c>
      <c r="W19" s="42">
        <f>W17/(1+Assumption_Hatchery!$C76)^W4</f>
        <v>193037.79374095245</v>
      </c>
      <c r="X19" s="42">
        <f>X17/(1+Assumption_Hatchery!$C76)^X4</f>
        <v>256110.888291543</v>
      </c>
      <c r="Y19" s="42">
        <f>Y17/(1+Assumption_Hatchery!$C76)^Y4</f>
        <v>72555.579977400645</v>
      </c>
      <c r="Z19" s="42">
        <f>Z17/(1+Assumption_Hatchery!$C76)^Z4</f>
        <v>10332.298400086975</v>
      </c>
      <c r="AA19" s="42">
        <f>AA17/(1+Assumption_Hatchery!$C76)^AA4</f>
        <v>0</v>
      </c>
    </row>
    <row r="20" spans="1:27" x14ac:dyDescent="0.25">
      <c r="B20" s="34"/>
      <c r="C20" s="34"/>
      <c r="D20" s="34"/>
      <c r="E20" s="34"/>
      <c r="F20" s="34"/>
      <c r="G20" s="34"/>
      <c r="H20" s="34"/>
      <c r="I20" s="34"/>
      <c r="J20" s="34"/>
      <c r="K20" s="34"/>
      <c r="L20" s="34"/>
    </row>
    <row r="21" spans="1:27" s="13" customFormat="1" x14ac:dyDescent="0.25">
      <c r="A21" s="26" t="s">
        <v>62</v>
      </c>
      <c r="B21" s="37">
        <f>NPV(Assumption_Hatchery!C76,C17:Z17)+B17</f>
        <v>-728730.43333635048</v>
      </c>
      <c r="C21" s="43"/>
      <c r="D21" s="43"/>
      <c r="E21" s="43"/>
      <c r="F21" s="43"/>
      <c r="G21" s="43"/>
      <c r="H21" s="43"/>
      <c r="I21" s="43"/>
      <c r="J21" s="43"/>
      <c r="K21" s="43"/>
      <c r="L21" s="43"/>
    </row>
    <row r="23" spans="1:27" s="13" customFormat="1" x14ac:dyDescent="0.25">
      <c r="A23" s="26" t="s">
        <v>25</v>
      </c>
      <c r="B23" s="38">
        <f>IRR(B17:Z17)</f>
        <v>8.3033731913726427E-2</v>
      </c>
      <c r="C23" s="4"/>
      <c r="D23" s="4"/>
      <c r="E23" s="4"/>
      <c r="F23" s="4"/>
      <c r="G23" s="4"/>
      <c r="H23" s="4"/>
      <c r="I23" s="4"/>
      <c r="J23" s="4"/>
      <c r="K23" s="4"/>
      <c r="L23" s="4"/>
    </row>
    <row r="25" spans="1:27" s="13" customFormat="1" x14ac:dyDescent="0.25">
      <c r="A25" s="27" t="s">
        <v>63</v>
      </c>
      <c r="B25" s="39">
        <f>B19</f>
        <v>0</v>
      </c>
      <c r="C25" s="39">
        <f>B25+C19</f>
        <v>-2168625</v>
      </c>
      <c r="D25" s="39">
        <f t="shared" ref="D25:AA25" si="3">C25+D19</f>
        <v>-6584224.1709452057</v>
      </c>
      <c r="E25" s="39">
        <f t="shared" si="3"/>
        <v>-11223892.615645574</v>
      </c>
      <c r="F25" s="39">
        <f t="shared" si="3"/>
        <v>-11256342.652445961</v>
      </c>
      <c r="G25" s="39">
        <f t="shared" si="3"/>
        <v>-10612560.769112013</v>
      </c>
      <c r="H25" s="39">
        <f t="shared" si="3"/>
        <v>-10460515.580302909</v>
      </c>
      <c r="I25" s="39">
        <f t="shared" si="3"/>
        <v>-9353084.5670677386</v>
      </c>
      <c r="J25" s="39">
        <f t="shared" si="3"/>
        <v>-8293872.4530800544</v>
      </c>
      <c r="K25" s="39">
        <f t="shared" si="3"/>
        <v>-8078324.4606801504</v>
      </c>
      <c r="L25" s="39">
        <f t="shared" si="3"/>
        <v>-7112956.42411971</v>
      </c>
      <c r="M25" s="39">
        <f t="shared" si="3"/>
        <v>-6192912.3609726485</v>
      </c>
      <c r="N25" s="39">
        <f t="shared" si="3"/>
        <v>-5948390.4401785694</v>
      </c>
      <c r="O25" s="39">
        <f t="shared" si="3"/>
        <v>-5115253.7605078164</v>
      </c>
      <c r="P25" s="39">
        <f t="shared" si="3"/>
        <v>-4323551.8661674932</v>
      </c>
      <c r="Q25" s="39">
        <f t="shared" si="3"/>
        <v>-4072617.6212744485</v>
      </c>
      <c r="R25" s="39">
        <f t="shared" si="3"/>
        <v>-3359514.3868722292</v>
      </c>
      <c r="S25" s="39">
        <f t="shared" si="3"/>
        <v>-2683527.0590169099</v>
      </c>
      <c r="T25" s="39">
        <f t="shared" si="3"/>
        <v>-2440339.4907030007</v>
      </c>
      <c r="U25" s="39">
        <f t="shared" si="3"/>
        <v>-1834186.1503789206</v>
      </c>
      <c r="V25" s="39">
        <f t="shared" si="3"/>
        <v>-1260766.9937463291</v>
      </c>
      <c r="W25" s="39">
        <f t="shared" si="3"/>
        <v>-1067729.2000053767</v>
      </c>
      <c r="X25" s="39">
        <f t="shared" si="3"/>
        <v>-811618.31171383371</v>
      </c>
      <c r="Y25" s="39">
        <f t="shared" si="3"/>
        <v>-739062.73173643311</v>
      </c>
      <c r="Z25" s="39">
        <f t="shared" si="3"/>
        <v>-728730.43333634618</v>
      </c>
      <c r="AA25" s="39">
        <f t="shared" si="3"/>
        <v>-728730.43333634618</v>
      </c>
    </row>
    <row r="27" spans="1:27" s="1" customFormat="1" x14ac:dyDescent="0.25">
      <c r="A27" s="25"/>
      <c r="B27" s="45"/>
      <c r="C27" s="45"/>
      <c r="D27" s="45"/>
      <c r="E27" s="45"/>
      <c r="F27" s="45"/>
      <c r="G27" s="45"/>
      <c r="H27" s="45"/>
      <c r="I27" s="45"/>
      <c r="J27" s="45"/>
      <c r="K27" s="45"/>
      <c r="L27" s="45"/>
    </row>
    <row r="29" spans="1:27" ht="38.25" customHeight="1" x14ac:dyDescent="0.25">
      <c r="A29" s="11" t="str">
        <f>A2</f>
        <v>Aggregate Financial Analysis-Crab Fattening</v>
      </c>
      <c r="B29" s="32"/>
      <c r="C29" s="76"/>
      <c r="D29" s="77"/>
      <c r="E29" s="32"/>
      <c r="F29" s="126" t="s">
        <v>105</v>
      </c>
      <c r="G29" s="32"/>
      <c r="H29" s="32"/>
      <c r="I29" s="32"/>
      <c r="J29" s="32"/>
      <c r="K29" s="32"/>
      <c r="L29" s="32"/>
      <c r="M29" s="11"/>
    </row>
    <row r="30" spans="1:27" ht="38.25" customHeight="1" x14ac:dyDescent="0.25">
      <c r="A30" s="11"/>
      <c r="B30" s="32"/>
      <c r="C30" s="76"/>
      <c r="D30" s="77"/>
      <c r="E30" s="32"/>
      <c r="F30" s="126"/>
      <c r="G30" s="32"/>
      <c r="H30" s="32"/>
      <c r="I30" s="32"/>
      <c r="J30" s="32"/>
      <c r="K30" s="32"/>
      <c r="L30" s="32"/>
      <c r="M30" s="11"/>
    </row>
    <row r="31" spans="1:27" x14ac:dyDescent="0.25">
      <c r="A31" s="10" t="s">
        <v>22</v>
      </c>
      <c r="B31" s="28">
        <v>0</v>
      </c>
      <c r="C31" s="28">
        <v>1</v>
      </c>
      <c r="D31" s="28">
        <v>2</v>
      </c>
      <c r="E31" s="28">
        <v>3</v>
      </c>
      <c r="F31" s="28">
        <v>4</v>
      </c>
      <c r="G31" s="28">
        <v>5</v>
      </c>
      <c r="H31" s="28">
        <v>6</v>
      </c>
      <c r="I31" s="28">
        <v>7</v>
      </c>
      <c r="J31" s="28">
        <v>8</v>
      </c>
      <c r="K31" s="28">
        <v>9</v>
      </c>
      <c r="L31" s="28">
        <v>10</v>
      </c>
      <c r="M31" s="28">
        <v>11</v>
      </c>
      <c r="N31" s="28">
        <v>12</v>
      </c>
      <c r="O31" s="28">
        <v>13</v>
      </c>
      <c r="P31" s="28">
        <v>14</v>
      </c>
      <c r="Q31" s="28">
        <v>15</v>
      </c>
      <c r="R31" s="28">
        <v>16</v>
      </c>
      <c r="S31" s="28">
        <v>17</v>
      </c>
      <c r="T31" s="28">
        <v>18</v>
      </c>
      <c r="U31" s="28">
        <v>19</v>
      </c>
      <c r="V31" s="28">
        <v>20</v>
      </c>
      <c r="W31" s="28">
        <v>21</v>
      </c>
      <c r="X31" s="28">
        <v>22</v>
      </c>
      <c r="Y31" s="28">
        <v>23</v>
      </c>
      <c r="Z31" s="28">
        <v>24</v>
      </c>
      <c r="AA31" s="28">
        <v>25</v>
      </c>
    </row>
    <row r="32" spans="1:27" x14ac:dyDescent="0.25">
      <c r="A32" s="24" t="s">
        <v>23</v>
      </c>
    </row>
    <row r="33" spans="1:27" x14ac:dyDescent="0.25">
      <c r="A33" s="10" t="str">
        <f t="shared" ref="A33:Z34" si="4">A6</f>
        <v>Crab Sale ($)</v>
      </c>
      <c r="B33" s="33">
        <f t="shared" si="4"/>
        <v>0</v>
      </c>
      <c r="C33" s="33">
        <f t="shared" si="4"/>
        <v>1216923.75</v>
      </c>
      <c r="D33" s="33">
        <f t="shared" si="4"/>
        <v>4096976.625</v>
      </c>
      <c r="E33" s="33">
        <f t="shared" si="4"/>
        <v>5803469.8137281248</v>
      </c>
      <c r="F33" s="33">
        <f t="shared" si="4"/>
        <v>7940719.1248087501</v>
      </c>
      <c r="G33" s="33">
        <f t="shared" si="4"/>
        <v>8442238.22742825</v>
      </c>
      <c r="H33" s="33">
        <f t="shared" si="4"/>
        <v>7034495.00300459</v>
      </c>
      <c r="I33" s="33">
        <f t="shared" si="4"/>
        <v>8611927.215799557</v>
      </c>
      <c r="J33" s="33">
        <f t="shared" si="4"/>
        <v>8698046.4879575539</v>
      </c>
      <c r="K33" s="33">
        <f t="shared" si="4"/>
        <v>7247647.2360906331</v>
      </c>
      <c r="L33" s="33">
        <f t="shared" si="4"/>
        <v>8872877.2223655023</v>
      </c>
      <c r="M33" s="33">
        <f t="shared" si="4"/>
        <v>8961605.9945891555</v>
      </c>
      <c r="N33" s="33">
        <f t="shared" si="4"/>
        <v>7467258.1949914135</v>
      </c>
      <c r="O33" s="33">
        <f t="shared" si="4"/>
        <v>9141734.2750803977</v>
      </c>
      <c r="P33" s="33">
        <f t="shared" si="4"/>
        <v>9233151.6178312041</v>
      </c>
      <c r="Q33" s="33">
        <f t="shared" si="4"/>
        <v>7693523.5855578482</v>
      </c>
      <c r="R33" s="33">
        <f t="shared" si="4"/>
        <v>9418737.9653496109</v>
      </c>
      <c r="S33" s="33">
        <f t="shared" si="4"/>
        <v>9512925.3450031076</v>
      </c>
      <c r="T33" s="33">
        <f t="shared" si="4"/>
        <v>7926645.0437238393</v>
      </c>
      <c r="U33" s="33">
        <f t="shared" si="4"/>
        <v>9704135.144437667</v>
      </c>
      <c r="V33" s="33">
        <f t="shared" si="4"/>
        <v>9801176.4958820455</v>
      </c>
      <c r="W33" s="33">
        <f t="shared" si="4"/>
        <v>6941805.7679146565</v>
      </c>
      <c r="X33" s="33">
        <f t="shared" si="4"/>
        <v>4999090.0717246383</v>
      </c>
      <c r="Y33" s="33">
        <f t="shared" si="4"/>
        <v>1514724.291732565</v>
      </c>
      <c r="Z33" s="33">
        <f t="shared" si="4"/>
        <v>420714.67202872003</v>
      </c>
      <c r="AA33" s="33">
        <f t="shared" ref="AA33" si="5">AA6</f>
        <v>0</v>
      </c>
    </row>
    <row r="34" spans="1:27" s="13" customFormat="1" x14ac:dyDescent="0.25">
      <c r="A34" s="24" t="s">
        <v>58</v>
      </c>
      <c r="B34" s="41">
        <f>B7</f>
        <v>0</v>
      </c>
      <c r="C34" s="41">
        <f t="shared" si="4"/>
        <v>1216923.75</v>
      </c>
      <c r="D34" s="41">
        <f t="shared" si="4"/>
        <v>4096976.625</v>
      </c>
      <c r="E34" s="41">
        <f t="shared" si="4"/>
        <v>5803469.8137281248</v>
      </c>
      <c r="F34" s="41">
        <f t="shared" si="4"/>
        <v>7940719.1248087501</v>
      </c>
      <c r="G34" s="41">
        <f t="shared" si="4"/>
        <v>8442238.22742825</v>
      </c>
      <c r="H34" s="41">
        <f t="shared" si="4"/>
        <v>7034495.00300459</v>
      </c>
      <c r="I34" s="41">
        <f t="shared" si="4"/>
        <v>8611927.215799557</v>
      </c>
      <c r="J34" s="41">
        <f t="shared" si="4"/>
        <v>8698046.4879575539</v>
      </c>
      <c r="K34" s="41">
        <f t="shared" si="4"/>
        <v>7247647.2360906331</v>
      </c>
      <c r="L34" s="41">
        <f t="shared" si="4"/>
        <v>8872877.2223655023</v>
      </c>
      <c r="M34" s="41">
        <f t="shared" si="4"/>
        <v>8961605.9945891555</v>
      </c>
      <c r="N34" s="41">
        <f t="shared" si="4"/>
        <v>7467258.1949914135</v>
      </c>
      <c r="O34" s="41">
        <f t="shared" si="4"/>
        <v>9141734.2750803977</v>
      </c>
      <c r="P34" s="41">
        <f t="shared" si="4"/>
        <v>9233151.6178312041</v>
      </c>
      <c r="Q34" s="41">
        <f t="shared" si="4"/>
        <v>7693523.5855578482</v>
      </c>
      <c r="R34" s="41">
        <f t="shared" si="4"/>
        <v>9418737.9653496109</v>
      </c>
      <c r="S34" s="41">
        <f t="shared" si="4"/>
        <v>9512925.3450031076</v>
      </c>
      <c r="T34" s="41">
        <f t="shared" si="4"/>
        <v>7926645.0437238393</v>
      </c>
      <c r="U34" s="41">
        <f t="shared" si="4"/>
        <v>9704135.144437667</v>
      </c>
      <c r="V34" s="41">
        <f t="shared" si="4"/>
        <v>9801176.4958820455</v>
      </c>
      <c r="W34" s="41">
        <f t="shared" si="4"/>
        <v>6941805.7679146565</v>
      </c>
      <c r="X34" s="41">
        <f t="shared" si="4"/>
        <v>4999090.0717246383</v>
      </c>
      <c r="Y34" s="41">
        <f t="shared" si="4"/>
        <v>1514724.291732565</v>
      </c>
      <c r="Z34" s="41">
        <f t="shared" si="4"/>
        <v>420714.67202872003</v>
      </c>
      <c r="AA34" s="41">
        <f t="shared" ref="AA34" si="6">AA7</f>
        <v>0</v>
      </c>
    </row>
    <row r="35" spans="1:27" x14ac:dyDescent="0.25">
      <c r="A35" s="24"/>
      <c r="B35" s="44"/>
      <c r="C35" s="44"/>
      <c r="D35" s="44"/>
      <c r="E35" s="44"/>
      <c r="F35" s="44"/>
      <c r="G35" s="44"/>
      <c r="H35" s="44"/>
      <c r="I35" s="44"/>
      <c r="J35" s="44"/>
      <c r="K35" s="44"/>
    </row>
    <row r="36" spans="1:27" x14ac:dyDescent="0.25">
      <c r="A36" s="24" t="s">
        <v>24</v>
      </c>
    </row>
    <row r="37" spans="1:27" x14ac:dyDescent="0.25">
      <c r="A37" s="9" t="str">
        <f t="shared" ref="A37:Z41" si="7">A10</f>
        <v>Crab Farm Establishment</v>
      </c>
      <c r="B37" s="35">
        <f t="shared" si="7"/>
        <v>0</v>
      </c>
      <c r="C37" s="35">
        <f t="shared" si="7"/>
        <v>900000</v>
      </c>
      <c r="D37" s="35">
        <f t="shared" si="7"/>
        <v>2100000</v>
      </c>
      <c r="E37" s="35">
        <f t="shared" si="7"/>
        <v>2100000</v>
      </c>
      <c r="F37" s="35">
        <f t="shared" si="7"/>
        <v>600000</v>
      </c>
      <c r="G37" s="35">
        <f t="shared" si="7"/>
        <v>300000</v>
      </c>
      <c r="H37" s="35">
        <f t="shared" si="7"/>
        <v>0</v>
      </c>
      <c r="I37" s="35">
        <f t="shared" si="7"/>
        <v>0</v>
      </c>
      <c r="J37" s="35">
        <f t="shared" si="7"/>
        <v>0</v>
      </c>
      <c r="K37" s="35">
        <f t="shared" si="7"/>
        <v>0</v>
      </c>
      <c r="L37" s="35">
        <f t="shared" si="7"/>
        <v>0</v>
      </c>
      <c r="M37" s="35">
        <f t="shared" si="7"/>
        <v>0</v>
      </c>
      <c r="N37" s="35">
        <f t="shared" si="7"/>
        <v>0</v>
      </c>
      <c r="O37" s="35">
        <f t="shared" si="7"/>
        <v>0</v>
      </c>
      <c r="P37" s="35">
        <f t="shared" si="7"/>
        <v>0</v>
      </c>
      <c r="Q37" s="35">
        <f t="shared" si="7"/>
        <v>0</v>
      </c>
      <c r="R37" s="35">
        <f t="shared" si="7"/>
        <v>0</v>
      </c>
      <c r="S37" s="35">
        <f t="shared" si="7"/>
        <v>0</v>
      </c>
      <c r="T37" s="35">
        <f t="shared" si="7"/>
        <v>0</v>
      </c>
      <c r="U37" s="35">
        <f t="shared" si="7"/>
        <v>0</v>
      </c>
      <c r="V37" s="35">
        <f t="shared" si="7"/>
        <v>0</v>
      </c>
      <c r="W37" s="35">
        <f t="shared" si="7"/>
        <v>0</v>
      </c>
      <c r="X37" s="35">
        <f t="shared" si="7"/>
        <v>0</v>
      </c>
      <c r="Y37" s="35">
        <f t="shared" si="7"/>
        <v>0</v>
      </c>
      <c r="Z37" s="35">
        <f t="shared" si="7"/>
        <v>0</v>
      </c>
      <c r="AA37" s="35">
        <f t="shared" ref="AA37" si="8">AA10</f>
        <v>0</v>
      </c>
    </row>
    <row r="38" spans="1:27" x14ac:dyDescent="0.25">
      <c r="A38" s="9" t="str">
        <f t="shared" si="7"/>
        <v>Operation Cost (Small crab purchase)</v>
      </c>
      <c r="B38" s="35">
        <f t="shared" si="7"/>
        <v>0</v>
      </c>
      <c r="C38" s="35">
        <f t="shared" si="7"/>
        <v>118125.00000000001</v>
      </c>
      <c r="D38" s="35">
        <f t="shared" si="7"/>
        <v>393750.00000000006</v>
      </c>
      <c r="E38" s="35">
        <f t="shared" si="7"/>
        <v>669375.00000000012</v>
      </c>
      <c r="F38" s="35">
        <f t="shared" si="7"/>
        <v>748125.00000000012</v>
      </c>
      <c r="G38" s="35">
        <f t="shared" si="7"/>
        <v>787500.00000000012</v>
      </c>
      <c r="H38" s="35">
        <f t="shared" si="7"/>
        <v>787500.00000000012</v>
      </c>
      <c r="I38" s="35">
        <f t="shared" si="7"/>
        <v>787500.00000000012</v>
      </c>
      <c r="J38" s="35">
        <f t="shared" si="7"/>
        <v>787500.00000000012</v>
      </c>
      <c r="K38" s="35">
        <f t="shared" si="7"/>
        <v>787500.00000000012</v>
      </c>
      <c r="L38" s="35">
        <f t="shared" si="7"/>
        <v>787500.00000000012</v>
      </c>
      <c r="M38" s="35">
        <f t="shared" si="7"/>
        <v>787500.00000000012</v>
      </c>
      <c r="N38" s="35">
        <f t="shared" si="7"/>
        <v>787500.00000000012</v>
      </c>
      <c r="O38" s="35">
        <f t="shared" si="7"/>
        <v>787500.00000000012</v>
      </c>
      <c r="P38" s="35">
        <f t="shared" si="7"/>
        <v>787500.00000000012</v>
      </c>
      <c r="Q38" s="35">
        <f t="shared" si="7"/>
        <v>787500.00000000012</v>
      </c>
      <c r="R38" s="35">
        <f t="shared" si="7"/>
        <v>787500.00000000012</v>
      </c>
      <c r="S38" s="35">
        <f t="shared" si="7"/>
        <v>787500.00000000012</v>
      </c>
      <c r="T38" s="35">
        <f t="shared" si="7"/>
        <v>787500.00000000012</v>
      </c>
      <c r="U38" s="35">
        <f t="shared" si="7"/>
        <v>787500.00000000012</v>
      </c>
      <c r="V38" s="35">
        <f t="shared" si="7"/>
        <v>787500.00000000012</v>
      </c>
      <c r="W38" s="35">
        <f t="shared" si="7"/>
        <v>669375.00000000012</v>
      </c>
      <c r="X38" s="35">
        <f t="shared" si="7"/>
        <v>393750.00000000006</v>
      </c>
      <c r="Y38" s="35">
        <f t="shared" si="7"/>
        <v>118125.00000000001</v>
      </c>
      <c r="Z38" s="35">
        <f t="shared" si="7"/>
        <v>39375.000000000007</v>
      </c>
      <c r="AA38" s="35">
        <f t="shared" ref="AA38" si="9">AA11</f>
        <v>0</v>
      </c>
    </row>
    <row r="39" spans="1:27" x14ac:dyDescent="0.25">
      <c r="A39" s="9" t="str">
        <f t="shared" si="7"/>
        <v>Maintenance</v>
      </c>
      <c r="B39" s="35">
        <f t="shared" si="7"/>
        <v>0</v>
      </c>
      <c r="C39" s="35">
        <f t="shared" si="7"/>
        <v>420000</v>
      </c>
      <c r="D39" s="35">
        <f t="shared" si="7"/>
        <v>1400000</v>
      </c>
      <c r="E39" s="35">
        <f t="shared" si="7"/>
        <v>2415700</v>
      </c>
      <c r="F39" s="35">
        <f t="shared" si="7"/>
        <v>2660000</v>
      </c>
      <c r="G39" s="35">
        <f t="shared" si="7"/>
        <v>2800000</v>
      </c>
      <c r="H39" s="35">
        <f t="shared" si="7"/>
        <v>2842000</v>
      </c>
      <c r="I39" s="35">
        <f t="shared" si="7"/>
        <v>2800000</v>
      </c>
      <c r="J39" s="35">
        <f t="shared" si="7"/>
        <v>2800000</v>
      </c>
      <c r="K39" s="35">
        <f t="shared" si="7"/>
        <v>2842000</v>
      </c>
      <c r="L39" s="35">
        <f t="shared" si="7"/>
        <v>2800000</v>
      </c>
      <c r="M39" s="35">
        <f t="shared" si="7"/>
        <v>2800000</v>
      </c>
      <c r="N39" s="35">
        <f t="shared" si="7"/>
        <v>2842000</v>
      </c>
      <c r="O39" s="35">
        <f t="shared" si="7"/>
        <v>2800000</v>
      </c>
      <c r="P39" s="35">
        <f t="shared" si="7"/>
        <v>2800000</v>
      </c>
      <c r="Q39" s="35">
        <f t="shared" si="7"/>
        <v>2842000</v>
      </c>
      <c r="R39" s="35">
        <f t="shared" si="7"/>
        <v>2800000</v>
      </c>
      <c r="S39" s="35">
        <f t="shared" si="7"/>
        <v>2800000</v>
      </c>
      <c r="T39" s="35">
        <f t="shared" si="7"/>
        <v>2842000</v>
      </c>
      <c r="U39" s="35">
        <f t="shared" si="7"/>
        <v>2800000</v>
      </c>
      <c r="V39" s="35">
        <f t="shared" si="7"/>
        <v>2800000</v>
      </c>
      <c r="W39" s="35">
        <f t="shared" si="7"/>
        <v>2415700</v>
      </c>
      <c r="X39" s="35">
        <f t="shared" si="7"/>
        <v>1400000</v>
      </c>
      <c r="Y39" s="35">
        <f t="shared" si="7"/>
        <v>420000</v>
      </c>
      <c r="Z39" s="35">
        <f t="shared" si="7"/>
        <v>142100</v>
      </c>
      <c r="AA39" s="35">
        <f t="shared" ref="AA39" si="10">AA12</f>
        <v>0</v>
      </c>
    </row>
    <row r="40" spans="1:27" x14ac:dyDescent="0.25">
      <c r="A40" s="9" t="str">
        <f t="shared" si="7"/>
        <v>Feed</v>
      </c>
      <c r="B40" s="35">
        <f t="shared" si="7"/>
        <v>0</v>
      </c>
      <c r="C40" s="35">
        <f t="shared" si="7"/>
        <v>450000</v>
      </c>
      <c r="D40" s="35">
        <f t="shared" si="7"/>
        <v>1500000</v>
      </c>
      <c r="E40" s="35">
        <f t="shared" si="7"/>
        <v>2677500</v>
      </c>
      <c r="F40" s="35">
        <f t="shared" si="7"/>
        <v>2850000</v>
      </c>
      <c r="G40" s="35">
        <f t="shared" si="7"/>
        <v>3000000</v>
      </c>
      <c r="H40" s="35">
        <f t="shared" si="7"/>
        <v>3150000</v>
      </c>
      <c r="I40" s="35">
        <f t="shared" si="7"/>
        <v>3000000</v>
      </c>
      <c r="J40" s="35">
        <f t="shared" si="7"/>
        <v>3000000</v>
      </c>
      <c r="K40" s="35">
        <f t="shared" si="7"/>
        <v>3150000</v>
      </c>
      <c r="L40" s="35">
        <f t="shared" si="7"/>
        <v>3000000</v>
      </c>
      <c r="M40" s="35">
        <f t="shared" si="7"/>
        <v>3000000</v>
      </c>
      <c r="N40" s="35">
        <f t="shared" si="7"/>
        <v>3150000</v>
      </c>
      <c r="O40" s="35">
        <f t="shared" si="7"/>
        <v>3000000</v>
      </c>
      <c r="P40" s="35">
        <f t="shared" si="7"/>
        <v>3000000</v>
      </c>
      <c r="Q40" s="35">
        <f t="shared" si="7"/>
        <v>3150000</v>
      </c>
      <c r="R40" s="35">
        <f t="shared" si="7"/>
        <v>3000000</v>
      </c>
      <c r="S40" s="35">
        <f t="shared" si="7"/>
        <v>3000000</v>
      </c>
      <c r="T40" s="35">
        <f t="shared" si="7"/>
        <v>3150000</v>
      </c>
      <c r="U40" s="35">
        <f t="shared" si="7"/>
        <v>3000000</v>
      </c>
      <c r="V40" s="35">
        <f t="shared" si="7"/>
        <v>3000000</v>
      </c>
      <c r="W40" s="35">
        <f t="shared" si="7"/>
        <v>2677500</v>
      </c>
      <c r="X40" s="35">
        <f t="shared" si="7"/>
        <v>1500000</v>
      </c>
      <c r="Y40" s="35">
        <f t="shared" si="7"/>
        <v>450000</v>
      </c>
      <c r="Z40" s="35">
        <f t="shared" si="7"/>
        <v>157500</v>
      </c>
      <c r="AA40" s="35">
        <f t="shared" ref="AA40" si="11">AA13</f>
        <v>0</v>
      </c>
    </row>
    <row r="41" spans="1:27" s="54" customFormat="1" x14ac:dyDescent="0.25">
      <c r="A41" s="56" t="str">
        <f t="shared" si="7"/>
        <v>Debt Service</v>
      </c>
      <c r="B41" s="53">
        <f>Assumption_Fattening!D53</f>
        <v>0</v>
      </c>
      <c r="C41" s="53">
        <f>Assumption_Fattening!E53</f>
        <v>576600</v>
      </c>
      <c r="D41" s="53">
        <f>Assumption_Fattening!F53</f>
        <v>1345400</v>
      </c>
      <c r="E41" s="53">
        <f>Assumption_Fattening!G53</f>
        <v>1345400</v>
      </c>
      <c r="F41" s="53">
        <f>Assumption_Fattening!H53</f>
        <v>384400</v>
      </c>
      <c r="G41" s="53">
        <f>Assumption_Fattening!I53</f>
        <v>192200</v>
      </c>
      <c r="H41" s="53">
        <f>Assumption_Fattening!J53</f>
        <v>0</v>
      </c>
      <c r="I41" s="53">
        <f>Assumption_Fattening!K53</f>
        <v>0</v>
      </c>
      <c r="J41" s="53">
        <f>Assumption_Fattening!L53</f>
        <v>0</v>
      </c>
      <c r="K41" s="53">
        <f>Assumption_Fattening!M53</f>
        <v>0</v>
      </c>
      <c r="L41" s="53">
        <f>Assumption_Fattening!N53</f>
        <v>0</v>
      </c>
      <c r="M41" s="53">
        <f>Assumption_Fattening!O53</f>
        <v>0</v>
      </c>
      <c r="N41" s="53">
        <f>Assumption_Fattening!P53</f>
        <v>0</v>
      </c>
      <c r="O41" s="53">
        <f>Assumption_Fattening!Q53</f>
        <v>0</v>
      </c>
      <c r="P41" s="53">
        <f>Assumption_Fattening!R53</f>
        <v>0</v>
      </c>
      <c r="Q41" s="53">
        <f>Assumption_Fattening!S53</f>
        <v>0</v>
      </c>
      <c r="R41" s="53">
        <f>Assumption_Fattening!T53</f>
        <v>0</v>
      </c>
      <c r="S41" s="53">
        <f>Assumption_Fattening!U53</f>
        <v>0</v>
      </c>
      <c r="T41" s="53">
        <f>Assumption_Fattening!V53</f>
        <v>0</v>
      </c>
      <c r="U41" s="53">
        <f>Assumption_Fattening!W53</f>
        <v>0</v>
      </c>
      <c r="V41" s="53">
        <f>Assumption_Fattening!X53</f>
        <v>0</v>
      </c>
      <c r="W41" s="53">
        <f>Assumption_Fattening!Y53</f>
        <v>0</v>
      </c>
      <c r="X41" s="53">
        <f>Assumption_Fattening!Z53</f>
        <v>0</v>
      </c>
      <c r="Y41" s="53">
        <f>Assumption_Fattening!AA53</f>
        <v>0</v>
      </c>
      <c r="Z41" s="53">
        <f>Assumption_Fattening!AB53</f>
        <v>0</v>
      </c>
      <c r="AA41" s="53">
        <f>Assumption_Fattening!AC53</f>
        <v>0</v>
      </c>
    </row>
    <row r="42" spans="1:27" x14ac:dyDescent="0.25">
      <c r="A42" s="127" t="s">
        <v>59</v>
      </c>
      <c r="B42" s="40">
        <f t="shared" ref="B42:Z42" si="12">SUM(B37:B41)</f>
        <v>0</v>
      </c>
      <c r="C42" s="40">
        <f t="shared" si="12"/>
        <v>2464725</v>
      </c>
      <c r="D42" s="40">
        <f t="shared" si="12"/>
        <v>6739150</v>
      </c>
      <c r="E42" s="40">
        <f t="shared" si="12"/>
        <v>9207975</v>
      </c>
      <c r="F42" s="40">
        <f t="shared" si="12"/>
        <v>7242525</v>
      </c>
      <c r="G42" s="40">
        <f t="shared" si="12"/>
        <v>7079700</v>
      </c>
      <c r="H42" s="40">
        <f t="shared" si="12"/>
        <v>6779500</v>
      </c>
      <c r="I42" s="40">
        <f t="shared" si="12"/>
        <v>6587500</v>
      </c>
      <c r="J42" s="40">
        <f t="shared" si="12"/>
        <v>6587500</v>
      </c>
      <c r="K42" s="40">
        <f t="shared" si="12"/>
        <v>6779500</v>
      </c>
      <c r="L42" s="40">
        <f t="shared" si="12"/>
        <v>6587500</v>
      </c>
      <c r="M42" s="40">
        <f t="shared" si="12"/>
        <v>6587500</v>
      </c>
      <c r="N42" s="40">
        <f t="shared" si="12"/>
        <v>6779500</v>
      </c>
      <c r="O42" s="40">
        <f t="shared" si="12"/>
        <v>6587500</v>
      </c>
      <c r="P42" s="40">
        <f t="shared" si="12"/>
        <v>6587500</v>
      </c>
      <c r="Q42" s="40">
        <f t="shared" si="12"/>
        <v>6779500</v>
      </c>
      <c r="R42" s="40">
        <f t="shared" si="12"/>
        <v>6587500</v>
      </c>
      <c r="S42" s="40">
        <f t="shared" si="12"/>
        <v>6587500</v>
      </c>
      <c r="T42" s="40">
        <f t="shared" si="12"/>
        <v>6779500</v>
      </c>
      <c r="U42" s="40">
        <f t="shared" si="12"/>
        <v>6587500</v>
      </c>
      <c r="V42" s="40">
        <f t="shared" si="12"/>
        <v>6587500</v>
      </c>
      <c r="W42" s="40">
        <f t="shared" si="12"/>
        <v>5762575</v>
      </c>
      <c r="X42" s="40">
        <f t="shared" si="12"/>
        <v>3293750</v>
      </c>
      <c r="Y42" s="40">
        <f t="shared" si="12"/>
        <v>988125</v>
      </c>
      <c r="Z42" s="40">
        <f t="shared" si="12"/>
        <v>338975</v>
      </c>
      <c r="AA42" s="40">
        <f t="shared" ref="AA42" si="13">SUM(AA37:AA41)</f>
        <v>0</v>
      </c>
    </row>
    <row r="43" spans="1:27" x14ac:dyDescent="0.25">
      <c r="B43" s="34"/>
      <c r="C43" s="34"/>
      <c r="D43" s="34"/>
      <c r="E43" s="34"/>
      <c r="F43" s="34"/>
      <c r="G43" s="34"/>
      <c r="H43" s="34"/>
      <c r="I43" s="34"/>
      <c r="J43" s="34"/>
      <c r="K43" s="34"/>
      <c r="L43" s="34"/>
    </row>
    <row r="44" spans="1:27" x14ac:dyDescent="0.25">
      <c r="A44" s="24" t="s">
        <v>60</v>
      </c>
      <c r="B44" s="36">
        <f t="shared" ref="B44:AA44" si="14">B34-B42</f>
        <v>0</v>
      </c>
      <c r="C44" s="36">
        <f t="shared" si="14"/>
        <v>-1247801.25</v>
      </c>
      <c r="D44" s="36">
        <f t="shared" si="14"/>
        <v>-2642173.375</v>
      </c>
      <c r="E44" s="36">
        <f t="shared" si="14"/>
        <v>-3404505.1862718752</v>
      </c>
      <c r="F44" s="36">
        <f t="shared" si="14"/>
        <v>698194.12480875012</v>
      </c>
      <c r="G44" s="36">
        <f t="shared" si="14"/>
        <v>1362538.22742825</v>
      </c>
      <c r="H44" s="36">
        <f t="shared" si="14"/>
        <v>254995.00300459005</v>
      </c>
      <c r="I44" s="36">
        <f t="shared" si="14"/>
        <v>2024427.215799557</v>
      </c>
      <c r="J44" s="36">
        <f t="shared" si="14"/>
        <v>2110546.4879575539</v>
      </c>
      <c r="K44" s="36">
        <f t="shared" si="14"/>
        <v>468147.23609063309</v>
      </c>
      <c r="L44" s="36">
        <f t="shared" si="14"/>
        <v>2285377.2223655023</v>
      </c>
      <c r="M44" s="36">
        <f t="shared" si="14"/>
        <v>2374105.9945891555</v>
      </c>
      <c r="N44" s="36">
        <f t="shared" si="14"/>
        <v>687758.1949914135</v>
      </c>
      <c r="O44" s="36">
        <f t="shared" si="14"/>
        <v>2554234.2750803977</v>
      </c>
      <c r="P44" s="36">
        <f t="shared" si="14"/>
        <v>2645651.6178312041</v>
      </c>
      <c r="Q44" s="36">
        <f t="shared" si="14"/>
        <v>914023.58555784822</v>
      </c>
      <c r="R44" s="36">
        <f t="shared" si="14"/>
        <v>2831237.9653496109</v>
      </c>
      <c r="S44" s="36">
        <f t="shared" si="14"/>
        <v>2925425.3450031076</v>
      </c>
      <c r="T44" s="36">
        <f t="shared" si="14"/>
        <v>1147145.0437238393</v>
      </c>
      <c r="U44" s="36">
        <f t="shared" si="14"/>
        <v>3116635.144437667</v>
      </c>
      <c r="V44" s="36">
        <f t="shared" si="14"/>
        <v>3213676.4958820455</v>
      </c>
      <c r="W44" s="36">
        <f t="shared" si="14"/>
        <v>1179230.7679146565</v>
      </c>
      <c r="X44" s="36">
        <f t="shared" si="14"/>
        <v>1705340.0717246383</v>
      </c>
      <c r="Y44" s="36">
        <f t="shared" si="14"/>
        <v>526599.29173256503</v>
      </c>
      <c r="Z44" s="36">
        <f t="shared" si="14"/>
        <v>81739.67202872003</v>
      </c>
      <c r="AA44" s="36">
        <f t="shared" si="14"/>
        <v>0</v>
      </c>
    </row>
    <row r="45" spans="1:27" x14ac:dyDescent="0.25">
      <c r="B45" s="34"/>
      <c r="C45" s="34"/>
      <c r="D45" s="34"/>
      <c r="E45" s="34"/>
      <c r="F45" s="34"/>
      <c r="G45" s="34"/>
      <c r="H45" s="34"/>
      <c r="I45" s="34"/>
      <c r="J45" s="34"/>
      <c r="K45" s="34"/>
      <c r="L45" s="34"/>
    </row>
    <row r="46" spans="1:27" s="13" customFormat="1" x14ac:dyDescent="0.25">
      <c r="A46" s="24" t="s">
        <v>61</v>
      </c>
      <c r="B46" s="42">
        <f>B44/(1+Assumption_Hatchery!$C76)^B31</f>
        <v>0</v>
      </c>
      <c r="C46" s="42">
        <f>C44/(1+Assumption_Hatchery!$C76)^C31</f>
        <v>-1144771.7889908256</v>
      </c>
      <c r="D46" s="42">
        <f>D44/(1+Assumption_Hatchery!$C76)^D31</f>
        <v>-2223864.4684790839</v>
      </c>
      <c r="E46" s="42">
        <f>E44/(1+Assumption_Hatchery!$C76)^E31</f>
        <v>-2628902.6626213579</v>
      </c>
      <c r="F46" s="42">
        <f>F44/(1+Assumption_Hatchery!$C76)^F31</f>
        <v>494618.32023211889</v>
      </c>
      <c r="G46" s="42">
        <f>G44/(1+Assumption_Hatchery!$C76)^G31</f>
        <v>885556.35903693258</v>
      </c>
      <c r="H46" s="42">
        <f>H44/(1+Assumption_Hatchery!$C76)^H31</f>
        <v>152045.18880910453</v>
      </c>
      <c r="I46" s="42">
        <f>I44/(1+Assumption_Hatchery!$C76)^I31</f>
        <v>1107431.0132351699</v>
      </c>
      <c r="J46" s="42">
        <f>J44/(1+Assumption_Hatchery!$C76)^J31</f>
        <v>1059212.1139876842</v>
      </c>
      <c r="K46" s="42">
        <f>K44/(1+Assumption_Hatchery!$C76)^K31</f>
        <v>215547.99239990371</v>
      </c>
      <c r="L46" s="42">
        <f>L44/(1+Assumption_Hatchery!$C76)^L31</f>
        <v>965368.03656044009</v>
      </c>
      <c r="M46" s="42">
        <f>M44/(1+Assumption_Hatchery!$C76)^M31</f>
        <v>920044.06314706174</v>
      </c>
      <c r="N46" s="42">
        <f>N44/(1+Assumption_Hatchery!$C76)^N31</f>
        <v>244521.92079407925</v>
      </c>
      <c r="O46" s="42">
        <f>O44/(1+Assumption_Hatchery!$C76)^O31</f>
        <v>833136.67967075307</v>
      </c>
      <c r="P46" s="42">
        <f>P44/(1+Assumption_Hatchery!$C76)^P31</f>
        <v>791701.8943403234</v>
      </c>
      <c r="Q46" s="42">
        <f>Q44/(1+Assumption_Hatchery!$C76)^Q31</f>
        <v>250934.24489304455</v>
      </c>
      <c r="R46" s="42">
        <f>R44/(1+Assumption_Hatchery!$C76)^R31</f>
        <v>713103.23440221918</v>
      </c>
      <c r="S46" s="42">
        <f>S44/(1+Assumption_Hatchery!$C76)^S31</f>
        <v>675987.32785531937</v>
      </c>
      <c r="T46" s="42">
        <f>T44/(1+Assumption_Hatchery!$C76)^T31</f>
        <v>243187.56831390929</v>
      </c>
      <c r="U46" s="42">
        <f>U44/(1+Assumption_Hatchery!$C76)^U31</f>
        <v>606153.34032407997</v>
      </c>
      <c r="V46" s="42">
        <f>V44/(1+Assumption_Hatchery!$C76)^V31</f>
        <v>573419.15663259139</v>
      </c>
      <c r="W46" s="42">
        <f>W44/(1+Assumption_Hatchery!$C76)^W31</f>
        <v>193037.79374095245</v>
      </c>
      <c r="X46" s="42">
        <f>X44/(1+Assumption_Hatchery!$C76)^X31</f>
        <v>256110.888291543</v>
      </c>
      <c r="Y46" s="42">
        <f>Y44/(1+Assumption_Hatchery!$C76)^Y31</f>
        <v>72555.579977400645</v>
      </c>
      <c r="Z46" s="42">
        <f>Z44/(1+Assumption_Hatchery!$C76)^Z31</f>
        <v>10332.298400086975</v>
      </c>
      <c r="AA46" s="42">
        <f>AA44/(1+Assumption_Hatchery!$C76)^AA31</f>
        <v>0</v>
      </c>
    </row>
    <row r="47" spans="1:27" x14ac:dyDescent="0.25">
      <c r="B47" s="34"/>
      <c r="C47" s="34"/>
      <c r="D47" s="34"/>
      <c r="E47" s="34"/>
      <c r="F47" s="34"/>
      <c r="G47" s="34"/>
      <c r="H47" s="34"/>
      <c r="I47" s="34"/>
      <c r="J47" s="34"/>
      <c r="K47" s="34"/>
      <c r="L47" s="34"/>
    </row>
    <row r="48" spans="1:27" s="13" customFormat="1" x14ac:dyDescent="0.25">
      <c r="A48" s="26" t="s">
        <v>62</v>
      </c>
      <c r="B48" s="37">
        <f>NPV(Assumption_Hatchery!C76,C44:Z44)+B44</f>
        <v>5266466.0949534466</v>
      </c>
      <c r="C48" s="43"/>
      <c r="D48" s="43"/>
      <c r="E48" s="43"/>
      <c r="F48" s="43"/>
      <c r="G48" s="43"/>
      <c r="H48" s="43"/>
      <c r="I48" s="43"/>
      <c r="J48" s="43"/>
      <c r="K48" s="43"/>
      <c r="L48" s="43"/>
    </row>
    <row r="50" spans="1:27" s="13" customFormat="1" x14ac:dyDescent="0.25">
      <c r="A50" s="26" t="s">
        <v>25</v>
      </c>
      <c r="B50" s="38">
        <f>IRR(B44:Z44)</f>
        <v>0.16960362626933212</v>
      </c>
      <c r="C50" s="4"/>
      <c r="D50" s="4"/>
      <c r="E50" s="4"/>
      <c r="F50" s="4"/>
      <c r="G50" s="4"/>
      <c r="H50" s="4"/>
      <c r="I50" s="4"/>
      <c r="J50" s="4"/>
      <c r="K50" s="4"/>
      <c r="L50" s="4"/>
    </row>
    <row r="52" spans="1:27" s="13" customFormat="1" x14ac:dyDescent="0.25">
      <c r="A52" s="27" t="s">
        <v>63</v>
      </c>
      <c r="B52" s="39">
        <f>B46</f>
        <v>0</v>
      </c>
      <c r="C52" s="39">
        <f>B52+C46</f>
        <v>-1144771.7889908256</v>
      </c>
      <c r="D52" s="39">
        <f t="shared" ref="D52:Z52" si="15">C52+D46</f>
        <v>-3368636.2574699093</v>
      </c>
      <c r="E52" s="39">
        <f t="shared" si="15"/>
        <v>-5997538.9200912677</v>
      </c>
      <c r="F52" s="39">
        <f t="shared" si="15"/>
        <v>-5502920.5998591492</v>
      </c>
      <c r="G52" s="39">
        <f t="shared" si="15"/>
        <v>-4617364.2408222165</v>
      </c>
      <c r="H52" s="39">
        <f t="shared" si="15"/>
        <v>-4465319.0520131122</v>
      </c>
      <c r="I52" s="39">
        <f t="shared" si="15"/>
        <v>-3357888.0387779423</v>
      </c>
      <c r="J52" s="39">
        <f t="shared" si="15"/>
        <v>-2298675.9247902581</v>
      </c>
      <c r="K52" s="39">
        <f t="shared" si="15"/>
        <v>-2083127.9323903543</v>
      </c>
      <c r="L52" s="39">
        <f t="shared" si="15"/>
        <v>-1117759.8958299141</v>
      </c>
      <c r="M52" s="39">
        <f t="shared" si="15"/>
        <v>-197715.8326828524</v>
      </c>
      <c r="N52" s="39">
        <f t="shared" si="15"/>
        <v>46806.088111226854</v>
      </c>
      <c r="O52" s="39">
        <f t="shared" si="15"/>
        <v>879942.76778197987</v>
      </c>
      <c r="P52" s="39">
        <f t="shared" si="15"/>
        <v>1671644.6621223032</v>
      </c>
      <c r="Q52" s="39">
        <f t="shared" si="15"/>
        <v>1922578.9070153476</v>
      </c>
      <c r="R52" s="39">
        <f t="shared" si="15"/>
        <v>2635682.1414175667</v>
      </c>
      <c r="S52" s="39">
        <f t="shared" si="15"/>
        <v>3311669.4692728859</v>
      </c>
      <c r="T52" s="39">
        <f t="shared" si="15"/>
        <v>3554857.0375867952</v>
      </c>
      <c r="U52" s="39">
        <f t="shared" si="15"/>
        <v>4161010.3779108752</v>
      </c>
      <c r="V52" s="39">
        <f t="shared" si="15"/>
        <v>4734429.5345434668</v>
      </c>
      <c r="W52" s="39">
        <f t="shared" si="15"/>
        <v>4927467.3282844191</v>
      </c>
      <c r="X52" s="39">
        <f t="shared" si="15"/>
        <v>5183578.2165759625</v>
      </c>
      <c r="Y52" s="39">
        <f t="shared" si="15"/>
        <v>5256133.7965533631</v>
      </c>
      <c r="Z52" s="39">
        <f t="shared" si="15"/>
        <v>5266466.0949534504</v>
      </c>
    </row>
    <row r="53" spans="1:27" ht="38.25" customHeight="1" x14ac:dyDescent="0.25">
      <c r="A53" s="11"/>
      <c r="B53" s="32"/>
      <c r="C53" s="76"/>
      <c r="D53" s="77"/>
      <c r="E53" s="32"/>
      <c r="F53" s="126"/>
      <c r="G53" s="32"/>
      <c r="H53" s="32"/>
      <c r="I53" s="32"/>
      <c r="J53" s="32"/>
      <c r="K53" s="32"/>
      <c r="L53" s="32"/>
      <c r="M53" s="11"/>
    </row>
    <row r="54" spans="1:27" s="1" customFormat="1" x14ac:dyDescent="0.25">
      <c r="A54" s="25"/>
      <c r="B54" s="45"/>
      <c r="C54" s="45"/>
      <c r="D54" s="45"/>
      <c r="E54" s="45"/>
      <c r="F54" s="45"/>
      <c r="G54" s="45"/>
      <c r="H54" s="45"/>
      <c r="I54" s="45"/>
      <c r="J54" s="45"/>
      <c r="K54" s="45"/>
      <c r="L54" s="45"/>
    </row>
    <row r="56" spans="1:27" ht="26.25" x14ac:dyDescent="0.25">
      <c r="F56" s="20" t="s">
        <v>111</v>
      </c>
    </row>
    <row r="57" spans="1:27" ht="38.25" customHeight="1" x14ac:dyDescent="0.25">
      <c r="A57" s="11" t="str">
        <f>A2</f>
        <v>Aggregate Financial Analysis-Crab Fattening</v>
      </c>
      <c r="B57" s="32"/>
      <c r="C57" s="76"/>
      <c r="D57" s="77"/>
      <c r="E57" s="32"/>
      <c r="F57" s="32"/>
      <c r="G57" s="32"/>
      <c r="H57" s="32"/>
      <c r="I57" s="32"/>
      <c r="J57" s="32"/>
      <c r="K57" s="32"/>
      <c r="L57" s="32"/>
      <c r="M57" s="11"/>
    </row>
    <row r="59" spans="1:27" x14ac:dyDescent="0.25">
      <c r="A59" s="10" t="s">
        <v>22</v>
      </c>
      <c r="B59" s="28">
        <v>0</v>
      </c>
      <c r="C59" s="28">
        <v>1</v>
      </c>
      <c r="D59" s="28">
        <v>2</v>
      </c>
      <c r="E59" s="28">
        <v>3</v>
      </c>
      <c r="F59" s="28">
        <v>4</v>
      </c>
      <c r="G59" s="28">
        <v>5</v>
      </c>
      <c r="H59" s="28">
        <v>6</v>
      </c>
      <c r="I59" s="28">
        <v>7</v>
      </c>
      <c r="J59" s="28">
        <v>8</v>
      </c>
      <c r="K59" s="28">
        <v>9</v>
      </c>
      <c r="L59" s="28">
        <v>10</v>
      </c>
      <c r="M59" s="28">
        <v>11</v>
      </c>
      <c r="N59" s="28">
        <v>12</v>
      </c>
      <c r="O59" s="28">
        <v>13</v>
      </c>
      <c r="P59" s="28">
        <v>14</v>
      </c>
      <c r="Q59" s="28">
        <v>15</v>
      </c>
      <c r="R59" s="28">
        <v>16</v>
      </c>
      <c r="S59" s="28">
        <v>17</v>
      </c>
      <c r="T59" s="28">
        <v>18</v>
      </c>
      <c r="U59" s="28">
        <v>19</v>
      </c>
      <c r="V59" s="28">
        <v>20</v>
      </c>
      <c r="W59" s="28">
        <v>21</v>
      </c>
      <c r="X59" s="28">
        <v>22</v>
      </c>
      <c r="Y59" s="28">
        <v>23</v>
      </c>
      <c r="Z59" s="28">
        <v>24</v>
      </c>
      <c r="AA59" s="28">
        <v>25</v>
      </c>
    </row>
    <row r="60" spans="1:27" x14ac:dyDescent="0.25">
      <c r="A60" s="24" t="s">
        <v>23</v>
      </c>
    </row>
    <row r="61" spans="1:27" x14ac:dyDescent="0.25">
      <c r="A61" s="10" t="str">
        <f>A33</f>
        <v>Crab Sale ($)</v>
      </c>
      <c r="B61" s="33">
        <f>B6</f>
        <v>0</v>
      </c>
      <c r="C61" s="33">
        <f t="shared" ref="C61:AA62" si="16">C6</f>
        <v>1216923.75</v>
      </c>
      <c r="D61" s="33">
        <f t="shared" si="16"/>
        <v>4096976.625</v>
      </c>
      <c r="E61" s="33">
        <f t="shared" si="16"/>
        <v>5803469.8137281248</v>
      </c>
      <c r="F61" s="33">
        <f t="shared" si="16"/>
        <v>7940719.1248087501</v>
      </c>
      <c r="G61" s="33">
        <f t="shared" si="16"/>
        <v>8442238.22742825</v>
      </c>
      <c r="H61" s="33">
        <f t="shared" si="16"/>
        <v>7034495.00300459</v>
      </c>
      <c r="I61" s="33">
        <f t="shared" si="16"/>
        <v>8611927.215799557</v>
      </c>
      <c r="J61" s="33">
        <f t="shared" si="16"/>
        <v>8698046.4879575539</v>
      </c>
      <c r="K61" s="33">
        <f t="shared" si="16"/>
        <v>7247647.2360906331</v>
      </c>
      <c r="L61" s="33">
        <f t="shared" si="16"/>
        <v>8872877.2223655023</v>
      </c>
      <c r="M61" s="33">
        <f t="shared" si="16"/>
        <v>8961605.9945891555</v>
      </c>
      <c r="N61" s="33">
        <f t="shared" si="16"/>
        <v>7467258.1949914135</v>
      </c>
      <c r="O61" s="33">
        <f t="shared" si="16"/>
        <v>9141734.2750803977</v>
      </c>
      <c r="P61" s="33">
        <f t="shared" si="16"/>
        <v>9233151.6178312041</v>
      </c>
      <c r="Q61" s="33">
        <f t="shared" si="16"/>
        <v>7693523.5855578482</v>
      </c>
      <c r="R61" s="33">
        <f t="shared" si="16"/>
        <v>9418737.9653496109</v>
      </c>
      <c r="S61" s="33">
        <f t="shared" si="16"/>
        <v>9512925.3450031076</v>
      </c>
      <c r="T61" s="33">
        <f t="shared" si="16"/>
        <v>7926645.0437238393</v>
      </c>
      <c r="U61" s="33">
        <f t="shared" si="16"/>
        <v>9704135.144437667</v>
      </c>
      <c r="V61" s="33">
        <f t="shared" si="16"/>
        <v>9801176.4958820455</v>
      </c>
      <c r="W61" s="33">
        <f t="shared" si="16"/>
        <v>6941805.7679146565</v>
      </c>
      <c r="X61" s="33">
        <f t="shared" si="16"/>
        <v>4999090.0717246383</v>
      </c>
      <c r="Y61" s="33">
        <f t="shared" si="16"/>
        <v>1514724.291732565</v>
      </c>
      <c r="Z61" s="33">
        <f t="shared" si="16"/>
        <v>420714.67202872003</v>
      </c>
      <c r="AA61" s="33">
        <f t="shared" si="16"/>
        <v>0</v>
      </c>
    </row>
    <row r="62" spans="1:27" s="13" customFormat="1" x14ac:dyDescent="0.25">
      <c r="A62" s="24" t="s">
        <v>58</v>
      </c>
      <c r="B62" s="41">
        <f>B7</f>
        <v>0</v>
      </c>
      <c r="C62" s="41">
        <f t="shared" si="16"/>
        <v>1216923.75</v>
      </c>
      <c r="D62" s="41">
        <f t="shared" si="16"/>
        <v>4096976.625</v>
      </c>
      <c r="E62" s="41">
        <f t="shared" si="16"/>
        <v>5803469.8137281248</v>
      </c>
      <c r="F62" s="41">
        <f t="shared" si="16"/>
        <v>7940719.1248087501</v>
      </c>
      <c r="G62" s="41">
        <f t="shared" si="16"/>
        <v>8442238.22742825</v>
      </c>
      <c r="H62" s="41">
        <f t="shared" si="16"/>
        <v>7034495.00300459</v>
      </c>
      <c r="I62" s="41">
        <f t="shared" si="16"/>
        <v>8611927.215799557</v>
      </c>
      <c r="J62" s="41">
        <f t="shared" si="16"/>
        <v>8698046.4879575539</v>
      </c>
      <c r="K62" s="41">
        <f t="shared" si="16"/>
        <v>7247647.2360906331</v>
      </c>
      <c r="L62" s="41">
        <f t="shared" si="16"/>
        <v>8872877.2223655023</v>
      </c>
      <c r="M62" s="41">
        <f t="shared" si="16"/>
        <v>8961605.9945891555</v>
      </c>
      <c r="N62" s="41">
        <f t="shared" si="16"/>
        <v>7467258.1949914135</v>
      </c>
      <c r="O62" s="41">
        <f t="shared" si="16"/>
        <v>9141734.2750803977</v>
      </c>
      <c r="P62" s="41">
        <f t="shared" si="16"/>
        <v>9233151.6178312041</v>
      </c>
      <c r="Q62" s="41">
        <f t="shared" si="16"/>
        <v>7693523.5855578482</v>
      </c>
      <c r="R62" s="41">
        <f t="shared" si="16"/>
        <v>9418737.9653496109</v>
      </c>
      <c r="S62" s="41">
        <f t="shared" si="16"/>
        <v>9512925.3450031076</v>
      </c>
      <c r="T62" s="41">
        <f t="shared" si="16"/>
        <v>7926645.0437238393</v>
      </c>
      <c r="U62" s="41">
        <f t="shared" si="16"/>
        <v>9704135.144437667</v>
      </c>
      <c r="V62" s="41">
        <f t="shared" si="16"/>
        <v>9801176.4958820455</v>
      </c>
      <c r="W62" s="41">
        <f t="shared" si="16"/>
        <v>6941805.7679146565</v>
      </c>
      <c r="X62" s="41">
        <f t="shared" si="16"/>
        <v>4999090.0717246383</v>
      </c>
      <c r="Y62" s="41">
        <f t="shared" si="16"/>
        <v>1514724.291732565</v>
      </c>
      <c r="Z62" s="41">
        <f t="shared" si="16"/>
        <v>420714.67202872003</v>
      </c>
      <c r="AA62" s="41">
        <f t="shared" si="16"/>
        <v>0</v>
      </c>
    </row>
    <row r="63" spans="1:27" x14ac:dyDescent="0.25">
      <c r="A63" s="24"/>
      <c r="B63" s="44"/>
      <c r="C63" s="44"/>
      <c r="D63" s="44"/>
      <c r="E63" s="44"/>
      <c r="F63" s="44"/>
      <c r="G63" s="44"/>
      <c r="H63" s="44"/>
      <c r="I63" s="44"/>
      <c r="J63" s="44"/>
      <c r="K63" s="44"/>
    </row>
    <row r="64" spans="1:27" x14ac:dyDescent="0.25">
      <c r="A64" s="24" t="s">
        <v>24</v>
      </c>
    </row>
    <row r="65" spans="1:27" x14ac:dyDescent="0.25">
      <c r="A65" s="9" t="s">
        <v>49</v>
      </c>
      <c r="B65" s="35">
        <f t="shared" ref="B65:AA68" si="17">B10</f>
        <v>0</v>
      </c>
      <c r="C65" s="35">
        <f t="shared" si="17"/>
        <v>900000</v>
      </c>
      <c r="D65" s="35">
        <f t="shared" si="17"/>
        <v>2100000</v>
      </c>
      <c r="E65" s="35">
        <f t="shared" si="17"/>
        <v>2100000</v>
      </c>
      <c r="F65" s="35">
        <f t="shared" si="17"/>
        <v>600000</v>
      </c>
      <c r="G65" s="35">
        <f t="shared" si="17"/>
        <v>300000</v>
      </c>
      <c r="H65" s="35">
        <f t="shared" si="17"/>
        <v>0</v>
      </c>
      <c r="I65" s="35">
        <f t="shared" si="17"/>
        <v>0</v>
      </c>
      <c r="J65" s="35">
        <f t="shared" si="17"/>
        <v>0</v>
      </c>
      <c r="K65" s="35">
        <f t="shared" si="17"/>
        <v>0</v>
      </c>
      <c r="L65" s="35">
        <f t="shared" si="17"/>
        <v>0</v>
      </c>
      <c r="M65" s="35">
        <f t="shared" si="17"/>
        <v>0</v>
      </c>
      <c r="N65" s="35">
        <f t="shared" si="17"/>
        <v>0</v>
      </c>
      <c r="O65" s="35">
        <f t="shared" si="17"/>
        <v>0</v>
      </c>
      <c r="P65" s="35">
        <f t="shared" si="17"/>
        <v>0</v>
      </c>
      <c r="Q65" s="35">
        <f t="shared" si="17"/>
        <v>0</v>
      </c>
      <c r="R65" s="35">
        <f t="shared" si="17"/>
        <v>0</v>
      </c>
      <c r="S65" s="35">
        <f t="shared" si="17"/>
        <v>0</v>
      </c>
      <c r="T65" s="35">
        <f t="shared" si="17"/>
        <v>0</v>
      </c>
      <c r="U65" s="35">
        <f t="shared" si="17"/>
        <v>0</v>
      </c>
      <c r="V65" s="35">
        <f t="shared" si="17"/>
        <v>0</v>
      </c>
      <c r="W65" s="35">
        <f t="shared" si="17"/>
        <v>0</v>
      </c>
      <c r="X65" s="35">
        <f t="shared" si="17"/>
        <v>0</v>
      </c>
      <c r="Y65" s="35">
        <f t="shared" si="17"/>
        <v>0</v>
      </c>
      <c r="Z65" s="35">
        <f t="shared" si="17"/>
        <v>0</v>
      </c>
      <c r="AA65" s="35">
        <f t="shared" si="17"/>
        <v>0</v>
      </c>
    </row>
    <row r="66" spans="1:27" x14ac:dyDescent="0.25">
      <c r="A66" s="9" t="s">
        <v>128</v>
      </c>
      <c r="B66" s="35">
        <f t="shared" si="17"/>
        <v>0</v>
      </c>
      <c r="C66" s="35">
        <f t="shared" si="17"/>
        <v>118125.00000000001</v>
      </c>
      <c r="D66" s="35">
        <f t="shared" si="17"/>
        <v>393750.00000000006</v>
      </c>
      <c r="E66" s="35">
        <f t="shared" si="17"/>
        <v>669375.00000000012</v>
      </c>
      <c r="F66" s="35">
        <f t="shared" si="17"/>
        <v>748125.00000000012</v>
      </c>
      <c r="G66" s="35">
        <f t="shared" si="17"/>
        <v>787500.00000000012</v>
      </c>
      <c r="H66" s="35">
        <f t="shared" si="17"/>
        <v>787500.00000000012</v>
      </c>
      <c r="I66" s="35">
        <f t="shared" si="17"/>
        <v>787500.00000000012</v>
      </c>
      <c r="J66" s="35">
        <f t="shared" si="17"/>
        <v>787500.00000000012</v>
      </c>
      <c r="K66" s="35">
        <f t="shared" si="17"/>
        <v>787500.00000000012</v>
      </c>
      <c r="L66" s="35">
        <f t="shared" si="17"/>
        <v>787500.00000000012</v>
      </c>
      <c r="M66" s="35">
        <f t="shared" si="17"/>
        <v>787500.00000000012</v>
      </c>
      <c r="N66" s="35">
        <f t="shared" si="17"/>
        <v>787500.00000000012</v>
      </c>
      <c r="O66" s="35">
        <f t="shared" si="17"/>
        <v>787500.00000000012</v>
      </c>
      <c r="P66" s="35">
        <f t="shared" si="17"/>
        <v>787500.00000000012</v>
      </c>
      <c r="Q66" s="35">
        <f t="shared" si="17"/>
        <v>787500.00000000012</v>
      </c>
      <c r="R66" s="35">
        <f t="shared" si="17"/>
        <v>787500.00000000012</v>
      </c>
      <c r="S66" s="35">
        <f t="shared" si="17"/>
        <v>787500.00000000012</v>
      </c>
      <c r="T66" s="35">
        <f t="shared" si="17"/>
        <v>787500.00000000012</v>
      </c>
      <c r="U66" s="35">
        <f t="shared" si="17"/>
        <v>787500.00000000012</v>
      </c>
      <c r="V66" s="35">
        <f t="shared" si="17"/>
        <v>787500.00000000012</v>
      </c>
      <c r="W66" s="35">
        <f t="shared" si="17"/>
        <v>669375.00000000012</v>
      </c>
      <c r="X66" s="35">
        <f t="shared" si="17"/>
        <v>393750.00000000006</v>
      </c>
      <c r="Y66" s="35">
        <f t="shared" si="17"/>
        <v>118125.00000000001</v>
      </c>
      <c r="Z66" s="35">
        <f t="shared" si="17"/>
        <v>39375.000000000007</v>
      </c>
      <c r="AA66" s="35">
        <f t="shared" si="17"/>
        <v>0</v>
      </c>
    </row>
    <row r="67" spans="1:27" x14ac:dyDescent="0.25">
      <c r="A67" s="9" t="s">
        <v>53</v>
      </c>
      <c r="B67" s="35">
        <f t="shared" si="17"/>
        <v>0</v>
      </c>
      <c r="C67" s="35">
        <f t="shared" si="17"/>
        <v>420000</v>
      </c>
      <c r="D67" s="35">
        <f t="shared" si="17"/>
        <v>1400000</v>
      </c>
      <c r="E67" s="35">
        <f t="shared" si="17"/>
        <v>2415700</v>
      </c>
      <c r="F67" s="35">
        <f t="shared" si="17"/>
        <v>2660000</v>
      </c>
      <c r="G67" s="35">
        <f t="shared" si="17"/>
        <v>2800000</v>
      </c>
      <c r="H67" s="35">
        <f t="shared" si="17"/>
        <v>2842000</v>
      </c>
      <c r="I67" s="35">
        <f t="shared" si="17"/>
        <v>2800000</v>
      </c>
      <c r="J67" s="35">
        <f t="shared" si="17"/>
        <v>2800000</v>
      </c>
      <c r="K67" s="35">
        <f t="shared" si="17"/>
        <v>2842000</v>
      </c>
      <c r="L67" s="35">
        <f t="shared" si="17"/>
        <v>2800000</v>
      </c>
      <c r="M67" s="35">
        <f t="shared" si="17"/>
        <v>2800000</v>
      </c>
      <c r="N67" s="35">
        <f t="shared" si="17"/>
        <v>2842000</v>
      </c>
      <c r="O67" s="35">
        <f t="shared" si="17"/>
        <v>2800000</v>
      </c>
      <c r="P67" s="35">
        <f t="shared" si="17"/>
        <v>2800000</v>
      </c>
      <c r="Q67" s="35">
        <f t="shared" si="17"/>
        <v>2842000</v>
      </c>
      <c r="R67" s="35">
        <f t="shared" si="17"/>
        <v>2800000</v>
      </c>
      <c r="S67" s="35">
        <f t="shared" si="17"/>
        <v>2800000</v>
      </c>
      <c r="T67" s="35">
        <f t="shared" si="17"/>
        <v>2842000</v>
      </c>
      <c r="U67" s="35">
        <f t="shared" si="17"/>
        <v>2800000</v>
      </c>
      <c r="V67" s="35">
        <f t="shared" si="17"/>
        <v>2800000</v>
      </c>
      <c r="W67" s="35">
        <f t="shared" si="17"/>
        <v>2415700</v>
      </c>
      <c r="X67" s="35">
        <f t="shared" si="17"/>
        <v>1400000</v>
      </c>
      <c r="Y67" s="35">
        <f t="shared" si="17"/>
        <v>420000</v>
      </c>
      <c r="Z67" s="35">
        <f t="shared" si="17"/>
        <v>142100</v>
      </c>
      <c r="AA67" s="35">
        <f t="shared" si="17"/>
        <v>0</v>
      </c>
    </row>
    <row r="68" spans="1:27" x14ac:dyDescent="0.25">
      <c r="A68" s="9" t="s">
        <v>55</v>
      </c>
      <c r="B68" s="35">
        <f t="shared" si="17"/>
        <v>0</v>
      </c>
      <c r="C68" s="35">
        <f t="shared" si="17"/>
        <v>450000</v>
      </c>
      <c r="D68" s="35">
        <f t="shared" si="17"/>
        <v>1500000</v>
      </c>
      <c r="E68" s="35">
        <f t="shared" si="17"/>
        <v>2677500</v>
      </c>
      <c r="F68" s="35">
        <f t="shared" si="17"/>
        <v>2850000</v>
      </c>
      <c r="G68" s="35">
        <f t="shared" si="17"/>
        <v>3000000</v>
      </c>
      <c r="H68" s="35">
        <f t="shared" si="17"/>
        <v>3150000</v>
      </c>
      <c r="I68" s="35">
        <f t="shared" si="17"/>
        <v>3000000</v>
      </c>
      <c r="J68" s="35">
        <f t="shared" si="17"/>
        <v>3000000</v>
      </c>
      <c r="K68" s="35">
        <f t="shared" si="17"/>
        <v>3150000</v>
      </c>
      <c r="L68" s="35">
        <f t="shared" si="17"/>
        <v>3000000</v>
      </c>
      <c r="M68" s="35">
        <f t="shared" si="17"/>
        <v>3000000</v>
      </c>
      <c r="N68" s="35">
        <f t="shared" si="17"/>
        <v>3150000</v>
      </c>
      <c r="O68" s="35">
        <f t="shared" si="17"/>
        <v>3000000</v>
      </c>
      <c r="P68" s="35">
        <f t="shared" si="17"/>
        <v>3000000</v>
      </c>
      <c r="Q68" s="35">
        <f t="shared" si="17"/>
        <v>3150000</v>
      </c>
      <c r="R68" s="35">
        <f t="shared" si="17"/>
        <v>3000000</v>
      </c>
      <c r="S68" s="35">
        <f t="shared" si="17"/>
        <v>3000000</v>
      </c>
      <c r="T68" s="35">
        <f t="shared" si="17"/>
        <v>3150000</v>
      </c>
      <c r="U68" s="35">
        <f t="shared" si="17"/>
        <v>3000000</v>
      </c>
      <c r="V68" s="35">
        <f t="shared" si="17"/>
        <v>3000000</v>
      </c>
      <c r="W68" s="35">
        <f t="shared" si="17"/>
        <v>2677500</v>
      </c>
      <c r="X68" s="35">
        <f t="shared" si="17"/>
        <v>1500000</v>
      </c>
      <c r="Y68" s="35">
        <f t="shared" si="17"/>
        <v>450000</v>
      </c>
      <c r="Z68" s="35">
        <f t="shared" si="17"/>
        <v>157500</v>
      </c>
      <c r="AA68" s="35">
        <f t="shared" si="17"/>
        <v>0</v>
      </c>
    </row>
    <row r="69" spans="1:27" s="54" customFormat="1" x14ac:dyDescent="0.25">
      <c r="A69" s="56" t="s">
        <v>156</v>
      </c>
      <c r="B69" s="53">
        <f>B14*Assumption_Fattening!$C33</f>
        <v>0</v>
      </c>
      <c r="C69" s="53">
        <f>C14*Assumption_Fattening!$C33</f>
        <v>0</v>
      </c>
      <c r="D69" s="53">
        <f>D14*Assumption_Fattening!$C33</f>
        <v>0</v>
      </c>
      <c r="E69" s="53">
        <f>E14*Assumption_Fattening!$C33</f>
        <v>0</v>
      </c>
      <c r="F69" s="53">
        <f>F14*Assumption_Fattening!$C33</f>
        <v>0</v>
      </c>
      <c r="G69" s="53">
        <f>G14*Assumption_Fattening!$C33</f>
        <v>0</v>
      </c>
      <c r="H69" s="53">
        <f>H14*Assumption_Fattening!$C33</f>
        <v>0</v>
      </c>
      <c r="I69" s="53">
        <f>I14*Assumption_Fattening!$C33</f>
        <v>0</v>
      </c>
      <c r="J69" s="53">
        <f>J14*Assumption_Fattening!$C33</f>
        <v>0</v>
      </c>
      <c r="K69" s="53">
        <f>K14*Assumption_Fattening!$C33</f>
        <v>0</v>
      </c>
      <c r="L69" s="53">
        <f>L14*Assumption_Fattening!$C33</f>
        <v>0</v>
      </c>
      <c r="M69" s="53">
        <f>M14*Assumption_Fattening!$C33</f>
        <v>0</v>
      </c>
      <c r="N69" s="53">
        <f>N14*Assumption_Fattening!$C33</f>
        <v>0</v>
      </c>
      <c r="O69" s="53">
        <f>O14*Assumption_Fattening!$C33</f>
        <v>0</v>
      </c>
      <c r="P69" s="53">
        <f>P14*Assumption_Fattening!$C33</f>
        <v>0</v>
      </c>
      <c r="Q69" s="53">
        <f>Q14*Assumption_Fattening!$C33</f>
        <v>0</v>
      </c>
      <c r="R69" s="53">
        <f>R14*Assumption_Fattening!$C33</f>
        <v>0</v>
      </c>
      <c r="S69" s="53">
        <f>S14*Assumption_Fattening!$C33</f>
        <v>0</v>
      </c>
      <c r="T69" s="53">
        <f>T14*Assumption_Fattening!$C33</f>
        <v>0</v>
      </c>
      <c r="U69" s="53">
        <f>U14*Assumption_Fattening!$C33</f>
        <v>0</v>
      </c>
      <c r="V69" s="53">
        <f>V14*Assumption_Fattening!$C33</f>
        <v>0</v>
      </c>
      <c r="W69" s="53">
        <f>W14*Assumption_Fattening!$C33</f>
        <v>0</v>
      </c>
      <c r="X69" s="53">
        <f>X14*Assumption_Fattening!$C33</f>
        <v>0</v>
      </c>
      <c r="Y69" s="53">
        <f>Y14*Assumption_Fattening!$C33</f>
        <v>0</v>
      </c>
      <c r="Z69" s="53">
        <f>Z14*Assumption_Fattening!$C33</f>
        <v>0</v>
      </c>
      <c r="AA69" s="53">
        <f>AA14*Assumption_Fattening!$C33</f>
        <v>0</v>
      </c>
    </row>
    <row r="70" spans="1:27" x14ac:dyDescent="0.25">
      <c r="A70" s="127" t="s">
        <v>59</v>
      </c>
      <c r="B70" s="40">
        <f t="shared" ref="B70:AA70" si="18">SUM(B65:B69)</f>
        <v>0</v>
      </c>
      <c r="C70" s="40">
        <f t="shared" si="18"/>
        <v>1888125</v>
      </c>
      <c r="D70" s="40">
        <f t="shared" si="18"/>
        <v>5393750</v>
      </c>
      <c r="E70" s="40">
        <f t="shared" si="18"/>
        <v>7862575</v>
      </c>
      <c r="F70" s="40">
        <f t="shared" si="18"/>
        <v>6858125</v>
      </c>
      <c r="G70" s="40">
        <f t="shared" si="18"/>
        <v>6887500</v>
      </c>
      <c r="H70" s="40">
        <f t="shared" si="18"/>
        <v>6779500</v>
      </c>
      <c r="I70" s="40">
        <f t="shared" si="18"/>
        <v>6587500</v>
      </c>
      <c r="J70" s="40">
        <f t="shared" si="18"/>
        <v>6587500</v>
      </c>
      <c r="K70" s="40">
        <f t="shared" si="18"/>
        <v>6779500</v>
      </c>
      <c r="L70" s="40">
        <f t="shared" si="18"/>
        <v>6587500</v>
      </c>
      <c r="M70" s="40">
        <f t="shared" si="18"/>
        <v>6587500</v>
      </c>
      <c r="N70" s="40">
        <f t="shared" si="18"/>
        <v>6779500</v>
      </c>
      <c r="O70" s="40">
        <f t="shared" si="18"/>
        <v>6587500</v>
      </c>
      <c r="P70" s="40">
        <f t="shared" si="18"/>
        <v>6587500</v>
      </c>
      <c r="Q70" s="40">
        <f t="shared" si="18"/>
        <v>6779500</v>
      </c>
      <c r="R70" s="40">
        <f t="shared" si="18"/>
        <v>6587500</v>
      </c>
      <c r="S70" s="40">
        <f t="shared" si="18"/>
        <v>6587500</v>
      </c>
      <c r="T70" s="40">
        <f t="shared" si="18"/>
        <v>6779500</v>
      </c>
      <c r="U70" s="40">
        <f t="shared" si="18"/>
        <v>6587500</v>
      </c>
      <c r="V70" s="40">
        <f t="shared" si="18"/>
        <v>6587500</v>
      </c>
      <c r="W70" s="40">
        <f t="shared" si="18"/>
        <v>5762575</v>
      </c>
      <c r="X70" s="40">
        <f t="shared" si="18"/>
        <v>3293750</v>
      </c>
      <c r="Y70" s="40">
        <f t="shared" si="18"/>
        <v>988125</v>
      </c>
      <c r="Z70" s="40">
        <f t="shared" si="18"/>
        <v>338975</v>
      </c>
      <c r="AA70" s="40">
        <f t="shared" si="18"/>
        <v>0</v>
      </c>
    </row>
    <row r="71" spans="1:27" x14ac:dyDescent="0.25">
      <c r="B71" s="34"/>
      <c r="C71" s="34"/>
      <c r="D71" s="34"/>
      <c r="E71" s="34"/>
      <c r="F71" s="34"/>
      <c r="G71" s="34"/>
      <c r="H71" s="34"/>
      <c r="I71" s="34"/>
      <c r="J71" s="34"/>
      <c r="K71" s="34"/>
      <c r="L71" s="34"/>
    </row>
    <row r="72" spans="1:27" x14ac:dyDescent="0.25">
      <c r="A72" s="24" t="s">
        <v>60</v>
      </c>
      <c r="B72" s="36">
        <f t="shared" ref="B72:AA72" si="19">B62-B70</f>
        <v>0</v>
      </c>
      <c r="C72" s="36">
        <f t="shared" si="19"/>
        <v>-671201.25</v>
      </c>
      <c r="D72" s="36">
        <f t="shared" si="19"/>
        <v>-1296773.375</v>
      </c>
      <c r="E72" s="36">
        <f t="shared" si="19"/>
        <v>-2059105.1862718752</v>
      </c>
      <c r="F72" s="36">
        <f t="shared" si="19"/>
        <v>1082594.1248087501</v>
      </c>
      <c r="G72" s="36">
        <f t="shared" si="19"/>
        <v>1554738.22742825</v>
      </c>
      <c r="H72" s="36">
        <f t="shared" si="19"/>
        <v>254995.00300459005</v>
      </c>
      <c r="I72" s="36">
        <f t="shared" si="19"/>
        <v>2024427.215799557</v>
      </c>
      <c r="J72" s="36">
        <f t="shared" si="19"/>
        <v>2110546.4879575539</v>
      </c>
      <c r="K72" s="36">
        <f t="shared" si="19"/>
        <v>468147.23609063309</v>
      </c>
      <c r="L72" s="36">
        <f t="shared" si="19"/>
        <v>2285377.2223655023</v>
      </c>
      <c r="M72" s="36">
        <f t="shared" si="19"/>
        <v>2374105.9945891555</v>
      </c>
      <c r="N72" s="36">
        <f t="shared" si="19"/>
        <v>687758.1949914135</v>
      </c>
      <c r="O72" s="36">
        <f t="shared" si="19"/>
        <v>2554234.2750803977</v>
      </c>
      <c r="P72" s="36">
        <f t="shared" si="19"/>
        <v>2645651.6178312041</v>
      </c>
      <c r="Q72" s="36">
        <f t="shared" si="19"/>
        <v>914023.58555784822</v>
      </c>
      <c r="R72" s="36">
        <f t="shared" si="19"/>
        <v>2831237.9653496109</v>
      </c>
      <c r="S72" s="36">
        <f t="shared" si="19"/>
        <v>2925425.3450031076</v>
      </c>
      <c r="T72" s="36">
        <f t="shared" si="19"/>
        <v>1147145.0437238393</v>
      </c>
      <c r="U72" s="36">
        <f t="shared" si="19"/>
        <v>3116635.144437667</v>
      </c>
      <c r="V72" s="36">
        <f t="shared" si="19"/>
        <v>3213676.4958820455</v>
      </c>
      <c r="W72" s="36">
        <f t="shared" si="19"/>
        <v>1179230.7679146565</v>
      </c>
      <c r="X72" s="36">
        <f t="shared" si="19"/>
        <v>1705340.0717246383</v>
      </c>
      <c r="Y72" s="36">
        <f t="shared" si="19"/>
        <v>526599.29173256503</v>
      </c>
      <c r="Z72" s="36">
        <f t="shared" si="19"/>
        <v>81739.67202872003</v>
      </c>
      <c r="AA72" s="36">
        <f t="shared" si="19"/>
        <v>0</v>
      </c>
    </row>
    <row r="73" spans="1:27" x14ac:dyDescent="0.25">
      <c r="B73" s="34"/>
      <c r="C73" s="34"/>
      <c r="D73" s="34"/>
      <c r="E73" s="34"/>
      <c r="F73" s="34"/>
      <c r="G73" s="34"/>
      <c r="H73" s="34"/>
      <c r="I73" s="34"/>
      <c r="J73" s="34"/>
      <c r="K73" s="34"/>
      <c r="L73" s="34"/>
    </row>
    <row r="74" spans="1:27" s="13" customFormat="1" x14ac:dyDescent="0.25">
      <c r="A74" s="24" t="s">
        <v>61</v>
      </c>
      <c r="B74" s="42">
        <f>B72/(1+Assumption_Hatchery!$C76)^B59</f>
        <v>0</v>
      </c>
      <c r="C74" s="42">
        <f>C72/(1+Assumption_Hatchery!$C76)^C59</f>
        <v>-615780.96330275224</v>
      </c>
      <c r="D74" s="42">
        <f>D72/(1+Assumption_Hatchery!$C76)^D59</f>
        <v>-1091468.2055382542</v>
      </c>
      <c r="E74" s="42">
        <f>E72/(1+Assumption_Hatchery!$C76)^E59</f>
        <v>-1590007.0085472022</v>
      </c>
      <c r="F74" s="42">
        <f>F72/(1+Assumption_Hatchery!$C76)^F59</f>
        <v>766936.97136558045</v>
      </c>
      <c r="G74" s="42">
        <f>G72/(1+Assumption_Hatchery!$C76)^G59</f>
        <v>1010473.1714834746</v>
      </c>
      <c r="H74" s="42">
        <f>H72/(1+Assumption_Hatchery!$C76)^H59</f>
        <v>152045.18880910453</v>
      </c>
      <c r="I74" s="42">
        <f>I72/(1+Assumption_Hatchery!$C76)^I59</f>
        <v>1107431.0132351699</v>
      </c>
      <c r="J74" s="42">
        <f>J72/(1+Assumption_Hatchery!$C76)^J59</f>
        <v>1059212.1139876842</v>
      </c>
      <c r="K74" s="42">
        <f>K72/(1+Assumption_Hatchery!$C76)^K59</f>
        <v>215547.99239990371</v>
      </c>
      <c r="L74" s="42">
        <f>L72/(1+Assumption_Hatchery!$C76)^L59</f>
        <v>965368.03656044009</v>
      </c>
      <c r="M74" s="42">
        <f>M72/(1+Assumption_Hatchery!$C76)^M59</f>
        <v>920044.06314706174</v>
      </c>
      <c r="N74" s="42">
        <f>N72/(1+Assumption_Hatchery!$C76)^N59</f>
        <v>244521.92079407925</v>
      </c>
      <c r="O74" s="42">
        <f>O72/(1+Assumption_Hatchery!$C76)^O59</f>
        <v>833136.67967075307</v>
      </c>
      <c r="P74" s="42">
        <f>P72/(1+Assumption_Hatchery!$C76)^P59</f>
        <v>791701.8943403234</v>
      </c>
      <c r="Q74" s="42">
        <f>Q72/(1+Assumption_Hatchery!$C76)^Q59</f>
        <v>250934.24489304455</v>
      </c>
      <c r="R74" s="42">
        <f>R72/(1+Assumption_Hatchery!$C76)^R59</f>
        <v>713103.23440221918</v>
      </c>
      <c r="S74" s="42">
        <f>S72/(1+Assumption_Hatchery!$C76)^S59</f>
        <v>675987.32785531937</v>
      </c>
      <c r="T74" s="42">
        <f>T72/(1+Assumption_Hatchery!$C76)^T59</f>
        <v>243187.56831390929</v>
      </c>
      <c r="U74" s="42">
        <f>U72/(1+Assumption_Hatchery!$C76)^U59</f>
        <v>606153.34032407997</v>
      </c>
      <c r="V74" s="42">
        <f>V72/(1+Assumption_Hatchery!$C76)^V59</f>
        <v>573419.15663259139</v>
      </c>
      <c r="W74" s="42">
        <f>W72/(1+Assumption_Hatchery!$C76)^W59</f>
        <v>193037.79374095245</v>
      </c>
      <c r="X74" s="42">
        <f>X72/(1+Assumption_Hatchery!$C76)^X59</f>
        <v>256110.888291543</v>
      </c>
      <c r="Y74" s="42">
        <f>Y72/(1+Assumption_Hatchery!$C76)^Y59</f>
        <v>72555.579977400645</v>
      </c>
      <c r="Z74" s="42">
        <f>Z72/(1+Assumption_Hatchery!$C76)^Z59</f>
        <v>10332.298400086975</v>
      </c>
      <c r="AA74" s="42">
        <f>AA72/(1+Assumption_Hatchery!$C76)^AA59</f>
        <v>0</v>
      </c>
    </row>
    <row r="75" spans="1:27" x14ac:dyDescent="0.25">
      <c r="B75" s="34"/>
      <c r="C75" s="34"/>
      <c r="D75" s="34"/>
      <c r="E75" s="34"/>
      <c r="F75" s="34"/>
      <c r="G75" s="34"/>
      <c r="H75" s="34"/>
      <c r="I75" s="34"/>
      <c r="J75" s="34"/>
      <c r="K75" s="34"/>
      <c r="L75" s="34"/>
    </row>
    <row r="76" spans="1:27" s="13" customFormat="1" x14ac:dyDescent="0.25">
      <c r="A76" s="26" t="s">
        <v>62</v>
      </c>
      <c r="B76" s="37">
        <f>NPV(Assumption_Hatchery!C76,C72:Z72)+B72</f>
        <v>8363984.301236514</v>
      </c>
      <c r="C76" s="43"/>
      <c r="D76" s="43"/>
      <c r="E76" s="43"/>
      <c r="F76" s="43"/>
      <c r="G76" s="43"/>
      <c r="H76" s="43"/>
      <c r="I76" s="43"/>
      <c r="J76" s="43"/>
      <c r="K76" s="43"/>
      <c r="L76" s="43"/>
    </row>
    <row r="78" spans="1:27" s="13" customFormat="1" x14ac:dyDescent="0.25">
      <c r="A78" s="26" t="s">
        <v>25</v>
      </c>
      <c r="B78" s="38">
        <f>IRR(B72:Z72)</f>
        <v>0.28865504787104834</v>
      </c>
      <c r="C78" s="4"/>
      <c r="D78" s="4"/>
      <c r="E78" s="4"/>
      <c r="F78" s="4"/>
      <c r="G78" s="4"/>
      <c r="H78" s="4"/>
      <c r="I78" s="4"/>
      <c r="J78" s="4"/>
      <c r="K78" s="4"/>
      <c r="L78" s="4"/>
    </row>
    <row r="80" spans="1:27" s="13" customFormat="1" x14ac:dyDescent="0.25">
      <c r="A80" s="27" t="s">
        <v>63</v>
      </c>
      <c r="B80" s="39">
        <f>B74</f>
        <v>0</v>
      </c>
      <c r="C80" s="39">
        <f>B80+C74</f>
        <v>-615780.96330275224</v>
      </c>
      <c r="D80" s="39">
        <f t="shared" ref="D80:AA80" si="20">C80+D74</f>
        <v>-1707249.1688410065</v>
      </c>
      <c r="E80" s="39">
        <f t="shared" si="20"/>
        <v>-3297256.1773882089</v>
      </c>
      <c r="F80" s="39">
        <f t="shared" si="20"/>
        <v>-2530319.2060226286</v>
      </c>
      <c r="G80" s="39">
        <f t="shared" si="20"/>
        <v>-1519846.034539154</v>
      </c>
      <c r="H80" s="39">
        <f t="shared" si="20"/>
        <v>-1367800.8457300495</v>
      </c>
      <c r="I80" s="39">
        <f t="shared" si="20"/>
        <v>-260369.83249487961</v>
      </c>
      <c r="J80" s="39">
        <f t="shared" si="20"/>
        <v>798842.28149280464</v>
      </c>
      <c r="K80" s="39">
        <f t="shared" si="20"/>
        <v>1014390.2738927084</v>
      </c>
      <c r="L80" s="39">
        <f t="shared" si="20"/>
        <v>1979758.3104531486</v>
      </c>
      <c r="M80" s="39">
        <f t="shared" si="20"/>
        <v>2899802.3736002101</v>
      </c>
      <c r="N80" s="39">
        <f t="shared" si="20"/>
        <v>3144324.2943942891</v>
      </c>
      <c r="O80" s="39">
        <f t="shared" si="20"/>
        <v>3977460.9740650421</v>
      </c>
      <c r="P80" s="39">
        <f t="shared" si="20"/>
        <v>4769162.8684053654</v>
      </c>
      <c r="Q80" s="39">
        <f t="shared" si="20"/>
        <v>5020097.1132984096</v>
      </c>
      <c r="R80" s="39">
        <f t="shared" si="20"/>
        <v>5733200.3477006285</v>
      </c>
      <c r="S80" s="39">
        <f t="shared" si="20"/>
        <v>6409187.6755559482</v>
      </c>
      <c r="T80" s="39">
        <f t="shared" si="20"/>
        <v>6652375.2438698579</v>
      </c>
      <c r="U80" s="39">
        <f t="shared" si="20"/>
        <v>7258528.5841939375</v>
      </c>
      <c r="V80" s="39">
        <f t="shared" si="20"/>
        <v>7831947.7408265285</v>
      </c>
      <c r="W80" s="39">
        <f t="shared" si="20"/>
        <v>8024985.5345674809</v>
      </c>
      <c r="X80" s="39">
        <f t="shared" si="20"/>
        <v>8281096.4228590243</v>
      </c>
      <c r="Y80" s="39">
        <f t="shared" si="20"/>
        <v>8353652.0028364249</v>
      </c>
      <c r="Z80" s="39">
        <f t="shared" si="20"/>
        <v>8363984.3012365121</v>
      </c>
      <c r="AA80" s="39">
        <f t="shared" si="20"/>
        <v>8363984.3012365121</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3:AE165"/>
  <sheetViews>
    <sheetView showGridLines="0" topLeftCell="A112" zoomScale="85" zoomScaleNormal="85" workbookViewId="0">
      <selection activeCell="B143" sqref="B143"/>
    </sheetView>
  </sheetViews>
  <sheetFormatPr defaultRowHeight="15" x14ac:dyDescent="0.25"/>
  <cols>
    <col min="2" max="2" width="50" customWidth="1"/>
    <col min="3" max="3" width="14" customWidth="1"/>
    <col min="4" max="4" width="17.7109375" customWidth="1"/>
    <col min="5" max="6" width="16.85546875" customWidth="1"/>
    <col min="7" max="7" width="12.28515625" customWidth="1"/>
    <col min="8" max="8" width="12.85546875" customWidth="1"/>
    <col min="9" max="9" width="14.140625" customWidth="1"/>
    <col min="10" max="10" width="12.5703125" customWidth="1"/>
    <col min="11" max="11" width="11.7109375" customWidth="1"/>
    <col min="12" max="12" width="13.85546875" customWidth="1"/>
    <col min="13" max="13" width="12.140625" customWidth="1"/>
    <col min="14" max="14" width="15.28515625" customWidth="1"/>
    <col min="15" max="15" width="12.28515625" customWidth="1"/>
    <col min="16" max="16" width="13.7109375" customWidth="1"/>
    <col min="17" max="17" width="13.28515625" customWidth="1"/>
    <col min="18" max="18" width="13.42578125" customWidth="1"/>
    <col min="19" max="19" width="18.28515625" customWidth="1"/>
    <col min="20" max="20" width="11.7109375" customWidth="1"/>
    <col min="21" max="21" width="10.7109375" customWidth="1"/>
    <col min="22" max="22" width="12.140625" customWidth="1"/>
    <col min="23" max="23" width="14.85546875" customWidth="1"/>
    <col min="24" max="24" width="16.42578125" customWidth="1"/>
    <col min="25" max="25" width="13.7109375" customWidth="1"/>
    <col min="26" max="27" width="11.42578125" customWidth="1"/>
    <col min="28" max="29" width="15.28515625" customWidth="1"/>
    <col min="30" max="30" width="15.7109375" customWidth="1"/>
  </cols>
  <sheetData>
    <row r="3" spans="1:30" x14ac:dyDescent="0.25">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row>
    <row r="4" spans="1:30" x14ac:dyDescent="0.25">
      <c r="A4" s="70">
        <v>1</v>
      </c>
      <c r="B4" s="47" t="s">
        <v>284</v>
      </c>
      <c r="T4" s="114"/>
      <c r="U4" s="114"/>
      <c r="V4" s="114"/>
      <c r="W4" s="114"/>
      <c r="X4" s="114"/>
      <c r="Y4" s="114"/>
      <c r="Z4" s="114"/>
      <c r="AA4" s="114"/>
      <c r="AB4" s="114"/>
      <c r="AC4" s="114"/>
      <c r="AD4" s="114"/>
    </row>
    <row r="5" spans="1:30" x14ac:dyDescent="0.25">
      <c r="T5" s="114"/>
      <c r="U5" s="114"/>
      <c r="V5" s="114"/>
      <c r="W5" s="114"/>
      <c r="X5" s="114"/>
      <c r="Y5" s="114"/>
      <c r="Z5" s="114"/>
      <c r="AA5" s="114"/>
      <c r="AB5" s="114"/>
      <c r="AC5" s="114"/>
      <c r="AD5" s="114"/>
    </row>
    <row r="6" spans="1:30" x14ac:dyDescent="0.25">
      <c r="B6" s="73" t="s">
        <v>195</v>
      </c>
      <c r="C6" s="75">
        <f>S9</f>
        <v>20000</v>
      </c>
      <c r="D6" t="s">
        <v>125</v>
      </c>
      <c r="T6" s="114"/>
      <c r="U6" s="114"/>
      <c r="V6" s="114"/>
      <c r="W6" s="114"/>
      <c r="X6" s="114"/>
      <c r="Y6" s="114"/>
      <c r="Z6" s="114"/>
      <c r="AA6" s="114"/>
      <c r="AB6" s="114"/>
      <c r="AC6" s="114"/>
      <c r="AD6" s="114"/>
    </row>
    <row r="7" spans="1:30" x14ac:dyDescent="0.25">
      <c r="T7" s="114"/>
      <c r="U7" s="114"/>
      <c r="V7" s="114"/>
      <c r="W7" s="114"/>
      <c r="X7" s="114"/>
      <c r="Y7" s="114"/>
      <c r="Z7" s="114"/>
      <c r="AA7" s="114"/>
      <c r="AB7" s="114"/>
      <c r="AC7" s="114"/>
      <c r="AD7" s="114"/>
    </row>
    <row r="8" spans="1:30" x14ac:dyDescent="0.25">
      <c r="C8" s="8" t="s">
        <v>22</v>
      </c>
      <c r="D8" s="16">
        <v>0</v>
      </c>
      <c r="E8" s="16">
        <v>1</v>
      </c>
      <c r="F8" s="16">
        <v>2</v>
      </c>
      <c r="G8" s="16">
        <v>3</v>
      </c>
      <c r="H8" s="16">
        <v>4</v>
      </c>
      <c r="I8" s="16">
        <v>5</v>
      </c>
      <c r="J8" s="16">
        <v>6</v>
      </c>
      <c r="K8" s="16">
        <v>7</v>
      </c>
      <c r="L8" s="16">
        <v>8</v>
      </c>
      <c r="M8" s="16">
        <v>9</v>
      </c>
      <c r="N8" s="16">
        <v>10</v>
      </c>
      <c r="O8" s="16">
        <v>11</v>
      </c>
      <c r="P8" s="16">
        <v>12</v>
      </c>
      <c r="Q8" s="16">
        <v>13</v>
      </c>
      <c r="R8" s="16">
        <v>14</v>
      </c>
      <c r="S8" s="104" t="s">
        <v>133</v>
      </c>
      <c r="T8" s="66"/>
      <c r="U8" s="66"/>
      <c r="V8" s="66"/>
      <c r="W8" s="66"/>
      <c r="X8" s="66"/>
      <c r="Y8" s="66"/>
      <c r="Z8" s="66"/>
      <c r="AA8" s="66"/>
      <c r="AB8" s="66"/>
      <c r="AC8" s="66"/>
      <c r="AD8" s="114"/>
    </row>
    <row r="9" spans="1:30" x14ac:dyDescent="0.25">
      <c r="B9" s="73" t="s">
        <v>196</v>
      </c>
      <c r="C9" s="51"/>
      <c r="D9" s="107">
        <v>0</v>
      </c>
      <c r="E9" s="107">
        <v>2500</v>
      </c>
      <c r="F9" s="107">
        <v>5000</v>
      </c>
      <c r="G9" s="107">
        <v>5000</v>
      </c>
      <c r="H9" s="107">
        <v>5000</v>
      </c>
      <c r="I9" s="107">
        <v>2500</v>
      </c>
      <c r="J9" s="107"/>
      <c r="K9" s="107"/>
      <c r="L9" s="107"/>
      <c r="M9" s="107"/>
      <c r="N9" s="107"/>
      <c r="O9" s="107"/>
      <c r="P9" s="107"/>
      <c r="Q9" s="107"/>
      <c r="R9" s="107"/>
      <c r="S9" s="57">
        <f>SUM(D9:R9)</f>
        <v>20000</v>
      </c>
      <c r="T9" s="84"/>
      <c r="U9" s="84"/>
      <c r="V9" s="84"/>
      <c r="W9" s="84"/>
      <c r="X9" s="84"/>
      <c r="Y9" s="84"/>
      <c r="Z9" s="84"/>
      <c r="AA9" s="84"/>
      <c r="AB9" s="84"/>
      <c r="AC9" s="84"/>
      <c r="AD9" s="114"/>
    </row>
    <row r="10" spans="1:30" x14ac:dyDescent="0.25">
      <c r="B10" s="73" t="s">
        <v>197</v>
      </c>
      <c r="C10" s="51"/>
      <c r="D10" s="107"/>
      <c r="E10" s="107"/>
      <c r="F10" s="107"/>
      <c r="G10" s="107"/>
      <c r="H10" s="107"/>
      <c r="I10" s="107"/>
      <c r="J10" s="107"/>
      <c r="K10" s="107"/>
      <c r="L10" s="107"/>
      <c r="M10" s="107"/>
      <c r="N10" s="107">
        <f>E9</f>
        <v>2500</v>
      </c>
      <c r="O10" s="107">
        <f t="shared" ref="O10:R10" si="0">F9</f>
        <v>5000</v>
      </c>
      <c r="P10" s="107">
        <f t="shared" si="0"/>
        <v>5000</v>
      </c>
      <c r="Q10" s="107">
        <f t="shared" si="0"/>
        <v>5000</v>
      </c>
      <c r="R10" s="107">
        <f t="shared" si="0"/>
        <v>2500</v>
      </c>
      <c r="S10" s="57">
        <f>SUM(D10:R10)</f>
        <v>20000</v>
      </c>
      <c r="T10" s="84"/>
      <c r="U10" s="84"/>
      <c r="V10" s="84"/>
      <c r="W10" s="84"/>
      <c r="X10" s="84"/>
      <c r="Y10" s="84"/>
      <c r="Z10" s="84"/>
      <c r="AA10" s="84"/>
      <c r="AB10" s="84"/>
      <c r="AC10" s="84"/>
      <c r="AD10" s="114"/>
    </row>
    <row r="11" spans="1:30" ht="19.149999999999999" customHeight="1" x14ac:dyDescent="0.25">
      <c r="B11" s="73" t="s">
        <v>198</v>
      </c>
      <c r="C11" s="51"/>
      <c r="D11" s="70"/>
      <c r="E11" s="70">
        <f>E9</f>
        <v>2500</v>
      </c>
      <c r="F11" s="70">
        <f t="shared" ref="F11:Q11" si="1">F9+E11-F10</f>
        <v>7500</v>
      </c>
      <c r="G11" s="70">
        <f t="shared" si="1"/>
        <v>12500</v>
      </c>
      <c r="H11" s="70">
        <f t="shared" si="1"/>
        <v>17500</v>
      </c>
      <c r="I11" s="70">
        <f t="shared" si="1"/>
        <v>20000</v>
      </c>
      <c r="J11" s="70">
        <f t="shared" si="1"/>
        <v>20000</v>
      </c>
      <c r="K11" s="70">
        <f t="shared" si="1"/>
        <v>20000</v>
      </c>
      <c r="L11" s="70">
        <f t="shared" si="1"/>
        <v>20000</v>
      </c>
      <c r="M11" s="70">
        <f t="shared" si="1"/>
        <v>20000</v>
      </c>
      <c r="N11" s="70">
        <f t="shared" si="1"/>
        <v>17500</v>
      </c>
      <c r="O11" s="70">
        <f t="shared" si="1"/>
        <v>12500</v>
      </c>
      <c r="P11" s="70">
        <f t="shared" si="1"/>
        <v>7500</v>
      </c>
      <c r="Q11" s="70">
        <f t="shared" si="1"/>
        <v>2500</v>
      </c>
      <c r="R11" s="70">
        <v>2500</v>
      </c>
      <c r="S11" s="57"/>
      <c r="T11" s="84"/>
      <c r="U11" s="84"/>
      <c r="V11" s="84"/>
      <c r="W11" s="84"/>
      <c r="X11" s="84"/>
      <c r="Y11" s="84"/>
      <c r="Z11" s="84"/>
      <c r="AA11" s="84"/>
      <c r="AB11" s="84"/>
      <c r="AC11" s="84"/>
      <c r="AD11" s="114"/>
    </row>
    <row r="12" spans="1:30" ht="19.149999999999999" customHeight="1" x14ac:dyDescent="0.25">
      <c r="B12" s="67"/>
      <c r="T12" s="114"/>
      <c r="U12" s="114"/>
      <c r="V12" s="114"/>
      <c r="W12" s="114"/>
      <c r="X12" s="114"/>
      <c r="Y12" s="114"/>
      <c r="Z12" s="114"/>
      <c r="AA12" s="114"/>
      <c r="AB12" s="114"/>
      <c r="AC12" s="114"/>
      <c r="AD12" s="187"/>
    </row>
    <row r="13" spans="1:30" ht="19.149999999999999" customHeight="1" x14ac:dyDescent="0.25">
      <c r="B13" s="105" t="s">
        <v>137</v>
      </c>
      <c r="AD13" s="92"/>
    </row>
    <row r="14" spans="1:30" ht="19.149999999999999" customHeight="1" x14ac:dyDescent="0.25">
      <c r="B14" t="s">
        <v>230</v>
      </c>
      <c r="AD14" s="92"/>
    </row>
    <row r="15" spans="1:30" ht="19.149999999999999" customHeight="1" x14ac:dyDescent="0.25">
      <c r="B15" s="263" t="s">
        <v>199</v>
      </c>
      <c r="C15" s="263"/>
      <c r="D15" s="263"/>
      <c r="E15" s="263"/>
      <c r="F15" s="263"/>
      <c r="G15" s="263"/>
      <c r="H15" s="263"/>
      <c r="I15" s="263"/>
      <c r="J15" s="263"/>
      <c r="K15" s="263"/>
      <c r="AD15" s="92"/>
    </row>
    <row r="16" spans="1:30" ht="19.149999999999999" customHeight="1" x14ac:dyDescent="0.25">
      <c r="B16" s="263" t="s">
        <v>200</v>
      </c>
      <c r="C16" s="263"/>
      <c r="D16" s="263"/>
      <c r="E16" s="263"/>
      <c r="F16" s="263"/>
      <c r="G16" s="263"/>
      <c r="H16" s="263"/>
      <c r="I16" s="263"/>
      <c r="J16" s="263"/>
      <c r="AD16" s="92"/>
    </row>
    <row r="18" spans="1:30" x14ac:dyDescent="0.25">
      <c r="A18" s="70">
        <v>2</v>
      </c>
      <c r="B18" t="s">
        <v>146</v>
      </c>
      <c r="C18" s="107">
        <v>2</v>
      </c>
      <c r="D18" t="s">
        <v>90</v>
      </c>
    </row>
    <row r="19" spans="1:30" x14ac:dyDescent="0.25">
      <c r="B19" t="s">
        <v>91</v>
      </c>
      <c r="C19" s="107">
        <v>1</v>
      </c>
      <c r="D19" t="s">
        <v>90</v>
      </c>
    </row>
    <row r="20" spans="1:30" x14ac:dyDescent="0.25">
      <c r="B20" t="s">
        <v>147</v>
      </c>
      <c r="C20" s="75">
        <f>C18-C19</f>
        <v>1</v>
      </c>
      <c r="D20" t="s">
        <v>90</v>
      </c>
    </row>
    <row r="21" spans="1:30" x14ac:dyDescent="0.25">
      <c r="C21" s="84"/>
    </row>
    <row r="22" spans="1:30" x14ac:dyDescent="0.25">
      <c r="B22" t="s">
        <v>186</v>
      </c>
      <c r="C22" s="107">
        <v>150</v>
      </c>
      <c r="D22" t="s">
        <v>12</v>
      </c>
      <c r="E22" t="s">
        <v>219</v>
      </c>
    </row>
    <row r="23" spans="1:30" x14ac:dyDescent="0.25">
      <c r="B23" t="s">
        <v>187</v>
      </c>
      <c r="C23" s="107">
        <v>112</v>
      </c>
      <c r="D23" t="s">
        <v>12</v>
      </c>
      <c r="E23" t="s">
        <v>220</v>
      </c>
    </row>
    <row r="24" spans="1:30" x14ac:dyDescent="0.25">
      <c r="C24" s="84"/>
    </row>
    <row r="25" spans="1:30" ht="17.45" customHeight="1" x14ac:dyDescent="0.25">
      <c r="C25" s="130" t="s">
        <v>21</v>
      </c>
      <c r="E25" s="68"/>
      <c r="F25" s="68"/>
      <c r="G25" s="68"/>
      <c r="H25" s="68"/>
      <c r="I25" s="68"/>
      <c r="J25" s="68"/>
      <c r="K25" s="68"/>
      <c r="L25" s="68"/>
    </row>
    <row r="26" spans="1:30" ht="17.45" customHeight="1" x14ac:dyDescent="0.25">
      <c r="B26" s="6" t="s">
        <v>111</v>
      </c>
      <c r="C26" s="111">
        <v>0</v>
      </c>
      <c r="E26" s="101"/>
      <c r="F26" s="101"/>
      <c r="G26" s="101"/>
      <c r="H26" s="101"/>
      <c r="I26" s="101"/>
      <c r="J26" s="101"/>
      <c r="K26" s="101"/>
      <c r="L26" s="101"/>
    </row>
    <row r="28" spans="1:30" x14ac:dyDescent="0.25">
      <c r="C28" s="78"/>
    </row>
    <row r="29" spans="1:30" x14ac:dyDescent="0.25">
      <c r="C29" s="78"/>
    </row>
    <row r="30" spans="1:30" x14ac:dyDescent="0.25">
      <c r="C30" s="78"/>
    </row>
    <row r="31" spans="1:30" x14ac:dyDescent="0.25">
      <c r="B31" s="108" t="s">
        <v>106</v>
      </c>
      <c r="C31" s="8" t="s">
        <v>22</v>
      </c>
      <c r="D31" s="16">
        <v>0</v>
      </c>
      <c r="E31" s="16">
        <v>1</v>
      </c>
      <c r="F31" s="16">
        <v>2</v>
      </c>
      <c r="G31" s="16">
        <v>3</v>
      </c>
      <c r="H31" s="16">
        <v>4</v>
      </c>
      <c r="I31" s="16">
        <v>5</v>
      </c>
      <c r="J31" s="16">
        <v>6</v>
      </c>
      <c r="K31" s="16">
        <v>7</v>
      </c>
      <c r="L31" s="16">
        <v>8</v>
      </c>
      <c r="M31" s="16">
        <v>9</v>
      </c>
      <c r="N31" s="16">
        <v>10</v>
      </c>
      <c r="O31" s="16">
        <v>11</v>
      </c>
      <c r="P31" s="16">
        <v>12</v>
      </c>
      <c r="Q31" s="16">
        <v>13</v>
      </c>
      <c r="R31" s="16">
        <v>14</v>
      </c>
      <c r="S31" s="16" t="s">
        <v>133</v>
      </c>
      <c r="T31" s="16"/>
      <c r="U31" s="16"/>
      <c r="V31" s="16"/>
      <c r="W31" s="16"/>
      <c r="X31" s="16"/>
      <c r="Y31" s="16"/>
      <c r="Z31" s="16"/>
      <c r="AA31" s="16"/>
      <c r="AB31" s="16"/>
      <c r="AC31" s="16"/>
      <c r="AD31" s="100"/>
    </row>
    <row r="32" spans="1:30" x14ac:dyDescent="0.25">
      <c r="B32" s="51" t="s">
        <v>95</v>
      </c>
      <c r="C32" s="51"/>
      <c r="D32" s="82">
        <v>0</v>
      </c>
      <c r="E32" s="82">
        <f>D37</f>
        <v>0</v>
      </c>
      <c r="F32" s="82">
        <f t="shared" ref="F32:R32" si="2">E37</f>
        <v>655000</v>
      </c>
      <c r="G32" s="82">
        <f t="shared" si="2"/>
        <v>1310000</v>
      </c>
      <c r="H32" s="82">
        <f t="shared" si="2"/>
        <v>1310000</v>
      </c>
      <c r="I32" s="82">
        <f t="shared" si="2"/>
        <v>1310000</v>
      </c>
      <c r="J32" s="112">
        <f t="shared" si="2"/>
        <v>655000</v>
      </c>
      <c r="K32" s="82">
        <f t="shared" si="2"/>
        <v>0</v>
      </c>
      <c r="L32" s="82">
        <f t="shared" si="2"/>
        <v>0</v>
      </c>
      <c r="M32" s="82">
        <f t="shared" si="2"/>
        <v>0</v>
      </c>
      <c r="N32" s="82">
        <f t="shared" si="2"/>
        <v>0</v>
      </c>
      <c r="O32" s="82">
        <f t="shared" si="2"/>
        <v>0</v>
      </c>
      <c r="P32" s="82">
        <f t="shared" si="2"/>
        <v>0</v>
      </c>
      <c r="Q32" s="82">
        <f t="shared" si="2"/>
        <v>0</v>
      </c>
      <c r="R32" s="82">
        <f t="shared" si="2"/>
        <v>0</v>
      </c>
      <c r="S32" s="99"/>
      <c r="T32" s="80"/>
      <c r="U32" s="80"/>
      <c r="V32" s="80"/>
      <c r="W32" s="80"/>
      <c r="X32" s="80"/>
      <c r="Y32" s="80"/>
      <c r="Z32" s="80"/>
      <c r="AA32" s="80"/>
      <c r="AB32" s="80"/>
      <c r="AC32" s="80"/>
      <c r="AD32" s="190"/>
    </row>
    <row r="33" spans="2:30" x14ac:dyDescent="0.25">
      <c r="B33" s="74" t="s">
        <v>96</v>
      </c>
      <c r="C33" s="51"/>
      <c r="D33" s="81">
        <f>($C22+$C23)*D9</f>
        <v>0</v>
      </c>
      <c r="E33" s="81">
        <f t="shared" ref="E33:R33" si="3">($C22+$C23)*E9</f>
        <v>655000</v>
      </c>
      <c r="F33" s="81">
        <f t="shared" si="3"/>
        <v>1310000</v>
      </c>
      <c r="G33" s="81">
        <f t="shared" si="3"/>
        <v>1310000</v>
      </c>
      <c r="H33" s="81">
        <f t="shared" si="3"/>
        <v>1310000</v>
      </c>
      <c r="I33" s="81">
        <f t="shared" si="3"/>
        <v>655000</v>
      </c>
      <c r="J33" s="81">
        <f t="shared" si="3"/>
        <v>0</v>
      </c>
      <c r="K33" s="81">
        <f t="shared" si="3"/>
        <v>0</v>
      </c>
      <c r="L33" s="81">
        <f t="shared" si="3"/>
        <v>0</v>
      </c>
      <c r="M33" s="81">
        <f t="shared" si="3"/>
        <v>0</v>
      </c>
      <c r="N33" s="81">
        <f t="shared" si="3"/>
        <v>0</v>
      </c>
      <c r="O33" s="81">
        <f t="shared" si="3"/>
        <v>0</v>
      </c>
      <c r="P33" s="81">
        <f t="shared" si="3"/>
        <v>0</v>
      </c>
      <c r="Q33" s="81">
        <f t="shared" si="3"/>
        <v>0</v>
      </c>
      <c r="R33" s="81">
        <f t="shared" si="3"/>
        <v>0</v>
      </c>
      <c r="S33" s="99">
        <f t="shared" ref="S33:S36" si="4">SUM(D33:R33)</f>
        <v>5240000</v>
      </c>
      <c r="T33" s="83"/>
      <c r="U33" s="83"/>
      <c r="V33" s="83"/>
      <c r="W33" s="83"/>
      <c r="X33" s="83"/>
      <c r="Y33" s="83"/>
      <c r="Z33" s="83"/>
      <c r="AA33" s="83"/>
      <c r="AB33" s="80"/>
      <c r="AC33" s="80"/>
      <c r="AD33" s="190"/>
    </row>
    <row r="34" spans="2:30" x14ac:dyDescent="0.25">
      <c r="B34" s="51" t="s">
        <v>97</v>
      </c>
      <c r="C34" s="51"/>
      <c r="D34" s="82">
        <v>0</v>
      </c>
      <c r="E34" s="82">
        <v>0</v>
      </c>
      <c r="F34" s="82">
        <f>(E33+F32)*$C126</f>
        <v>314400</v>
      </c>
      <c r="G34" s="82">
        <f t="shared" ref="G34:R34" si="5">(F33+G32)*$C126</f>
        <v>628800</v>
      </c>
      <c r="H34" s="82">
        <f t="shared" si="5"/>
        <v>628800</v>
      </c>
      <c r="I34" s="82">
        <f t="shared" si="5"/>
        <v>628800</v>
      </c>
      <c r="J34" s="82">
        <f t="shared" si="5"/>
        <v>314400</v>
      </c>
      <c r="K34" s="82">
        <f t="shared" si="5"/>
        <v>0</v>
      </c>
      <c r="L34" s="82">
        <f t="shared" si="5"/>
        <v>0</v>
      </c>
      <c r="M34" s="82">
        <f t="shared" si="5"/>
        <v>0</v>
      </c>
      <c r="N34" s="82">
        <f t="shared" si="5"/>
        <v>0</v>
      </c>
      <c r="O34" s="82">
        <f t="shared" si="5"/>
        <v>0</v>
      </c>
      <c r="P34" s="82">
        <f t="shared" si="5"/>
        <v>0</v>
      </c>
      <c r="Q34" s="82">
        <f t="shared" si="5"/>
        <v>0</v>
      </c>
      <c r="R34" s="82">
        <f t="shared" si="5"/>
        <v>0</v>
      </c>
      <c r="S34" s="99">
        <f t="shared" si="4"/>
        <v>2515200</v>
      </c>
      <c r="T34" s="80"/>
      <c r="U34" s="80"/>
      <c r="V34" s="80"/>
      <c r="W34" s="80"/>
      <c r="X34" s="80"/>
      <c r="Y34" s="80"/>
      <c r="Z34" s="80"/>
      <c r="AA34" s="80"/>
      <c r="AB34" s="80"/>
      <c r="AC34" s="80"/>
      <c r="AD34" s="190"/>
    </row>
    <row r="35" spans="2:30" x14ac:dyDescent="0.25">
      <c r="B35" s="51" t="s">
        <v>99</v>
      </c>
      <c r="C35" s="51"/>
      <c r="D35" s="82">
        <v>0</v>
      </c>
      <c r="E35" s="82">
        <v>0</v>
      </c>
      <c r="F35" s="82">
        <f>E33</f>
        <v>655000</v>
      </c>
      <c r="G35" s="82">
        <f>F33</f>
        <v>1310000</v>
      </c>
      <c r="H35" s="82">
        <f t="shared" ref="H35:R35" si="6">G33</f>
        <v>1310000</v>
      </c>
      <c r="I35" s="82">
        <f t="shared" si="6"/>
        <v>1310000</v>
      </c>
      <c r="J35" s="82">
        <f t="shared" si="6"/>
        <v>655000</v>
      </c>
      <c r="K35" s="82">
        <f t="shared" si="6"/>
        <v>0</v>
      </c>
      <c r="L35" s="82">
        <f t="shared" si="6"/>
        <v>0</v>
      </c>
      <c r="M35" s="82">
        <f t="shared" si="6"/>
        <v>0</v>
      </c>
      <c r="N35" s="82">
        <f t="shared" si="6"/>
        <v>0</v>
      </c>
      <c r="O35" s="82">
        <f t="shared" si="6"/>
        <v>0</v>
      </c>
      <c r="P35" s="82">
        <f t="shared" si="6"/>
        <v>0</v>
      </c>
      <c r="Q35" s="82">
        <f t="shared" si="6"/>
        <v>0</v>
      </c>
      <c r="R35" s="82">
        <f t="shared" si="6"/>
        <v>0</v>
      </c>
      <c r="S35" s="99">
        <f t="shared" si="4"/>
        <v>5240000</v>
      </c>
      <c r="T35" s="80"/>
      <c r="U35" s="80"/>
      <c r="V35" s="80"/>
      <c r="W35" s="80"/>
      <c r="X35" s="80"/>
      <c r="Y35" s="80"/>
      <c r="Z35" s="80"/>
      <c r="AA35" s="80"/>
      <c r="AB35" s="80"/>
      <c r="AC35" s="80"/>
      <c r="AD35" s="190"/>
    </row>
    <row r="36" spans="2:30" x14ac:dyDescent="0.25">
      <c r="B36" s="51" t="s">
        <v>145</v>
      </c>
      <c r="C36" s="51"/>
      <c r="D36" s="82">
        <f>D34+D35</f>
        <v>0</v>
      </c>
      <c r="E36" s="82">
        <f>E34+E35</f>
        <v>0</v>
      </c>
      <c r="F36" s="82">
        <f t="shared" ref="F36:R36" si="7">F34+F35</f>
        <v>969400</v>
      </c>
      <c r="G36" s="82">
        <f t="shared" si="7"/>
        <v>1938800</v>
      </c>
      <c r="H36" s="82">
        <f t="shared" si="7"/>
        <v>1938800</v>
      </c>
      <c r="I36" s="82">
        <f t="shared" si="7"/>
        <v>1938800</v>
      </c>
      <c r="J36" s="112">
        <f t="shared" si="7"/>
        <v>969400</v>
      </c>
      <c r="K36" s="82">
        <f t="shared" si="7"/>
        <v>0</v>
      </c>
      <c r="L36" s="82">
        <f t="shared" si="7"/>
        <v>0</v>
      </c>
      <c r="M36" s="82">
        <f t="shared" si="7"/>
        <v>0</v>
      </c>
      <c r="N36" s="82">
        <f t="shared" si="7"/>
        <v>0</v>
      </c>
      <c r="O36" s="82">
        <f t="shared" si="7"/>
        <v>0</v>
      </c>
      <c r="P36" s="82">
        <f t="shared" si="7"/>
        <v>0</v>
      </c>
      <c r="Q36" s="82">
        <f t="shared" si="7"/>
        <v>0</v>
      </c>
      <c r="R36" s="82">
        <f t="shared" si="7"/>
        <v>0</v>
      </c>
      <c r="S36" s="99">
        <f t="shared" si="4"/>
        <v>7755200</v>
      </c>
      <c r="T36" s="80"/>
      <c r="U36" s="80"/>
      <c r="V36" s="80"/>
      <c r="W36" s="80"/>
      <c r="X36" s="80"/>
      <c r="Y36" s="80"/>
      <c r="Z36" s="80"/>
      <c r="AA36" s="80"/>
      <c r="AB36" s="80"/>
      <c r="AC36" s="80"/>
      <c r="AD36" s="190"/>
    </row>
    <row r="37" spans="2:30" x14ac:dyDescent="0.25">
      <c r="B37" s="51" t="s">
        <v>98</v>
      </c>
      <c r="C37" s="51"/>
      <c r="D37" s="82">
        <f>D32+D33-D36</f>
        <v>0</v>
      </c>
      <c r="E37" s="82">
        <f>E32+E33-E36+E34</f>
        <v>655000</v>
      </c>
      <c r="F37" s="82">
        <f t="shared" ref="F37:R37" si="8">F32+F33-F36+F34</f>
        <v>1310000</v>
      </c>
      <c r="G37" s="82">
        <f t="shared" si="8"/>
        <v>1310000</v>
      </c>
      <c r="H37" s="82">
        <f t="shared" si="8"/>
        <v>1310000</v>
      </c>
      <c r="I37" s="82">
        <f t="shared" si="8"/>
        <v>655000</v>
      </c>
      <c r="J37" s="112">
        <f t="shared" si="8"/>
        <v>0</v>
      </c>
      <c r="K37" s="82">
        <f t="shared" si="8"/>
        <v>0</v>
      </c>
      <c r="L37" s="82">
        <f t="shared" si="8"/>
        <v>0</v>
      </c>
      <c r="M37" s="82">
        <f t="shared" si="8"/>
        <v>0</v>
      </c>
      <c r="N37" s="82">
        <f t="shared" si="8"/>
        <v>0</v>
      </c>
      <c r="O37" s="82">
        <f t="shared" si="8"/>
        <v>0</v>
      </c>
      <c r="P37" s="82">
        <f t="shared" si="8"/>
        <v>0</v>
      </c>
      <c r="Q37" s="82">
        <f t="shared" si="8"/>
        <v>0</v>
      </c>
      <c r="R37" s="82">
        <f t="shared" si="8"/>
        <v>0</v>
      </c>
      <c r="S37" s="99"/>
      <c r="T37" s="80"/>
      <c r="U37" s="80"/>
      <c r="V37" s="80"/>
      <c r="W37" s="80"/>
      <c r="X37" s="80"/>
      <c r="Y37" s="80"/>
      <c r="Z37" s="80"/>
      <c r="AA37" s="80"/>
      <c r="AB37" s="80"/>
      <c r="AC37" s="80"/>
      <c r="AD37" s="190"/>
    </row>
    <row r="38" spans="2:30" x14ac:dyDescent="0.25">
      <c r="C38" s="78"/>
    </row>
    <row r="39" spans="2:30" x14ac:dyDescent="0.25">
      <c r="B39" s="47"/>
      <c r="C39" s="78"/>
    </row>
    <row r="40" spans="2:30" x14ac:dyDescent="0.25">
      <c r="B40" s="47"/>
      <c r="C40" s="78"/>
    </row>
    <row r="41" spans="2:30" x14ac:dyDescent="0.25">
      <c r="B41" s="108" t="s">
        <v>105</v>
      </c>
      <c r="C41" s="8" t="s">
        <v>22</v>
      </c>
      <c r="D41" s="16">
        <v>0</v>
      </c>
      <c r="E41" s="16">
        <v>1</v>
      </c>
      <c r="F41" s="16">
        <v>2</v>
      </c>
      <c r="G41" s="16">
        <v>3</v>
      </c>
      <c r="H41" s="16">
        <v>4</v>
      </c>
      <c r="I41" s="16">
        <v>5</v>
      </c>
      <c r="J41" s="16">
        <v>6</v>
      </c>
      <c r="K41" s="16">
        <v>7</v>
      </c>
      <c r="L41" s="16">
        <v>8</v>
      </c>
      <c r="M41" s="16">
        <v>9</v>
      </c>
      <c r="N41" s="16">
        <v>10</v>
      </c>
      <c r="O41" s="16">
        <v>11</v>
      </c>
      <c r="P41" s="16">
        <v>12</v>
      </c>
      <c r="Q41" s="16">
        <v>13</v>
      </c>
      <c r="R41" s="17">
        <v>14</v>
      </c>
      <c r="S41" s="16" t="s">
        <v>133</v>
      </c>
      <c r="T41" s="16"/>
      <c r="U41" s="16"/>
      <c r="V41" s="16"/>
      <c r="W41" s="16"/>
      <c r="X41" s="16"/>
      <c r="Y41" s="16"/>
      <c r="Z41" s="16"/>
      <c r="AA41" s="16"/>
      <c r="AB41" s="16"/>
      <c r="AC41" s="16"/>
      <c r="AD41" s="100"/>
    </row>
    <row r="42" spans="2:30" x14ac:dyDescent="0.25">
      <c r="B42" s="51" t="s">
        <v>95</v>
      </c>
      <c r="C42" s="51"/>
      <c r="D42" s="82">
        <v>0</v>
      </c>
      <c r="E42" s="82">
        <f>D47</f>
        <v>0</v>
      </c>
      <c r="F42" s="82">
        <f t="shared" ref="F42:R42" si="9">E47</f>
        <v>375000</v>
      </c>
      <c r="G42" s="82">
        <f t="shared" si="9"/>
        <v>750000</v>
      </c>
      <c r="H42" s="82">
        <f t="shared" si="9"/>
        <v>750000</v>
      </c>
      <c r="I42" s="82">
        <f t="shared" si="9"/>
        <v>750000</v>
      </c>
      <c r="J42" s="112">
        <f t="shared" si="9"/>
        <v>375000</v>
      </c>
      <c r="K42" s="82">
        <f t="shared" si="9"/>
        <v>0</v>
      </c>
      <c r="L42" s="82">
        <f t="shared" si="9"/>
        <v>0</v>
      </c>
      <c r="M42" s="82">
        <f t="shared" si="9"/>
        <v>0</v>
      </c>
      <c r="N42" s="82">
        <f t="shared" si="9"/>
        <v>0</v>
      </c>
      <c r="O42" s="82">
        <f t="shared" si="9"/>
        <v>0</v>
      </c>
      <c r="P42" s="82">
        <f t="shared" si="9"/>
        <v>0</v>
      </c>
      <c r="Q42" s="188">
        <f t="shared" si="9"/>
        <v>0</v>
      </c>
      <c r="R42" s="82">
        <f t="shared" si="9"/>
        <v>0</v>
      </c>
      <c r="S42" s="99"/>
      <c r="T42" s="80"/>
      <c r="U42" s="80"/>
      <c r="V42" s="80"/>
      <c r="W42" s="80"/>
      <c r="X42" s="80"/>
      <c r="Y42" s="80"/>
      <c r="Z42" s="80"/>
      <c r="AA42" s="80"/>
      <c r="AB42" s="80"/>
      <c r="AC42" s="80"/>
      <c r="AD42" s="190"/>
    </row>
    <row r="43" spans="2:30" x14ac:dyDescent="0.25">
      <c r="B43" s="74" t="s">
        <v>96</v>
      </c>
      <c r="C43" s="51"/>
      <c r="D43" s="81">
        <f t="shared" ref="D43:R43" si="10">$C22*D9</f>
        <v>0</v>
      </c>
      <c r="E43" s="81">
        <f t="shared" si="10"/>
        <v>375000</v>
      </c>
      <c r="F43" s="81">
        <f t="shared" si="10"/>
        <v>750000</v>
      </c>
      <c r="G43" s="81">
        <f t="shared" si="10"/>
        <v>750000</v>
      </c>
      <c r="H43" s="81">
        <f t="shared" si="10"/>
        <v>750000</v>
      </c>
      <c r="I43" s="81">
        <f t="shared" si="10"/>
        <v>375000</v>
      </c>
      <c r="J43" s="81">
        <f t="shared" si="10"/>
        <v>0</v>
      </c>
      <c r="K43" s="81">
        <f t="shared" si="10"/>
        <v>0</v>
      </c>
      <c r="L43" s="81">
        <f t="shared" si="10"/>
        <v>0</v>
      </c>
      <c r="M43" s="81">
        <f t="shared" si="10"/>
        <v>0</v>
      </c>
      <c r="N43" s="81">
        <f t="shared" si="10"/>
        <v>0</v>
      </c>
      <c r="O43" s="81">
        <f t="shared" si="10"/>
        <v>0</v>
      </c>
      <c r="P43" s="81">
        <f t="shared" si="10"/>
        <v>0</v>
      </c>
      <c r="Q43" s="189">
        <f t="shared" si="10"/>
        <v>0</v>
      </c>
      <c r="R43" s="81">
        <f t="shared" si="10"/>
        <v>0</v>
      </c>
      <c r="S43" s="99">
        <f t="shared" ref="S43:S46" si="11">SUM(D43:R43)</f>
        <v>3000000</v>
      </c>
      <c r="T43" s="83"/>
      <c r="U43" s="83"/>
      <c r="V43" s="83"/>
      <c r="W43" s="83"/>
      <c r="X43" s="83"/>
      <c r="Y43" s="83"/>
      <c r="Z43" s="83"/>
      <c r="AA43" s="83"/>
      <c r="AB43" s="83"/>
      <c r="AC43" s="83"/>
      <c r="AD43" s="190"/>
    </row>
    <row r="44" spans="2:30" x14ac:dyDescent="0.25">
      <c r="B44" s="51" t="s">
        <v>97</v>
      </c>
      <c r="C44" s="51"/>
      <c r="D44" s="82">
        <v>0</v>
      </c>
      <c r="E44" s="82">
        <v>0</v>
      </c>
      <c r="F44" s="82">
        <f>(E43+F42)*$C126</f>
        <v>180000</v>
      </c>
      <c r="G44" s="82">
        <f t="shared" ref="G44:R44" si="12">(F43+G42)*$C126</f>
        <v>360000</v>
      </c>
      <c r="H44" s="82">
        <f t="shared" si="12"/>
        <v>360000</v>
      </c>
      <c r="I44" s="82">
        <f t="shared" si="12"/>
        <v>360000</v>
      </c>
      <c r="J44" s="82">
        <f t="shared" si="12"/>
        <v>180000</v>
      </c>
      <c r="K44" s="82">
        <f t="shared" si="12"/>
        <v>0</v>
      </c>
      <c r="L44" s="82">
        <f t="shared" si="12"/>
        <v>0</v>
      </c>
      <c r="M44" s="82">
        <f t="shared" si="12"/>
        <v>0</v>
      </c>
      <c r="N44" s="82">
        <f t="shared" si="12"/>
        <v>0</v>
      </c>
      <c r="O44" s="82">
        <f t="shared" si="12"/>
        <v>0</v>
      </c>
      <c r="P44" s="82">
        <f t="shared" si="12"/>
        <v>0</v>
      </c>
      <c r="Q44" s="82">
        <f t="shared" si="12"/>
        <v>0</v>
      </c>
      <c r="R44" s="82">
        <f t="shared" si="12"/>
        <v>0</v>
      </c>
      <c r="S44" s="99">
        <f t="shared" si="11"/>
        <v>1440000</v>
      </c>
      <c r="T44" s="80"/>
      <c r="U44" s="80"/>
      <c r="V44" s="80"/>
      <c r="W44" s="80"/>
      <c r="X44" s="80"/>
      <c r="Y44" s="80"/>
      <c r="Z44" s="80"/>
      <c r="AA44" s="80"/>
      <c r="AB44" s="80"/>
      <c r="AC44" s="80"/>
      <c r="AD44" s="190"/>
    </row>
    <row r="45" spans="2:30" x14ac:dyDescent="0.25">
      <c r="B45" s="51" t="s">
        <v>99</v>
      </c>
      <c r="C45" s="51"/>
      <c r="D45" s="82">
        <v>0</v>
      </c>
      <c r="E45" s="82">
        <v>0</v>
      </c>
      <c r="F45" s="82">
        <f>F42</f>
        <v>375000</v>
      </c>
      <c r="G45" s="82">
        <f t="shared" ref="G45:R45" si="13">G42</f>
        <v>750000</v>
      </c>
      <c r="H45" s="82">
        <f t="shared" si="13"/>
        <v>750000</v>
      </c>
      <c r="I45" s="82">
        <f t="shared" si="13"/>
        <v>750000</v>
      </c>
      <c r="J45" s="82">
        <f t="shared" si="13"/>
        <v>375000</v>
      </c>
      <c r="K45" s="82">
        <f t="shared" si="13"/>
        <v>0</v>
      </c>
      <c r="L45" s="82">
        <f t="shared" si="13"/>
        <v>0</v>
      </c>
      <c r="M45" s="82">
        <f t="shared" si="13"/>
        <v>0</v>
      </c>
      <c r="N45" s="82">
        <f t="shared" si="13"/>
        <v>0</v>
      </c>
      <c r="O45" s="82">
        <f t="shared" si="13"/>
        <v>0</v>
      </c>
      <c r="P45" s="82">
        <f t="shared" si="13"/>
        <v>0</v>
      </c>
      <c r="Q45" s="82">
        <f t="shared" si="13"/>
        <v>0</v>
      </c>
      <c r="R45" s="82">
        <f t="shared" si="13"/>
        <v>0</v>
      </c>
      <c r="S45" s="99">
        <f t="shared" si="11"/>
        <v>3000000</v>
      </c>
      <c r="T45" s="80"/>
      <c r="U45" s="80"/>
      <c r="V45" s="80"/>
      <c r="W45" s="80"/>
      <c r="X45" s="80"/>
      <c r="Y45" s="80"/>
      <c r="Z45" s="80"/>
      <c r="AA45" s="80"/>
      <c r="AB45" s="80"/>
      <c r="AC45" s="80"/>
      <c r="AD45" s="190"/>
    </row>
    <row r="46" spans="2:30" x14ac:dyDescent="0.25">
      <c r="B46" s="51" t="s">
        <v>145</v>
      </c>
      <c r="C46" s="51"/>
      <c r="D46" s="82">
        <f>D44+D45</f>
        <v>0</v>
      </c>
      <c r="E46" s="82">
        <f t="shared" ref="E46:R46" si="14">E44+E45</f>
        <v>0</v>
      </c>
      <c r="F46" s="82">
        <f t="shared" si="14"/>
        <v>555000</v>
      </c>
      <c r="G46" s="82">
        <f t="shared" si="14"/>
        <v>1110000</v>
      </c>
      <c r="H46" s="82">
        <f t="shared" si="14"/>
        <v>1110000</v>
      </c>
      <c r="I46" s="82">
        <f t="shared" si="14"/>
        <v>1110000</v>
      </c>
      <c r="J46" s="112">
        <f t="shared" si="14"/>
        <v>555000</v>
      </c>
      <c r="K46" s="82">
        <f t="shared" si="14"/>
        <v>0</v>
      </c>
      <c r="L46" s="82">
        <f t="shared" si="14"/>
        <v>0</v>
      </c>
      <c r="M46" s="82">
        <f t="shared" si="14"/>
        <v>0</v>
      </c>
      <c r="N46" s="82">
        <f t="shared" si="14"/>
        <v>0</v>
      </c>
      <c r="O46" s="82">
        <f t="shared" si="14"/>
        <v>0</v>
      </c>
      <c r="P46" s="82">
        <f t="shared" si="14"/>
        <v>0</v>
      </c>
      <c r="Q46" s="188">
        <f t="shared" si="14"/>
        <v>0</v>
      </c>
      <c r="R46" s="82">
        <f t="shared" si="14"/>
        <v>0</v>
      </c>
      <c r="S46" s="99">
        <f t="shared" si="11"/>
        <v>4440000</v>
      </c>
      <c r="T46" s="80"/>
      <c r="U46" s="80"/>
      <c r="V46" s="80"/>
      <c r="W46" s="80"/>
      <c r="X46" s="80"/>
      <c r="Y46" s="80"/>
      <c r="Z46" s="80"/>
      <c r="AA46" s="80"/>
      <c r="AB46" s="80"/>
      <c r="AC46" s="80"/>
      <c r="AD46" s="190"/>
    </row>
    <row r="47" spans="2:30" x14ac:dyDescent="0.25">
      <c r="B47" s="51" t="s">
        <v>98</v>
      </c>
      <c r="C47" s="51"/>
      <c r="D47" s="82">
        <f>D42+D43-D46</f>
        <v>0</v>
      </c>
      <c r="E47" s="82">
        <f>E42+E43-E46+E44</f>
        <v>375000</v>
      </c>
      <c r="F47" s="82">
        <f t="shared" ref="F47:R47" si="15">F42+F43-F46+F44</f>
        <v>750000</v>
      </c>
      <c r="G47" s="82">
        <f t="shared" si="15"/>
        <v>750000</v>
      </c>
      <c r="H47" s="82">
        <f t="shared" si="15"/>
        <v>750000</v>
      </c>
      <c r="I47" s="82">
        <f t="shared" si="15"/>
        <v>375000</v>
      </c>
      <c r="J47" s="112">
        <f t="shared" si="15"/>
        <v>0</v>
      </c>
      <c r="K47" s="82">
        <f t="shared" si="15"/>
        <v>0</v>
      </c>
      <c r="L47" s="82">
        <f t="shared" si="15"/>
        <v>0</v>
      </c>
      <c r="M47" s="82">
        <f t="shared" si="15"/>
        <v>0</v>
      </c>
      <c r="N47" s="82">
        <f t="shared" si="15"/>
        <v>0</v>
      </c>
      <c r="O47" s="82">
        <f t="shared" si="15"/>
        <v>0</v>
      </c>
      <c r="P47" s="82">
        <f t="shared" si="15"/>
        <v>0</v>
      </c>
      <c r="Q47" s="188">
        <f t="shared" si="15"/>
        <v>0</v>
      </c>
      <c r="R47" s="82">
        <f t="shared" si="15"/>
        <v>0</v>
      </c>
      <c r="S47" s="99"/>
      <c r="T47" s="80"/>
      <c r="U47" s="80"/>
      <c r="V47" s="80"/>
      <c r="W47" s="80"/>
      <c r="X47" s="80"/>
      <c r="Y47" s="80"/>
      <c r="Z47" s="80"/>
      <c r="AA47" s="80"/>
      <c r="AB47" s="80"/>
      <c r="AC47" s="80"/>
      <c r="AD47" s="190"/>
    </row>
    <row r="48" spans="2:30" x14ac:dyDescent="0.25">
      <c r="C48" s="79"/>
      <c r="D48" s="80"/>
      <c r="E48" s="80"/>
      <c r="F48" s="80"/>
      <c r="G48" s="80"/>
      <c r="H48" s="80"/>
      <c r="I48" s="80"/>
      <c r="J48" s="80"/>
      <c r="K48" s="80"/>
      <c r="L48" s="80"/>
      <c r="M48" s="80"/>
      <c r="N48" s="80"/>
      <c r="O48" s="80"/>
      <c r="P48" s="80"/>
      <c r="Q48" s="80"/>
      <c r="R48" s="80"/>
      <c r="S48" s="80"/>
      <c r="T48" s="80"/>
      <c r="U48" s="80"/>
      <c r="V48" s="80"/>
      <c r="W48" s="80"/>
    </row>
    <row r="49" spans="2:30" hidden="1" x14ac:dyDescent="0.25">
      <c r="B49" s="47" t="s">
        <v>100</v>
      </c>
      <c r="C49" s="78"/>
      <c r="T49" s="80"/>
      <c r="U49" s="80"/>
      <c r="V49" s="80"/>
      <c r="W49" s="80"/>
    </row>
    <row r="50" spans="2:30" hidden="1" x14ac:dyDescent="0.25">
      <c r="B50" s="47"/>
      <c r="C50" s="78"/>
      <c r="T50" s="80"/>
      <c r="U50" s="80"/>
      <c r="V50" s="80"/>
      <c r="W50" s="80"/>
    </row>
    <row r="51" spans="2:30" hidden="1" x14ac:dyDescent="0.25">
      <c r="B51" s="108" t="s">
        <v>105</v>
      </c>
      <c r="C51" s="8" t="s">
        <v>22</v>
      </c>
      <c r="D51" s="16">
        <v>0</v>
      </c>
      <c r="E51" s="16">
        <v>1</v>
      </c>
      <c r="F51" s="16">
        <v>2</v>
      </c>
      <c r="G51" s="16">
        <v>3</v>
      </c>
      <c r="H51" s="16">
        <v>4</v>
      </c>
      <c r="I51" s="16">
        <v>5</v>
      </c>
      <c r="J51" s="16">
        <v>6</v>
      </c>
      <c r="K51" s="16">
        <v>7</v>
      </c>
      <c r="L51" s="16">
        <v>8</v>
      </c>
      <c r="M51" s="16">
        <v>9</v>
      </c>
      <c r="N51" s="16">
        <v>10</v>
      </c>
      <c r="O51" s="16">
        <v>11</v>
      </c>
      <c r="P51" s="16">
        <v>12</v>
      </c>
      <c r="Q51" s="16">
        <v>13</v>
      </c>
      <c r="R51" s="16">
        <v>14</v>
      </c>
      <c r="S51" s="16">
        <v>15</v>
      </c>
      <c r="T51" s="16">
        <v>16</v>
      </c>
      <c r="U51" s="16">
        <v>17</v>
      </c>
      <c r="V51" s="16">
        <v>18</v>
      </c>
      <c r="W51" s="16">
        <v>19</v>
      </c>
      <c r="X51" s="16">
        <v>20</v>
      </c>
      <c r="Y51" s="16">
        <v>21</v>
      </c>
      <c r="Z51" s="16">
        <v>22</v>
      </c>
      <c r="AA51" s="16">
        <v>23</v>
      </c>
      <c r="AB51" s="16">
        <v>24</v>
      </c>
      <c r="AC51" s="16"/>
    </row>
    <row r="52" spans="2:30" hidden="1" x14ac:dyDescent="0.25">
      <c r="B52" s="51" t="s">
        <v>95</v>
      </c>
      <c r="C52" s="51"/>
      <c r="D52" s="82"/>
      <c r="E52" s="82" t="e">
        <f>D57</f>
        <v>#REF!</v>
      </c>
      <c r="F52" s="82" t="e">
        <f t="shared" ref="F52:AB52" si="16">E57</f>
        <v>#REF!</v>
      </c>
      <c r="G52" s="82" t="e">
        <f t="shared" si="16"/>
        <v>#REF!</v>
      </c>
      <c r="H52" s="82" t="e">
        <f t="shared" si="16"/>
        <v>#REF!</v>
      </c>
      <c r="I52" s="82" t="e">
        <f t="shared" si="16"/>
        <v>#REF!</v>
      </c>
      <c r="J52" s="112" t="e">
        <f t="shared" si="16"/>
        <v>#REF!</v>
      </c>
      <c r="K52" s="82" t="e">
        <f t="shared" si="16"/>
        <v>#REF!</v>
      </c>
      <c r="L52" s="82" t="e">
        <f t="shared" si="16"/>
        <v>#REF!</v>
      </c>
      <c r="M52" s="82" t="e">
        <f t="shared" si="16"/>
        <v>#REF!</v>
      </c>
      <c r="N52" s="82" t="e">
        <f t="shared" si="16"/>
        <v>#REF!</v>
      </c>
      <c r="O52" s="82" t="e">
        <f t="shared" si="16"/>
        <v>#REF!</v>
      </c>
      <c r="P52" s="82" t="e">
        <f t="shared" si="16"/>
        <v>#REF!</v>
      </c>
      <c r="Q52" s="82" t="e">
        <f t="shared" si="16"/>
        <v>#REF!</v>
      </c>
      <c r="R52" s="82" t="e">
        <f t="shared" si="16"/>
        <v>#REF!</v>
      </c>
      <c r="S52" s="82" t="e">
        <f t="shared" si="16"/>
        <v>#REF!</v>
      </c>
      <c r="T52" s="82" t="e">
        <f t="shared" si="16"/>
        <v>#REF!</v>
      </c>
      <c r="U52" s="82" t="e">
        <f t="shared" si="16"/>
        <v>#REF!</v>
      </c>
      <c r="V52" s="82" t="e">
        <f t="shared" si="16"/>
        <v>#REF!</v>
      </c>
      <c r="W52" s="82" t="e">
        <f t="shared" si="16"/>
        <v>#REF!</v>
      </c>
      <c r="X52" s="82" t="e">
        <f t="shared" si="16"/>
        <v>#REF!</v>
      </c>
      <c r="Y52" s="82" t="e">
        <f t="shared" si="16"/>
        <v>#REF!</v>
      </c>
      <c r="Z52" s="82" t="e">
        <f t="shared" si="16"/>
        <v>#REF!</v>
      </c>
      <c r="AA52" s="82" t="e">
        <f t="shared" si="16"/>
        <v>#REF!</v>
      </c>
      <c r="AB52" s="82" t="e">
        <f t="shared" si="16"/>
        <v>#REF!</v>
      </c>
      <c r="AC52" s="80"/>
      <c r="AD52" s="98"/>
    </row>
    <row r="53" spans="2:30" hidden="1" x14ac:dyDescent="0.25">
      <c r="B53" s="74" t="s">
        <v>96</v>
      </c>
      <c r="C53" s="51"/>
      <c r="D53" s="81" t="e">
        <f>$C22*#REF!</f>
        <v>#REF!</v>
      </c>
      <c r="E53" s="81" t="e">
        <f>$C22*#REF!</f>
        <v>#REF!</v>
      </c>
      <c r="F53" s="81" t="e">
        <f>$C22*#REF!</f>
        <v>#REF!</v>
      </c>
      <c r="G53" s="81" t="e">
        <f>$C22*#REF!</f>
        <v>#REF!</v>
      </c>
      <c r="H53" s="81" t="e">
        <f>$C22*#REF!</f>
        <v>#REF!</v>
      </c>
      <c r="I53" s="81" t="e">
        <f>$C22*#REF!</f>
        <v>#REF!</v>
      </c>
      <c r="J53" s="81" t="e">
        <f>$C22*#REF!</f>
        <v>#REF!</v>
      </c>
      <c r="K53" s="81" t="e">
        <f>$C22*#REF!</f>
        <v>#REF!</v>
      </c>
      <c r="L53" s="81" t="e">
        <f>$C22*#REF!</f>
        <v>#REF!</v>
      </c>
      <c r="M53" s="81" t="e">
        <f>$C22*#REF!</f>
        <v>#REF!</v>
      </c>
      <c r="N53" s="81" t="e">
        <f>$C22*#REF!</f>
        <v>#REF!</v>
      </c>
      <c r="O53" s="81" t="e">
        <f>$C22*#REF!</f>
        <v>#REF!</v>
      </c>
      <c r="P53" s="81" t="e">
        <f>$C22*#REF!</f>
        <v>#REF!</v>
      </c>
      <c r="Q53" s="81" t="e">
        <f>$C22*#REF!</f>
        <v>#REF!</v>
      </c>
      <c r="R53" s="81" t="e">
        <f>$C22*#REF!</f>
        <v>#REF!</v>
      </c>
      <c r="S53" s="81" t="e">
        <f>$C22*#REF!</f>
        <v>#REF!</v>
      </c>
      <c r="T53" s="81" t="e">
        <f>$C22*#REF!</f>
        <v>#REF!</v>
      </c>
      <c r="U53" s="81" t="e">
        <f>$C22*#REF!</f>
        <v>#REF!</v>
      </c>
      <c r="V53" s="81" t="e">
        <f>$C22*#REF!</f>
        <v>#REF!</v>
      </c>
      <c r="W53" s="81" t="e">
        <f>$C22*#REF!</f>
        <v>#REF!</v>
      </c>
      <c r="X53" s="81" t="e">
        <f>$C22*#REF!</f>
        <v>#REF!</v>
      </c>
      <c r="Y53" s="81" t="e">
        <f>$C22*#REF!</f>
        <v>#REF!</v>
      </c>
      <c r="Z53" s="81" t="e">
        <f>$C22*#REF!</f>
        <v>#REF!</v>
      </c>
      <c r="AA53" s="81" t="e">
        <f>$C22*#REF!</f>
        <v>#REF!</v>
      </c>
      <c r="AB53" s="81" t="e">
        <f>$C22*#REF!</f>
        <v>#REF!</v>
      </c>
      <c r="AC53" s="83"/>
      <c r="AD53" s="98" t="e">
        <f>SUM(D53:AB53)</f>
        <v>#REF!</v>
      </c>
    </row>
    <row r="54" spans="2:30" hidden="1" x14ac:dyDescent="0.25">
      <c r="B54" s="51" t="s">
        <v>97</v>
      </c>
      <c r="C54" s="51"/>
      <c r="D54" s="82">
        <v>0</v>
      </c>
      <c r="E54" s="82" t="e">
        <f t="shared" ref="E54:AB54" si="17">E52*$C126</f>
        <v>#REF!</v>
      </c>
      <c r="F54" s="82" t="e">
        <f t="shared" si="17"/>
        <v>#REF!</v>
      </c>
      <c r="G54" s="82" t="e">
        <f t="shared" si="17"/>
        <v>#REF!</v>
      </c>
      <c r="H54" s="82" t="e">
        <f t="shared" si="17"/>
        <v>#REF!</v>
      </c>
      <c r="I54" s="82" t="e">
        <f t="shared" si="17"/>
        <v>#REF!</v>
      </c>
      <c r="J54" s="82" t="e">
        <f t="shared" si="17"/>
        <v>#REF!</v>
      </c>
      <c r="K54" s="82" t="e">
        <f t="shared" si="17"/>
        <v>#REF!</v>
      </c>
      <c r="L54" s="82" t="e">
        <f t="shared" si="17"/>
        <v>#REF!</v>
      </c>
      <c r="M54" s="82" t="e">
        <f t="shared" si="17"/>
        <v>#REF!</v>
      </c>
      <c r="N54" s="82" t="e">
        <f t="shared" si="17"/>
        <v>#REF!</v>
      </c>
      <c r="O54" s="82" t="e">
        <f t="shared" si="17"/>
        <v>#REF!</v>
      </c>
      <c r="P54" s="82" t="e">
        <f t="shared" si="17"/>
        <v>#REF!</v>
      </c>
      <c r="Q54" s="82" t="e">
        <f t="shared" si="17"/>
        <v>#REF!</v>
      </c>
      <c r="R54" s="82" t="e">
        <f t="shared" si="17"/>
        <v>#REF!</v>
      </c>
      <c r="S54" s="82" t="e">
        <f t="shared" si="17"/>
        <v>#REF!</v>
      </c>
      <c r="T54" s="82" t="e">
        <f t="shared" si="17"/>
        <v>#REF!</v>
      </c>
      <c r="U54" s="82" t="e">
        <f t="shared" si="17"/>
        <v>#REF!</v>
      </c>
      <c r="V54" s="82" t="e">
        <f t="shared" si="17"/>
        <v>#REF!</v>
      </c>
      <c r="W54" s="82" t="e">
        <f t="shared" si="17"/>
        <v>#REF!</v>
      </c>
      <c r="X54" s="82" t="e">
        <f t="shared" si="17"/>
        <v>#REF!</v>
      </c>
      <c r="Y54" s="82" t="e">
        <f t="shared" si="17"/>
        <v>#REF!</v>
      </c>
      <c r="Z54" s="82" t="e">
        <f t="shared" si="17"/>
        <v>#REF!</v>
      </c>
      <c r="AA54" s="82" t="e">
        <f t="shared" si="17"/>
        <v>#REF!</v>
      </c>
      <c r="AB54" s="82" t="e">
        <f t="shared" si="17"/>
        <v>#REF!</v>
      </c>
      <c r="AC54" s="80"/>
      <c r="AD54" s="98" t="e">
        <f>SUM(D54:AB54)</f>
        <v>#REF!</v>
      </c>
    </row>
    <row r="55" spans="2:30" hidden="1" x14ac:dyDescent="0.25">
      <c r="B55" s="51" t="s">
        <v>99</v>
      </c>
      <c r="C55" s="51"/>
      <c r="D55" s="82">
        <f>D45</f>
        <v>0</v>
      </c>
      <c r="E55" s="82">
        <f t="shared" ref="E55:AB55" si="18">E45</f>
        <v>0</v>
      </c>
      <c r="F55" s="82">
        <f t="shared" si="18"/>
        <v>375000</v>
      </c>
      <c r="G55" s="82">
        <f t="shared" si="18"/>
        <v>750000</v>
      </c>
      <c r="H55" s="82">
        <f t="shared" si="18"/>
        <v>750000</v>
      </c>
      <c r="I55" s="82">
        <f t="shared" si="18"/>
        <v>750000</v>
      </c>
      <c r="J55" s="82">
        <f t="shared" si="18"/>
        <v>375000</v>
      </c>
      <c r="K55" s="82">
        <f t="shared" si="18"/>
        <v>0</v>
      </c>
      <c r="L55" s="82">
        <f t="shared" si="18"/>
        <v>0</v>
      </c>
      <c r="M55" s="82">
        <f t="shared" si="18"/>
        <v>0</v>
      </c>
      <c r="N55" s="82">
        <f t="shared" si="18"/>
        <v>0</v>
      </c>
      <c r="O55" s="82">
        <f t="shared" si="18"/>
        <v>0</v>
      </c>
      <c r="P55" s="82">
        <f t="shared" si="18"/>
        <v>0</v>
      </c>
      <c r="Q55" s="82">
        <f t="shared" si="18"/>
        <v>0</v>
      </c>
      <c r="R55" s="82">
        <f t="shared" si="18"/>
        <v>0</v>
      </c>
      <c r="S55" s="82">
        <f t="shared" si="18"/>
        <v>3000000</v>
      </c>
      <c r="T55" s="82">
        <f t="shared" si="18"/>
        <v>0</v>
      </c>
      <c r="U55" s="82">
        <f t="shared" si="18"/>
        <v>0</v>
      </c>
      <c r="V55" s="82">
        <f t="shared" si="18"/>
        <v>0</v>
      </c>
      <c r="W55" s="82">
        <f t="shared" si="18"/>
        <v>0</v>
      </c>
      <c r="X55" s="82">
        <f t="shared" si="18"/>
        <v>0</v>
      </c>
      <c r="Y55" s="82">
        <f t="shared" si="18"/>
        <v>0</v>
      </c>
      <c r="Z55" s="82">
        <f t="shared" si="18"/>
        <v>0</v>
      </c>
      <c r="AA55" s="82">
        <f t="shared" si="18"/>
        <v>0</v>
      </c>
      <c r="AB55" s="82">
        <f t="shared" si="18"/>
        <v>0</v>
      </c>
      <c r="AC55" s="80"/>
      <c r="AD55" s="98">
        <f>SUM(D55:AB55)</f>
        <v>6000000</v>
      </c>
    </row>
    <row r="56" spans="2:30" hidden="1" x14ac:dyDescent="0.25">
      <c r="B56" s="51" t="s">
        <v>145</v>
      </c>
      <c r="C56" s="51"/>
      <c r="D56" s="82">
        <f>D54+D55</f>
        <v>0</v>
      </c>
      <c r="E56" s="82" t="e">
        <f t="shared" ref="E56:AB56" si="19">E54+E55</f>
        <v>#REF!</v>
      </c>
      <c r="F56" s="82" t="e">
        <f t="shared" si="19"/>
        <v>#REF!</v>
      </c>
      <c r="G56" s="82" t="e">
        <f t="shared" si="19"/>
        <v>#REF!</v>
      </c>
      <c r="H56" s="82" t="e">
        <f t="shared" si="19"/>
        <v>#REF!</v>
      </c>
      <c r="I56" s="82" t="e">
        <f t="shared" si="19"/>
        <v>#REF!</v>
      </c>
      <c r="J56" s="112" t="e">
        <f t="shared" si="19"/>
        <v>#REF!</v>
      </c>
      <c r="K56" s="82" t="e">
        <f t="shared" si="19"/>
        <v>#REF!</v>
      </c>
      <c r="L56" s="82" t="e">
        <f t="shared" si="19"/>
        <v>#REF!</v>
      </c>
      <c r="M56" s="82" t="e">
        <f t="shared" si="19"/>
        <v>#REF!</v>
      </c>
      <c r="N56" s="82" t="e">
        <f t="shared" si="19"/>
        <v>#REF!</v>
      </c>
      <c r="O56" s="82" t="e">
        <f t="shared" si="19"/>
        <v>#REF!</v>
      </c>
      <c r="P56" s="82" t="e">
        <f t="shared" si="19"/>
        <v>#REF!</v>
      </c>
      <c r="Q56" s="82" t="e">
        <f t="shared" si="19"/>
        <v>#REF!</v>
      </c>
      <c r="R56" s="82" t="e">
        <f t="shared" si="19"/>
        <v>#REF!</v>
      </c>
      <c r="S56" s="82" t="e">
        <f t="shared" si="19"/>
        <v>#REF!</v>
      </c>
      <c r="T56" s="82" t="e">
        <f t="shared" si="19"/>
        <v>#REF!</v>
      </c>
      <c r="U56" s="82" t="e">
        <f t="shared" si="19"/>
        <v>#REF!</v>
      </c>
      <c r="V56" s="82" t="e">
        <f t="shared" si="19"/>
        <v>#REF!</v>
      </c>
      <c r="W56" s="82" t="e">
        <f t="shared" si="19"/>
        <v>#REF!</v>
      </c>
      <c r="X56" s="82" t="e">
        <f t="shared" si="19"/>
        <v>#REF!</v>
      </c>
      <c r="Y56" s="82" t="e">
        <f t="shared" si="19"/>
        <v>#REF!</v>
      </c>
      <c r="Z56" s="82" t="e">
        <f t="shared" si="19"/>
        <v>#REF!</v>
      </c>
      <c r="AA56" s="82" t="e">
        <f t="shared" si="19"/>
        <v>#REF!</v>
      </c>
      <c r="AB56" s="82" t="e">
        <f t="shared" si="19"/>
        <v>#REF!</v>
      </c>
      <c r="AC56" s="80"/>
      <c r="AD56" s="98" t="e">
        <f>SUM(D56:AB56)</f>
        <v>#REF!</v>
      </c>
    </row>
    <row r="57" spans="2:30" hidden="1" x14ac:dyDescent="0.25">
      <c r="B57" s="51" t="s">
        <v>98</v>
      </c>
      <c r="C57" s="51"/>
      <c r="D57" s="82" t="e">
        <f>D52+D53-D56</f>
        <v>#REF!</v>
      </c>
      <c r="E57" s="82" t="e">
        <f>E52+E53-E56+E54</f>
        <v>#REF!</v>
      </c>
      <c r="F57" s="82" t="e">
        <f t="shared" ref="F57:AB57" si="20">F52+F53-F56+F54</f>
        <v>#REF!</v>
      </c>
      <c r="G57" s="82" t="e">
        <f t="shared" si="20"/>
        <v>#REF!</v>
      </c>
      <c r="H57" s="82" t="e">
        <f t="shared" si="20"/>
        <v>#REF!</v>
      </c>
      <c r="I57" s="82" t="e">
        <f t="shared" si="20"/>
        <v>#REF!</v>
      </c>
      <c r="J57" s="112" t="e">
        <f t="shared" si="20"/>
        <v>#REF!</v>
      </c>
      <c r="K57" s="82" t="e">
        <f t="shared" si="20"/>
        <v>#REF!</v>
      </c>
      <c r="L57" s="82" t="e">
        <f t="shared" si="20"/>
        <v>#REF!</v>
      </c>
      <c r="M57" s="82" t="e">
        <f t="shared" si="20"/>
        <v>#REF!</v>
      </c>
      <c r="N57" s="82" t="e">
        <f t="shared" si="20"/>
        <v>#REF!</v>
      </c>
      <c r="O57" s="82" t="e">
        <f t="shared" si="20"/>
        <v>#REF!</v>
      </c>
      <c r="P57" s="82" t="e">
        <f t="shared" si="20"/>
        <v>#REF!</v>
      </c>
      <c r="Q57" s="82" t="e">
        <f t="shared" si="20"/>
        <v>#REF!</v>
      </c>
      <c r="R57" s="82" t="e">
        <f t="shared" si="20"/>
        <v>#REF!</v>
      </c>
      <c r="S57" s="82" t="e">
        <f t="shared" si="20"/>
        <v>#REF!</v>
      </c>
      <c r="T57" s="82" t="e">
        <f t="shared" si="20"/>
        <v>#REF!</v>
      </c>
      <c r="U57" s="82" t="e">
        <f t="shared" si="20"/>
        <v>#REF!</v>
      </c>
      <c r="V57" s="82" t="e">
        <f t="shared" si="20"/>
        <v>#REF!</v>
      </c>
      <c r="W57" s="82" t="e">
        <f t="shared" si="20"/>
        <v>#REF!</v>
      </c>
      <c r="X57" s="82" t="e">
        <f t="shared" si="20"/>
        <v>#REF!</v>
      </c>
      <c r="Y57" s="82" t="e">
        <f t="shared" si="20"/>
        <v>#REF!</v>
      </c>
      <c r="Z57" s="82" t="e">
        <f t="shared" si="20"/>
        <v>#REF!</v>
      </c>
      <c r="AA57" s="82" t="e">
        <f t="shared" si="20"/>
        <v>#REF!</v>
      </c>
      <c r="AB57" s="82" t="e">
        <f t="shared" si="20"/>
        <v>#REF!</v>
      </c>
      <c r="AC57" s="80"/>
      <c r="AD57" s="98"/>
    </row>
    <row r="58" spans="2:30" hidden="1" x14ac:dyDescent="0.25">
      <c r="B58" s="108"/>
      <c r="C58" s="8"/>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row>
    <row r="59" spans="2:30" hidden="1" x14ac:dyDescent="0.25">
      <c r="B59" s="47" t="s">
        <v>101</v>
      </c>
      <c r="C59" s="78"/>
      <c r="T59" s="80"/>
      <c r="U59" s="80"/>
      <c r="V59" s="80"/>
      <c r="W59" s="80"/>
    </row>
    <row r="60" spans="2:30" hidden="1" x14ac:dyDescent="0.25">
      <c r="B60" s="108" t="s">
        <v>105</v>
      </c>
      <c r="C60" s="78"/>
      <c r="T60" s="80"/>
      <c r="U60" s="80"/>
      <c r="V60" s="80"/>
      <c r="W60" s="80"/>
    </row>
    <row r="61" spans="2:30" hidden="1" x14ac:dyDescent="0.25">
      <c r="B61" s="51" t="s">
        <v>95</v>
      </c>
      <c r="C61" s="51"/>
      <c r="D61" s="82"/>
      <c r="E61" s="82">
        <f>D66</f>
        <v>0</v>
      </c>
      <c r="F61" s="82" t="e">
        <f t="shared" ref="F61:AB61" si="21">E66</f>
        <v>#REF!</v>
      </c>
      <c r="G61" s="82" t="e">
        <f t="shared" si="21"/>
        <v>#REF!</v>
      </c>
      <c r="H61" s="82" t="e">
        <f t="shared" si="21"/>
        <v>#REF!</v>
      </c>
      <c r="I61" s="82" t="e">
        <f t="shared" si="21"/>
        <v>#REF!</v>
      </c>
      <c r="J61" s="112" t="e">
        <f t="shared" si="21"/>
        <v>#REF!</v>
      </c>
      <c r="K61" s="82" t="e">
        <f t="shared" si="21"/>
        <v>#REF!</v>
      </c>
      <c r="L61" s="82" t="e">
        <f t="shared" si="21"/>
        <v>#REF!</v>
      </c>
      <c r="M61" s="82" t="e">
        <f t="shared" si="21"/>
        <v>#REF!</v>
      </c>
      <c r="N61" s="82" t="e">
        <f t="shared" si="21"/>
        <v>#REF!</v>
      </c>
      <c r="O61" s="82" t="e">
        <f t="shared" si="21"/>
        <v>#REF!</v>
      </c>
      <c r="P61" s="82" t="e">
        <f t="shared" si="21"/>
        <v>#REF!</v>
      </c>
      <c r="Q61" s="82" t="e">
        <f t="shared" si="21"/>
        <v>#REF!</v>
      </c>
      <c r="R61" s="82" t="e">
        <f t="shared" si="21"/>
        <v>#REF!</v>
      </c>
      <c r="S61" s="82" t="e">
        <f t="shared" si="21"/>
        <v>#REF!</v>
      </c>
      <c r="T61" s="82" t="e">
        <f t="shared" si="21"/>
        <v>#REF!</v>
      </c>
      <c r="U61" s="82" t="e">
        <f t="shared" si="21"/>
        <v>#REF!</v>
      </c>
      <c r="V61" s="82" t="e">
        <f t="shared" si="21"/>
        <v>#REF!</v>
      </c>
      <c r="W61" s="82" t="e">
        <f t="shared" si="21"/>
        <v>#REF!</v>
      </c>
      <c r="X61" s="82" t="e">
        <f t="shared" si="21"/>
        <v>#REF!</v>
      </c>
      <c r="Y61" s="82" t="e">
        <f t="shared" si="21"/>
        <v>#REF!</v>
      </c>
      <c r="Z61" s="82" t="e">
        <f t="shared" si="21"/>
        <v>#REF!</v>
      </c>
      <c r="AA61" s="82" t="e">
        <f t="shared" si="21"/>
        <v>#REF!</v>
      </c>
      <c r="AB61" s="82" t="e">
        <f t="shared" si="21"/>
        <v>#REF!</v>
      </c>
      <c r="AC61" s="80"/>
      <c r="AD61" s="98"/>
    </row>
    <row r="62" spans="2:30" hidden="1" x14ac:dyDescent="0.25">
      <c r="B62" s="74" t="s">
        <v>96</v>
      </c>
      <c r="C62" s="51"/>
      <c r="D62" s="81">
        <f>$C53*D40</f>
        <v>0</v>
      </c>
      <c r="E62" s="81" t="e">
        <f>$C22*#REF!</f>
        <v>#REF!</v>
      </c>
      <c r="F62" s="81" t="e">
        <f>$C22*#REF!</f>
        <v>#REF!</v>
      </c>
      <c r="G62" s="81" t="e">
        <f>$C22*#REF!</f>
        <v>#REF!</v>
      </c>
      <c r="H62" s="81" t="e">
        <f>$C22*#REF!</f>
        <v>#REF!</v>
      </c>
      <c r="I62" s="81" t="e">
        <f>$C22*#REF!</f>
        <v>#REF!</v>
      </c>
      <c r="J62" s="81" t="e">
        <f>$C22*#REF!</f>
        <v>#REF!</v>
      </c>
      <c r="K62" s="81" t="e">
        <f>$C22*#REF!</f>
        <v>#REF!</v>
      </c>
      <c r="L62" s="81" t="e">
        <f>$C22*#REF!</f>
        <v>#REF!</v>
      </c>
      <c r="M62" s="81" t="e">
        <f>$C22*#REF!</f>
        <v>#REF!</v>
      </c>
      <c r="N62" s="81" t="e">
        <f>$C22*#REF!</f>
        <v>#REF!</v>
      </c>
      <c r="O62" s="81" t="e">
        <f>$C22*#REF!</f>
        <v>#REF!</v>
      </c>
      <c r="P62" s="81" t="e">
        <f>$C22*#REF!</f>
        <v>#REF!</v>
      </c>
      <c r="Q62" s="81" t="e">
        <f>$C22*#REF!</f>
        <v>#REF!</v>
      </c>
      <c r="R62" s="81" t="e">
        <f>$C22*#REF!</f>
        <v>#REF!</v>
      </c>
      <c r="S62" s="81" t="e">
        <f>$C22*#REF!</f>
        <v>#REF!</v>
      </c>
      <c r="T62" s="81" t="e">
        <f>$C22*#REF!</f>
        <v>#REF!</v>
      </c>
      <c r="U62" s="81" t="e">
        <f>$C22*#REF!</f>
        <v>#REF!</v>
      </c>
      <c r="V62" s="81" t="e">
        <f>$C22*#REF!</f>
        <v>#REF!</v>
      </c>
      <c r="W62" s="81" t="e">
        <f>$C22*#REF!</f>
        <v>#REF!</v>
      </c>
      <c r="X62" s="81" t="e">
        <f>$C22*#REF!</f>
        <v>#REF!</v>
      </c>
      <c r="Y62" s="81" t="e">
        <f>$C22*#REF!</f>
        <v>#REF!</v>
      </c>
      <c r="Z62" s="81" t="e">
        <f>$C22*#REF!</f>
        <v>#REF!</v>
      </c>
      <c r="AA62" s="81" t="e">
        <f>$C22*#REF!</f>
        <v>#REF!</v>
      </c>
      <c r="AB62" s="81" t="e">
        <f>$C22*#REF!</f>
        <v>#REF!</v>
      </c>
      <c r="AC62" s="83"/>
      <c r="AD62" s="98" t="e">
        <f>SUM(D62:AB62)</f>
        <v>#REF!</v>
      </c>
    </row>
    <row r="63" spans="2:30" hidden="1" x14ac:dyDescent="0.25">
      <c r="B63" s="51" t="s">
        <v>97</v>
      </c>
      <c r="C63" s="51"/>
      <c r="D63" s="82">
        <v>0</v>
      </c>
      <c r="E63" s="82">
        <f t="shared" ref="E63:AB63" si="22">E61*$C126</f>
        <v>0</v>
      </c>
      <c r="F63" s="82" t="e">
        <f t="shared" si="22"/>
        <v>#REF!</v>
      </c>
      <c r="G63" s="82" t="e">
        <f t="shared" si="22"/>
        <v>#REF!</v>
      </c>
      <c r="H63" s="82" t="e">
        <f t="shared" si="22"/>
        <v>#REF!</v>
      </c>
      <c r="I63" s="82" t="e">
        <f t="shared" si="22"/>
        <v>#REF!</v>
      </c>
      <c r="J63" s="82" t="e">
        <f t="shared" si="22"/>
        <v>#REF!</v>
      </c>
      <c r="K63" s="82" t="e">
        <f t="shared" si="22"/>
        <v>#REF!</v>
      </c>
      <c r="L63" s="82" t="e">
        <f t="shared" si="22"/>
        <v>#REF!</v>
      </c>
      <c r="M63" s="82" t="e">
        <f t="shared" si="22"/>
        <v>#REF!</v>
      </c>
      <c r="N63" s="82" t="e">
        <f t="shared" si="22"/>
        <v>#REF!</v>
      </c>
      <c r="O63" s="82" t="e">
        <f t="shared" si="22"/>
        <v>#REF!</v>
      </c>
      <c r="P63" s="82" t="e">
        <f t="shared" si="22"/>
        <v>#REF!</v>
      </c>
      <c r="Q63" s="82" t="e">
        <f t="shared" si="22"/>
        <v>#REF!</v>
      </c>
      <c r="R63" s="82" t="e">
        <f t="shared" si="22"/>
        <v>#REF!</v>
      </c>
      <c r="S63" s="82" t="e">
        <f t="shared" si="22"/>
        <v>#REF!</v>
      </c>
      <c r="T63" s="82" t="e">
        <f t="shared" si="22"/>
        <v>#REF!</v>
      </c>
      <c r="U63" s="82" t="e">
        <f t="shared" si="22"/>
        <v>#REF!</v>
      </c>
      <c r="V63" s="82" t="e">
        <f t="shared" si="22"/>
        <v>#REF!</v>
      </c>
      <c r="W63" s="82" t="e">
        <f t="shared" si="22"/>
        <v>#REF!</v>
      </c>
      <c r="X63" s="82" t="e">
        <f t="shared" si="22"/>
        <v>#REF!</v>
      </c>
      <c r="Y63" s="82" t="e">
        <f t="shared" si="22"/>
        <v>#REF!</v>
      </c>
      <c r="Z63" s="82" t="e">
        <f t="shared" si="22"/>
        <v>#REF!</v>
      </c>
      <c r="AA63" s="82" t="e">
        <f t="shared" si="22"/>
        <v>#REF!</v>
      </c>
      <c r="AB63" s="82" t="e">
        <f t="shared" si="22"/>
        <v>#REF!</v>
      </c>
      <c r="AC63" s="80"/>
      <c r="AD63" s="98" t="e">
        <f>SUM(D63:AB63)</f>
        <v>#REF!</v>
      </c>
    </row>
    <row r="64" spans="2:30" hidden="1" x14ac:dyDescent="0.25">
      <c r="B64" s="51" t="s">
        <v>99</v>
      </c>
      <c r="C64" s="51"/>
      <c r="D64" s="82">
        <v>0</v>
      </c>
      <c r="E64" s="82">
        <f>E55</f>
        <v>0</v>
      </c>
      <c r="F64" s="82">
        <f t="shared" ref="F64:AB64" si="23">F55</f>
        <v>375000</v>
      </c>
      <c r="G64" s="82">
        <f t="shared" si="23"/>
        <v>750000</v>
      </c>
      <c r="H64" s="82">
        <f t="shared" si="23"/>
        <v>750000</v>
      </c>
      <c r="I64" s="82">
        <f t="shared" si="23"/>
        <v>750000</v>
      </c>
      <c r="J64" s="82">
        <f t="shared" si="23"/>
        <v>375000</v>
      </c>
      <c r="K64" s="82">
        <f t="shared" si="23"/>
        <v>0</v>
      </c>
      <c r="L64" s="82">
        <f t="shared" si="23"/>
        <v>0</v>
      </c>
      <c r="M64" s="82">
        <f t="shared" si="23"/>
        <v>0</v>
      </c>
      <c r="N64" s="82">
        <f t="shared" si="23"/>
        <v>0</v>
      </c>
      <c r="O64" s="82">
        <f t="shared" si="23"/>
        <v>0</v>
      </c>
      <c r="P64" s="82">
        <f t="shared" si="23"/>
        <v>0</v>
      </c>
      <c r="Q64" s="82">
        <f t="shared" si="23"/>
        <v>0</v>
      </c>
      <c r="R64" s="82">
        <f t="shared" si="23"/>
        <v>0</v>
      </c>
      <c r="S64" s="82">
        <f t="shared" si="23"/>
        <v>3000000</v>
      </c>
      <c r="T64" s="82">
        <f t="shared" si="23"/>
        <v>0</v>
      </c>
      <c r="U64" s="82">
        <f t="shared" si="23"/>
        <v>0</v>
      </c>
      <c r="V64" s="82">
        <f t="shared" si="23"/>
        <v>0</v>
      </c>
      <c r="W64" s="82">
        <f t="shared" si="23"/>
        <v>0</v>
      </c>
      <c r="X64" s="82">
        <f t="shared" si="23"/>
        <v>0</v>
      </c>
      <c r="Y64" s="82">
        <f t="shared" si="23"/>
        <v>0</v>
      </c>
      <c r="Z64" s="82">
        <f t="shared" si="23"/>
        <v>0</v>
      </c>
      <c r="AA64" s="82">
        <f t="shared" si="23"/>
        <v>0</v>
      </c>
      <c r="AB64" s="82">
        <f t="shared" si="23"/>
        <v>0</v>
      </c>
      <c r="AC64" s="80"/>
      <c r="AD64" s="98">
        <f>SUM(D64:AB64)</f>
        <v>6000000</v>
      </c>
    </row>
    <row r="65" spans="1:31" hidden="1" x14ac:dyDescent="0.25">
      <c r="B65" s="51" t="s">
        <v>145</v>
      </c>
      <c r="C65" s="51"/>
      <c r="D65" s="82">
        <f>D63+D64</f>
        <v>0</v>
      </c>
      <c r="E65" s="82">
        <f t="shared" ref="E65:AB65" si="24">E63+E64</f>
        <v>0</v>
      </c>
      <c r="F65" s="82" t="e">
        <f t="shared" si="24"/>
        <v>#REF!</v>
      </c>
      <c r="G65" s="82" t="e">
        <f t="shared" si="24"/>
        <v>#REF!</v>
      </c>
      <c r="H65" s="82" t="e">
        <f t="shared" si="24"/>
        <v>#REF!</v>
      </c>
      <c r="I65" s="82" t="e">
        <f t="shared" si="24"/>
        <v>#REF!</v>
      </c>
      <c r="J65" s="112" t="e">
        <f t="shared" si="24"/>
        <v>#REF!</v>
      </c>
      <c r="K65" s="82" t="e">
        <f t="shared" si="24"/>
        <v>#REF!</v>
      </c>
      <c r="L65" s="82" t="e">
        <f t="shared" si="24"/>
        <v>#REF!</v>
      </c>
      <c r="M65" s="82" t="e">
        <f t="shared" si="24"/>
        <v>#REF!</v>
      </c>
      <c r="N65" s="82" t="e">
        <f t="shared" si="24"/>
        <v>#REF!</v>
      </c>
      <c r="O65" s="82" t="e">
        <f t="shared" si="24"/>
        <v>#REF!</v>
      </c>
      <c r="P65" s="82" t="e">
        <f t="shared" si="24"/>
        <v>#REF!</v>
      </c>
      <c r="Q65" s="82" t="e">
        <f t="shared" si="24"/>
        <v>#REF!</v>
      </c>
      <c r="R65" s="82" t="e">
        <f t="shared" si="24"/>
        <v>#REF!</v>
      </c>
      <c r="S65" s="82" t="e">
        <f t="shared" si="24"/>
        <v>#REF!</v>
      </c>
      <c r="T65" s="82" t="e">
        <f t="shared" si="24"/>
        <v>#REF!</v>
      </c>
      <c r="U65" s="82" t="e">
        <f t="shared" si="24"/>
        <v>#REF!</v>
      </c>
      <c r="V65" s="82" t="e">
        <f t="shared" si="24"/>
        <v>#REF!</v>
      </c>
      <c r="W65" s="82" t="e">
        <f t="shared" si="24"/>
        <v>#REF!</v>
      </c>
      <c r="X65" s="82" t="e">
        <f t="shared" si="24"/>
        <v>#REF!</v>
      </c>
      <c r="Y65" s="82" t="e">
        <f t="shared" si="24"/>
        <v>#REF!</v>
      </c>
      <c r="Z65" s="82" t="e">
        <f t="shared" si="24"/>
        <v>#REF!</v>
      </c>
      <c r="AA65" s="82" t="e">
        <f t="shared" si="24"/>
        <v>#REF!</v>
      </c>
      <c r="AB65" s="82" t="e">
        <f t="shared" si="24"/>
        <v>#REF!</v>
      </c>
      <c r="AC65" s="80"/>
      <c r="AD65" s="98" t="e">
        <f>SUM(D65:AB65)</f>
        <v>#REF!</v>
      </c>
    </row>
    <row r="66" spans="1:31" hidden="1" x14ac:dyDescent="0.25">
      <c r="B66" s="51" t="s">
        <v>98</v>
      </c>
      <c r="C66" s="51"/>
      <c r="D66" s="82">
        <f>D61+D62-D65</f>
        <v>0</v>
      </c>
      <c r="E66" s="82" t="e">
        <f>E61+E62-E65+E63</f>
        <v>#REF!</v>
      </c>
      <c r="F66" s="82" t="e">
        <f t="shared" ref="F66:AB66" si="25">F61+F62-F65+F63</f>
        <v>#REF!</v>
      </c>
      <c r="G66" s="82" t="e">
        <f t="shared" si="25"/>
        <v>#REF!</v>
      </c>
      <c r="H66" s="82" t="e">
        <f t="shared" si="25"/>
        <v>#REF!</v>
      </c>
      <c r="I66" s="82" t="e">
        <f t="shared" si="25"/>
        <v>#REF!</v>
      </c>
      <c r="J66" s="112" t="e">
        <f t="shared" si="25"/>
        <v>#REF!</v>
      </c>
      <c r="K66" s="82" t="e">
        <f t="shared" si="25"/>
        <v>#REF!</v>
      </c>
      <c r="L66" s="82" t="e">
        <f t="shared" si="25"/>
        <v>#REF!</v>
      </c>
      <c r="M66" s="82" t="e">
        <f t="shared" si="25"/>
        <v>#REF!</v>
      </c>
      <c r="N66" s="82" t="e">
        <f t="shared" si="25"/>
        <v>#REF!</v>
      </c>
      <c r="O66" s="82" t="e">
        <f t="shared" si="25"/>
        <v>#REF!</v>
      </c>
      <c r="P66" s="82" t="e">
        <f t="shared" si="25"/>
        <v>#REF!</v>
      </c>
      <c r="Q66" s="82" t="e">
        <f t="shared" si="25"/>
        <v>#REF!</v>
      </c>
      <c r="R66" s="82" t="e">
        <f t="shared" si="25"/>
        <v>#REF!</v>
      </c>
      <c r="S66" s="82" t="e">
        <f t="shared" si="25"/>
        <v>#REF!</v>
      </c>
      <c r="T66" s="82" t="e">
        <f t="shared" si="25"/>
        <v>#REF!</v>
      </c>
      <c r="U66" s="82" t="e">
        <f t="shared" si="25"/>
        <v>#REF!</v>
      </c>
      <c r="V66" s="82" t="e">
        <f t="shared" si="25"/>
        <v>#REF!</v>
      </c>
      <c r="W66" s="82" t="e">
        <f t="shared" si="25"/>
        <v>#REF!</v>
      </c>
      <c r="X66" s="82" t="e">
        <f t="shared" si="25"/>
        <v>#REF!</v>
      </c>
      <c r="Y66" s="82" t="e">
        <f t="shared" si="25"/>
        <v>#REF!</v>
      </c>
      <c r="Z66" s="82" t="e">
        <f t="shared" si="25"/>
        <v>#REF!</v>
      </c>
      <c r="AA66" s="82" t="e">
        <f t="shared" si="25"/>
        <v>#REF!</v>
      </c>
      <c r="AB66" s="82" t="e">
        <f t="shared" si="25"/>
        <v>#REF!</v>
      </c>
      <c r="AC66" s="80"/>
      <c r="AD66" s="98"/>
    </row>
    <row r="67" spans="1:31" x14ac:dyDescent="0.25">
      <c r="B67" s="47"/>
      <c r="C67" s="78"/>
      <c r="T67" s="80"/>
      <c r="U67" s="80"/>
      <c r="V67" s="80"/>
      <c r="W67" s="80"/>
    </row>
    <row r="68" spans="1:31" x14ac:dyDescent="0.25">
      <c r="D68" s="80"/>
      <c r="E68" s="80"/>
      <c r="F68" s="80"/>
      <c r="G68" s="80"/>
      <c r="H68" s="80"/>
      <c r="I68" s="80"/>
      <c r="J68" s="80"/>
      <c r="K68" s="80"/>
      <c r="L68" s="80"/>
      <c r="M68" s="80"/>
      <c r="N68" s="80"/>
      <c r="O68" s="80"/>
      <c r="P68" s="80"/>
      <c r="Q68" s="80"/>
      <c r="R68" s="80"/>
      <c r="S68" s="80"/>
      <c r="T68" s="80"/>
      <c r="U68" s="80"/>
      <c r="V68" s="80"/>
      <c r="W68" s="80"/>
    </row>
    <row r="69" spans="1:31" x14ac:dyDescent="0.25">
      <c r="A69" s="70">
        <v>3</v>
      </c>
      <c r="B69" s="47" t="s">
        <v>142</v>
      </c>
      <c r="C69" s="151">
        <f>Assumption_Hatchery!C76</f>
        <v>0.09</v>
      </c>
      <c r="D69" s="80"/>
      <c r="E69" s="80"/>
      <c r="F69" s="80"/>
      <c r="G69" s="80"/>
      <c r="H69" s="80"/>
      <c r="I69" s="80"/>
      <c r="J69" s="80"/>
      <c r="K69" s="80"/>
      <c r="L69" s="80"/>
      <c r="M69" s="80"/>
      <c r="N69" s="80"/>
      <c r="O69" s="80"/>
      <c r="P69" s="80"/>
      <c r="Q69" s="80"/>
      <c r="R69" s="80"/>
      <c r="S69" s="80"/>
      <c r="T69" s="80"/>
      <c r="U69" s="80"/>
      <c r="V69" s="80"/>
      <c r="W69" s="80"/>
    </row>
    <row r="70" spans="1:31" x14ac:dyDescent="0.25">
      <c r="A70" s="100"/>
      <c r="C70" s="78"/>
      <c r="D70" s="80"/>
      <c r="E70" s="80"/>
      <c r="F70" s="80"/>
      <c r="G70" s="80"/>
      <c r="H70" s="80"/>
      <c r="I70" s="80"/>
      <c r="J70" s="80"/>
      <c r="K70" s="80"/>
      <c r="L70" s="80"/>
      <c r="M70" s="80"/>
      <c r="N70" s="80"/>
      <c r="O70" s="80"/>
      <c r="P70" s="80"/>
      <c r="Q70" s="80"/>
      <c r="R70" s="80"/>
      <c r="S70" s="80"/>
      <c r="T70" s="80"/>
      <c r="U70" s="80"/>
      <c r="V70" s="80"/>
      <c r="W70" s="80"/>
    </row>
    <row r="71" spans="1:31" x14ac:dyDescent="0.25">
      <c r="A71" s="70">
        <v>4</v>
      </c>
      <c r="B71" s="47" t="s">
        <v>148</v>
      </c>
      <c r="C71" s="78"/>
      <c r="D71" s="80"/>
      <c r="E71" s="80"/>
      <c r="F71" s="80"/>
      <c r="G71" s="80"/>
      <c r="H71" s="80"/>
      <c r="I71" s="80"/>
      <c r="J71" s="80"/>
      <c r="K71" s="80"/>
      <c r="L71" s="80"/>
      <c r="M71" s="80"/>
      <c r="N71" s="80"/>
      <c r="O71" s="80"/>
      <c r="P71" s="80"/>
      <c r="Q71" s="80"/>
      <c r="R71" s="80"/>
      <c r="S71" s="80"/>
      <c r="T71" s="80"/>
      <c r="U71" s="80"/>
      <c r="V71" s="80"/>
      <c r="W71" s="80"/>
    </row>
    <row r="72" spans="1:31" ht="29.45" customHeight="1" x14ac:dyDescent="0.25">
      <c r="B72" t="s">
        <v>149</v>
      </c>
      <c r="C72" s="274" t="s">
        <v>153</v>
      </c>
      <c r="D72" s="274"/>
      <c r="E72" s="274"/>
      <c r="F72" s="274"/>
      <c r="G72" s="80"/>
      <c r="H72" s="80"/>
      <c r="I72" s="80"/>
      <c r="J72" s="80"/>
      <c r="K72" s="80"/>
      <c r="L72" s="80"/>
      <c r="M72" s="80"/>
      <c r="N72" s="80"/>
      <c r="O72" s="80"/>
      <c r="P72" s="80"/>
      <c r="Q72" s="80"/>
      <c r="R72" s="80"/>
      <c r="S72" s="80"/>
      <c r="T72" s="80"/>
      <c r="U72" s="80"/>
      <c r="V72" s="80"/>
      <c r="W72" s="80"/>
    </row>
    <row r="73" spans="1:31" x14ac:dyDescent="0.25">
      <c r="B73" s="72"/>
      <c r="C73" s="17" t="s">
        <v>22</v>
      </c>
      <c r="D73" s="17">
        <v>1</v>
      </c>
      <c r="E73" s="17">
        <v>2</v>
      </c>
      <c r="F73" s="17">
        <v>3</v>
      </c>
      <c r="G73" s="80"/>
      <c r="H73" s="80"/>
      <c r="I73" s="80"/>
      <c r="J73" s="80"/>
      <c r="K73" s="80"/>
      <c r="L73" s="80"/>
      <c r="M73" s="80"/>
      <c r="N73" s="80"/>
      <c r="O73" s="80"/>
      <c r="P73" s="80"/>
      <c r="Q73" s="80"/>
      <c r="R73" s="80"/>
      <c r="S73" s="80"/>
      <c r="T73" s="80"/>
      <c r="U73" s="80"/>
      <c r="V73" s="80"/>
      <c r="W73" s="80"/>
    </row>
    <row r="74" spans="1:31" x14ac:dyDescent="0.25">
      <c r="B74" t="s">
        <v>92</v>
      </c>
      <c r="C74" s="70"/>
      <c r="D74" s="75">
        <f>Assumption_Hatchery!D81</f>
        <v>0</v>
      </c>
      <c r="E74" s="75">
        <f>Assumption_Hatchery!E81</f>
        <v>0</v>
      </c>
      <c r="F74" s="75">
        <f>Assumption_Hatchery!F81</f>
        <v>1</v>
      </c>
      <c r="G74" s="80"/>
      <c r="H74" s="80"/>
      <c r="I74" s="80"/>
      <c r="J74" s="80"/>
      <c r="K74" s="80"/>
      <c r="L74" s="80"/>
      <c r="M74" s="80"/>
      <c r="N74" s="80"/>
      <c r="O74" s="80"/>
      <c r="P74" s="80"/>
      <c r="Q74" s="80"/>
      <c r="R74" s="80"/>
      <c r="S74" s="80"/>
      <c r="T74" s="80"/>
      <c r="U74" s="80"/>
      <c r="V74" s="80"/>
      <c r="W74" s="80"/>
    </row>
    <row r="75" spans="1:31" x14ac:dyDescent="0.25">
      <c r="B75" t="s">
        <v>94</v>
      </c>
      <c r="C75" s="70"/>
      <c r="D75" s="151">
        <f>Assumption_Hatchery!D82</f>
        <v>0</v>
      </c>
      <c r="E75" s="151">
        <f>Assumption_Hatchery!E82</f>
        <v>0</v>
      </c>
      <c r="F75" s="151">
        <f>Assumption_Hatchery!F82</f>
        <v>0.5</v>
      </c>
      <c r="G75" s="80"/>
      <c r="H75" s="80"/>
      <c r="I75" s="80"/>
      <c r="J75" s="80"/>
      <c r="K75" s="80"/>
      <c r="L75" s="80"/>
      <c r="M75" s="80"/>
      <c r="N75" s="80"/>
      <c r="O75" s="80"/>
      <c r="P75" s="80"/>
      <c r="Q75" s="80"/>
      <c r="R75" s="80"/>
      <c r="S75" s="80"/>
      <c r="T75" s="80"/>
      <c r="U75" s="80"/>
      <c r="V75" s="80"/>
      <c r="W75" s="80"/>
    </row>
    <row r="76" spans="1:31" x14ac:dyDescent="0.25">
      <c r="C76" s="100"/>
      <c r="D76" s="78"/>
      <c r="E76" s="78"/>
      <c r="F76" s="78"/>
      <c r="G76" s="80"/>
      <c r="H76" s="80"/>
      <c r="I76" s="80"/>
      <c r="J76" s="80"/>
      <c r="K76" s="80"/>
      <c r="L76" s="80"/>
      <c r="M76" s="80"/>
      <c r="N76" s="80"/>
      <c r="O76" s="80"/>
      <c r="P76" s="80"/>
      <c r="Q76" s="80"/>
      <c r="R76" s="80"/>
      <c r="S76" s="80"/>
      <c r="T76" s="80"/>
      <c r="U76" s="80"/>
      <c r="V76" s="80"/>
      <c r="W76" s="80"/>
    </row>
    <row r="78" spans="1:31" x14ac:dyDescent="0.25">
      <c r="B78" s="72"/>
      <c r="C78" s="17" t="s">
        <v>22</v>
      </c>
      <c r="D78" s="17">
        <v>0</v>
      </c>
      <c r="E78" s="17">
        <v>1</v>
      </c>
      <c r="F78" s="17">
        <v>2</v>
      </c>
      <c r="G78" s="17">
        <v>3</v>
      </c>
      <c r="H78" s="17">
        <v>4</v>
      </c>
      <c r="I78" s="17">
        <v>5</v>
      </c>
      <c r="J78" s="17">
        <v>6</v>
      </c>
      <c r="K78" s="17">
        <v>7</v>
      </c>
      <c r="L78" s="17">
        <v>8</v>
      </c>
      <c r="M78" s="17">
        <v>9</v>
      </c>
      <c r="N78" s="17">
        <v>10</v>
      </c>
      <c r="O78" s="17">
        <v>11</v>
      </c>
      <c r="P78" s="17">
        <v>12</v>
      </c>
      <c r="Q78" s="17">
        <v>13</v>
      </c>
      <c r="R78" s="17">
        <v>14</v>
      </c>
      <c r="S78" s="17">
        <v>15</v>
      </c>
      <c r="T78" s="17">
        <v>16</v>
      </c>
      <c r="U78" s="17">
        <v>17</v>
      </c>
      <c r="V78" s="17">
        <v>18</v>
      </c>
      <c r="W78" s="17">
        <v>19</v>
      </c>
      <c r="X78" s="17">
        <v>20</v>
      </c>
      <c r="Y78" s="17">
        <v>21</v>
      </c>
      <c r="Z78" s="17">
        <v>22</v>
      </c>
      <c r="AA78" s="17">
        <v>23</v>
      </c>
      <c r="AB78" s="17">
        <v>24</v>
      </c>
      <c r="AC78" s="17">
        <v>25</v>
      </c>
    </row>
    <row r="79" spans="1:31" x14ac:dyDescent="0.25">
      <c r="B79" t="s">
        <v>92</v>
      </c>
      <c r="C79" s="70"/>
      <c r="D79" s="70"/>
      <c r="E79" s="70">
        <f>D74</f>
        <v>0</v>
      </c>
      <c r="F79" s="70">
        <f>E74</f>
        <v>0</v>
      </c>
      <c r="G79" s="70">
        <f>F74</f>
        <v>1</v>
      </c>
      <c r="H79" s="70">
        <f>D74</f>
        <v>0</v>
      </c>
      <c r="I79" s="70">
        <f t="shared" ref="I79:J79" si="26">E74</f>
        <v>0</v>
      </c>
      <c r="J79" s="70">
        <f t="shared" si="26"/>
        <v>1</v>
      </c>
      <c r="K79" s="70">
        <f>D74</f>
        <v>0</v>
      </c>
      <c r="L79" s="70">
        <f t="shared" ref="L79:M79" si="27">E74</f>
        <v>0</v>
      </c>
      <c r="M79" s="70">
        <f t="shared" si="27"/>
        <v>1</v>
      </c>
      <c r="N79" s="70">
        <f>D74</f>
        <v>0</v>
      </c>
      <c r="O79" s="70">
        <f t="shared" ref="O79:P79" si="28">E74</f>
        <v>0</v>
      </c>
      <c r="P79" s="70">
        <f t="shared" si="28"/>
        <v>1</v>
      </c>
      <c r="Q79" s="70">
        <f>D74</f>
        <v>0</v>
      </c>
      <c r="R79" s="70">
        <f t="shared" ref="R79:S79" si="29">E74</f>
        <v>0</v>
      </c>
      <c r="S79" s="70">
        <f t="shared" si="29"/>
        <v>1</v>
      </c>
      <c r="T79" s="70">
        <f>D74</f>
        <v>0</v>
      </c>
      <c r="U79" s="70">
        <f t="shared" ref="U79:V79" si="30">E74</f>
        <v>0</v>
      </c>
      <c r="V79" s="70">
        <f t="shared" si="30"/>
        <v>1</v>
      </c>
      <c r="W79" s="70">
        <f>D74</f>
        <v>0</v>
      </c>
      <c r="X79" s="70">
        <f t="shared" ref="X79:Y79" si="31">E74</f>
        <v>0</v>
      </c>
      <c r="Y79" s="70">
        <f t="shared" si="31"/>
        <v>1</v>
      </c>
      <c r="Z79" s="70">
        <f>D74</f>
        <v>0</v>
      </c>
      <c r="AA79" s="70">
        <f t="shared" ref="AA79:AB79" si="32">E74</f>
        <v>0</v>
      </c>
      <c r="AB79" s="70">
        <f t="shared" si="32"/>
        <v>1</v>
      </c>
      <c r="AC79" s="100"/>
    </row>
    <row r="80" spans="1:31" x14ac:dyDescent="0.25">
      <c r="B80" t="s">
        <v>94</v>
      </c>
      <c r="C80" s="70"/>
      <c r="D80" s="75"/>
      <c r="E80" s="63">
        <f>$D75</f>
        <v>0</v>
      </c>
      <c r="F80" s="115">
        <f>$E75</f>
        <v>0</v>
      </c>
      <c r="G80" s="115">
        <f>$F75</f>
        <v>0.5</v>
      </c>
      <c r="H80" s="63">
        <f>$D75</f>
        <v>0</v>
      </c>
      <c r="I80" s="115">
        <f>$E75</f>
        <v>0</v>
      </c>
      <c r="J80" s="115">
        <f>$F75</f>
        <v>0.5</v>
      </c>
      <c r="K80" s="63">
        <f>$D75</f>
        <v>0</v>
      </c>
      <c r="L80" s="115">
        <f>$E75</f>
        <v>0</v>
      </c>
      <c r="M80" s="115">
        <f>$F75</f>
        <v>0.5</v>
      </c>
      <c r="N80" s="63">
        <f>$D75</f>
        <v>0</v>
      </c>
      <c r="O80" s="115">
        <f>$E75</f>
        <v>0</v>
      </c>
      <c r="P80" s="115">
        <f>$F75</f>
        <v>0.5</v>
      </c>
      <c r="Q80" s="63">
        <f>$D75</f>
        <v>0</v>
      </c>
      <c r="R80" s="115">
        <f>$E75</f>
        <v>0</v>
      </c>
      <c r="S80" s="115">
        <f>$F75</f>
        <v>0.5</v>
      </c>
      <c r="T80" s="63">
        <f>$D75</f>
        <v>0</v>
      </c>
      <c r="U80" s="115">
        <f>$E75</f>
        <v>0</v>
      </c>
      <c r="V80" s="115">
        <f>$F75</f>
        <v>0.5</v>
      </c>
      <c r="W80" s="63">
        <f>$D75</f>
        <v>0</v>
      </c>
      <c r="X80" s="115">
        <f>$E75</f>
        <v>0</v>
      </c>
      <c r="Y80" s="115">
        <f>$F75</f>
        <v>0.5</v>
      </c>
      <c r="Z80" s="63">
        <f>$D75</f>
        <v>0</v>
      </c>
      <c r="AA80" s="115">
        <f>$E75</f>
        <v>0</v>
      </c>
      <c r="AB80" s="115">
        <f>$F75</f>
        <v>0.5</v>
      </c>
      <c r="AC80" s="116"/>
      <c r="AD80" s="116"/>
      <c r="AE80" s="116"/>
    </row>
    <row r="81" spans="2:31" x14ac:dyDescent="0.25">
      <c r="C81" s="100"/>
      <c r="D81" s="78"/>
      <c r="E81" s="78"/>
      <c r="F81" s="78"/>
      <c r="G81" s="78"/>
      <c r="H81" s="78"/>
      <c r="I81" s="78"/>
      <c r="J81" s="78"/>
      <c r="K81" s="78"/>
      <c r="L81" s="78"/>
      <c r="M81" s="78"/>
      <c r="N81" s="78"/>
      <c r="O81" s="78"/>
      <c r="P81" s="78"/>
      <c r="Q81" s="78"/>
      <c r="R81" s="78"/>
      <c r="S81" s="78"/>
      <c r="T81" s="78"/>
      <c r="U81" s="78"/>
      <c r="V81" s="78"/>
      <c r="W81" s="78"/>
      <c r="X81" s="78"/>
      <c r="Y81" s="114"/>
      <c r="Z81" s="114"/>
      <c r="AA81" s="114"/>
      <c r="AB81" s="114"/>
      <c r="AC81" s="114"/>
      <c r="AD81" s="114"/>
    </row>
    <row r="82" spans="2:31" x14ac:dyDescent="0.25">
      <c r="C82" s="100"/>
      <c r="D82" s="113"/>
      <c r="E82" s="113"/>
      <c r="F82" s="113"/>
      <c r="G82" s="113"/>
      <c r="H82" s="113"/>
      <c r="I82" s="113"/>
      <c r="J82" s="113"/>
      <c r="K82" s="113"/>
      <c r="L82" s="113"/>
      <c r="M82" s="113"/>
      <c r="N82" s="113"/>
      <c r="O82" s="113"/>
      <c r="P82" s="113"/>
      <c r="Q82" s="113"/>
      <c r="R82" s="113"/>
      <c r="S82" s="113"/>
      <c r="T82" s="113"/>
      <c r="U82" s="113"/>
      <c r="V82" s="113"/>
      <c r="W82" s="113"/>
      <c r="X82" s="113"/>
    </row>
    <row r="83" spans="2:31" x14ac:dyDescent="0.25">
      <c r="C83" s="100"/>
      <c r="D83" s="113"/>
      <c r="E83" s="113"/>
      <c r="F83" s="113"/>
      <c r="G83" s="113"/>
      <c r="H83" s="113"/>
      <c r="I83" s="113"/>
      <c r="J83" s="113"/>
      <c r="K83" s="113"/>
      <c r="L83" s="113"/>
      <c r="M83" s="113"/>
      <c r="N83" s="113"/>
      <c r="O83" s="113"/>
      <c r="P83" s="113"/>
      <c r="Q83" s="113"/>
      <c r="R83" s="113"/>
      <c r="S83" s="113"/>
      <c r="T83" s="113"/>
      <c r="U83" s="113"/>
      <c r="V83" s="113"/>
      <c r="W83" s="113"/>
      <c r="X83" s="113"/>
    </row>
    <row r="84" spans="2:31" x14ac:dyDescent="0.25">
      <c r="B84" s="47" t="s">
        <v>150</v>
      </c>
      <c r="C84" s="100"/>
      <c r="D84" s="113"/>
      <c r="E84" s="113"/>
      <c r="F84" s="113"/>
      <c r="G84" s="113"/>
      <c r="H84" s="113"/>
      <c r="I84" s="113"/>
      <c r="J84" s="113"/>
      <c r="K84" s="113"/>
      <c r="L84" s="113"/>
      <c r="M84" s="113"/>
      <c r="N84" s="113"/>
      <c r="O84" s="113"/>
      <c r="P84" s="113"/>
      <c r="Q84" s="113"/>
      <c r="R84" s="113"/>
      <c r="S84" s="113"/>
      <c r="T84" s="113"/>
      <c r="U84" s="113"/>
      <c r="V84" s="113"/>
      <c r="W84" s="113"/>
      <c r="X84" s="113"/>
    </row>
    <row r="85" spans="2:31" x14ac:dyDescent="0.25">
      <c r="C85" s="100"/>
      <c r="D85" s="113"/>
      <c r="E85" s="113"/>
      <c r="F85" s="113"/>
      <c r="G85" s="113"/>
      <c r="H85" s="113"/>
      <c r="I85" s="113"/>
      <c r="J85" s="113"/>
      <c r="K85" s="113"/>
      <c r="L85" s="113"/>
      <c r="M85" s="113"/>
      <c r="N85" s="113"/>
      <c r="O85" s="113"/>
      <c r="P85" s="113"/>
      <c r="Q85" s="113"/>
      <c r="R85" s="113"/>
      <c r="S85" s="113"/>
      <c r="T85" s="113"/>
      <c r="U85" s="113"/>
      <c r="V85" s="113"/>
      <c r="W85" s="113"/>
      <c r="X85" s="113"/>
    </row>
    <row r="86" spans="2:31" ht="25.9" customHeight="1" x14ac:dyDescent="0.25">
      <c r="B86" t="s">
        <v>149</v>
      </c>
      <c r="C86" s="274" t="s">
        <v>152</v>
      </c>
      <c r="D86" s="274"/>
      <c r="E86" s="274"/>
      <c r="F86" s="274"/>
      <c r="G86" s="80"/>
      <c r="H86" s="80"/>
      <c r="I86" s="80"/>
      <c r="J86" s="80"/>
      <c r="K86" s="80"/>
      <c r="L86" s="80"/>
      <c r="M86" s="80"/>
      <c r="N86" s="80"/>
      <c r="O86" s="80"/>
      <c r="P86" s="80"/>
      <c r="Q86" s="80"/>
      <c r="R86" s="80"/>
      <c r="S86" s="80"/>
      <c r="T86" s="80"/>
      <c r="U86" s="80"/>
      <c r="V86" s="80"/>
      <c r="W86" s="80"/>
    </row>
    <row r="87" spans="2:31" x14ac:dyDescent="0.25">
      <c r="B87" s="72"/>
      <c r="C87" s="17" t="s">
        <v>22</v>
      </c>
      <c r="D87" s="17">
        <v>1</v>
      </c>
      <c r="E87" s="17">
        <v>2</v>
      </c>
      <c r="F87" s="17">
        <v>3</v>
      </c>
      <c r="G87" s="80"/>
      <c r="H87" s="80"/>
      <c r="I87" s="80"/>
      <c r="J87" s="80"/>
      <c r="K87" s="80"/>
      <c r="L87" s="80"/>
      <c r="M87" s="80"/>
      <c r="N87" s="80"/>
      <c r="O87" s="80"/>
      <c r="P87" s="80"/>
      <c r="Q87" s="80"/>
      <c r="R87" s="80"/>
      <c r="S87" s="80"/>
      <c r="T87" s="80"/>
      <c r="U87" s="80"/>
      <c r="V87" s="80"/>
      <c r="W87" s="80"/>
    </row>
    <row r="88" spans="2:31" x14ac:dyDescent="0.25">
      <c r="B88" t="s">
        <v>92</v>
      </c>
      <c r="C88" s="70"/>
      <c r="D88" s="75">
        <f>Assumption_Hatchery!D95</f>
        <v>0</v>
      </c>
      <c r="E88" s="75">
        <f>Assumption_Hatchery!E95</f>
        <v>0</v>
      </c>
      <c r="F88" s="75">
        <f>Assumption_Hatchery!F95</f>
        <v>1</v>
      </c>
      <c r="G88" s="80"/>
      <c r="H88" s="80"/>
      <c r="I88" s="80"/>
      <c r="J88" s="80"/>
      <c r="K88" s="80"/>
      <c r="L88" s="80"/>
      <c r="M88" s="80"/>
      <c r="N88" s="80"/>
      <c r="O88" s="80"/>
      <c r="P88" s="80"/>
      <c r="Q88" s="80"/>
      <c r="R88" s="80"/>
      <c r="S88" s="80"/>
      <c r="T88" s="80"/>
      <c r="U88" s="80"/>
      <c r="V88" s="80"/>
      <c r="W88" s="80"/>
    </row>
    <row r="89" spans="2:31" x14ac:dyDescent="0.25">
      <c r="B89" t="s">
        <v>94</v>
      </c>
      <c r="C89" s="70"/>
      <c r="D89" s="151">
        <f>Assumption_Hatchery!D96</f>
        <v>0</v>
      </c>
      <c r="E89" s="151">
        <f>Assumption_Hatchery!E96</f>
        <v>0</v>
      </c>
      <c r="F89" s="151">
        <f>Assumption_Hatchery!F96</f>
        <v>0.5</v>
      </c>
      <c r="G89" s="80"/>
      <c r="H89" s="80"/>
      <c r="I89" s="80"/>
      <c r="J89" s="80"/>
      <c r="K89" s="80"/>
      <c r="L89" s="80"/>
      <c r="M89" s="80"/>
      <c r="N89" s="80"/>
      <c r="O89" s="80"/>
      <c r="P89" s="80"/>
      <c r="Q89" s="80"/>
      <c r="R89" s="80"/>
      <c r="S89" s="80"/>
      <c r="T89" s="80"/>
      <c r="U89" s="80"/>
      <c r="V89" s="80"/>
      <c r="W89" s="80"/>
    </row>
    <row r="90" spans="2:31" x14ac:dyDescent="0.25">
      <c r="C90" s="100"/>
      <c r="D90" s="78"/>
      <c r="E90" s="78"/>
      <c r="F90" s="78"/>
      <c r="G90" s="80"/>
      <c r="H90" s="80"/>
      <c r="I90" s="80"/>
      <c r="J90" s="80"/>
      <c r="K90" s="80"/>
      <c r="L90" s="80"/>
      <c r="M90" s="80"/>
      <c r="N90" s="80"/>
      <c r="O90" s="80"/>
      <c r="P90" s="80"/>
      <c r="Q90" s="80"/>
      <c r="R90" s="80"/>
      <c r="S90" s="80"/>
      <c r="T90" s="80"/>
      <c r="U90" s="80"/>
      <c r="V90" s="80"/>
      <c r="W90" s="80"/>
    </row>
    <row r="92" spans="2:31" x14ac:dyDescent="0.25">
      <c r="B92" s="72"/>
      <c r="C92" s="17" t="s">
        <v>22</v>
      </c>
      <c r="D92" s="17">
        <v>0</v>
      </c>
      <c r="E92" s="17">
        <v>1</v>
      </c>
      <c r="F92" s="17">
        <v>2</v>
      </c>
      <c r="G92" s="17">
        <v>3</v>
      </c>
      <c r="H92" s="17">
        <v>4</v>
      </c>
      <c r="I92" s="17">
        <v>5</v>
      </c>
      <c r="J92" s="17">
        <v>6</v>
      </c>
      <c r="K92" s="17">
        <v>7</v>
      </c>
      <c r="L92" s="17">
        <v>8</v>
      </c>
      <c r="M92" s="17">
        <v>9</v>
      </c>
      <c r="N92" s="17">
        <v>10</v>
      </c>
      <c r="O92" s="17">
        <v>11</v>
      </c>
      <c r="P92" s="17">
        <v>12</v>
      </c>
      <c r="Q92" s="17">
        <v>13</v>
      </c>
      <c r="R92" s="17">
        <v>14</v>
      </c>
      <c r="S92" s="17">
        <v>15</v>
      </c>
      <c r="T92" s="17">
        <v>16</v>
      </c>
      <c r="U92" s="17">
        <v>17</v>
      </c>
      <c r="V92" s="17">
        <v>18</v>
      </c>
      <c r="W92" s="17">
        <v>19</v>
      </c>
      <c r="X92" s="17">
        <v>20</v>
      </c>
      <c r="Y92" s="17">
        <v>21</v>
      </c>
      <c r="Z92" s="17">
        <v>22</v>
      </c>
      <c r="AA92" s="17">
        <v>23</v>
      </c>
      <c r="AB92" s="17">
        <v>24</v>
      </c>
      <c r="AC92" s="17">
        <v>25</v>
      </c>
    </row>
    <row r="93" spans="2:31" x14ac:dyDescent="0.25">
      <c r="B93" t="s">
        <v>92</v>
      </c>
      <c r="C93" s="70"/>
      <c r="D93" s="70"/>
      <c r="E93" s="70">
        <f>D88</f>
        <v>0</v>
      </c>
      <c r="F93" s="70">
        <f>E88</f>
        <v>0</v>
      </c>
      <c r="G93" s="70">
        <f>F88</f>
        <v>1</v>
      </c>
      <c r="H93" s="70">
        <f>D88</f>
        <v>0</v>
      </c>
      <c r="I93" s="70">
        <f t="shared" ref="I93:J93" si="33">E88</f>
        <v>0</v>
      </c>
      <c r="J93" s="70">
        <f t="shared" si="33"/>
        <v>1</v>
      </c>
      <c r="K93" s="70">
        <f>D88</f>
        <v>0</v>
      </c>
      <c r="L93" s="70">
        <f t="shared" ref="L93:M93" si="34">E88</f>
        <v>0</v>
      </c>
      <c r="M93" s="70">
        <f t="shared" si="34"/>
        <v>1</v>
      </c>
      <c r="N93" s="70">
        <f>D88</f>
        <v>0</v>
      </c>
      <c r="O93" s="70">
        <f t="shared" ref="O93:P93" si="35">E88</f>
        <v>0</v>
      </c>
      <c r="P93" s="70">
        <f t="shared" si="35"/>
        <v>1</v>
      </c>
      <c r="Q93" s="70">
        <f>D88</f>
        <v>0</v>
      </c>
      <c r="R93" s="70">
        <f t="shared" ref="R93:S93" si="36">E88</f>
        <v>0</v>
      </c>
      <c r="S93" s="70">
        <f t="shared" si="36"/>
        <v>1</v>
      </c>
      <c r="T93" s="70">
        <f>D88</f>
        <v>0</v>
      </c>
      <c r="U93" s="70">
        <f t="shared" ref="U93:V93" si="37">E88</f>
        <v>0</v>
      </c>
      <c r="V93" s="70">
        <f t="shared" si="37"/>
        <v>1</v>
      </c>
      <c r="W93" s="70">
        <f>D88</f>
        <v>0</v>
      </c>
      <c r="X93" s="70">
        <f t="shared" ref="X93:Y93" si="38">E88</f>
        <v>0</v>
      </c>
      <c r="Y93" s="70">
        <f t="shared" si="38"/>
        <v>1</v>
      </c>
      <c r="Z93" s="70">
        <f>D88</f>
        <v>0</v>
      </c>
      <c r="AA93" s="70">
        <f t="shared" ref="AA93:AB93" si="39">E88</f>
        <v>0</v>
      </c>
      <c r="AB93" s="70">
        <f t="shared" si="39"/>
        <v>1</v>
      </c>
      <c r="AC93" s="100"/>
    </row>
    <row r="94" spans="2:31" x14ac:dyDescent="0.25">
      <c r="B94" t="s">
        <v>94</v>
      </c>
      <c r="C94" s="70"/>
      <c r="D94" s="75"/>
      <c r="E94" s="63">
        <f>$D89</f>
        <v>0</v>
      </c>
      <c r="F94" s="115">
        <f>$E89</f>
        <v>0</v>
      </c>
      <c r="G94" s="115">
        <f>$F89</f>
        <v>0.5</v>
      </c>
      <c r="H94" s="63">
        <f>$D89</f>
        <v>0</v>
      </c>
      <c r="I94" s="115">
        <f>$E89</f>
        <v>0</v>
      </c>
      <c r="J94" s="115">
        <f>$F89</f>
        <v>0.5</v>
      </c>
      <c r="K94" s="63">
        <f>$D89</f>
        <v>0</v>
      </c>
      <c r="L94" s="115">
        <f>$E89</f>
        <v>0</v>
      </c>
      <c r="M94" s="115">
        <f>$F89</f>
        <v>0.5</v>
      </c>
      <c r="N94" s="63">
        <f>$D89</f>
        <v>0</v>
      </c>
      <c r="O94" s="115">
        <f>$E89</f>
        <v>0</v>
      </c>
      <c r="P94" s="115">
        <f>$F89</f>
        <v>0.5</v>
      </c>
      <c r="Q94" s="63">
        <f>$D89</f>
        <v>0</v>
      </c>
      <c r="R94" s="115">
        <f>$E89</f>
        <v>0</v>
      </c>
      <c r="S94" s="115">
        <f>$F89</f>
        <v>0.5</v>
      </c>
      <c r="T94" s="63">
        <f>$D89</f>
        <v>0</v>
      </c>
      <c r="U94" s="115">
        <f>$E89</f>
        <v>0</v>
      </c>
      <c r="V94" s="115">
        <f>$F89</f>
        <v>0.5</v>
      </c>
      <c r="W94" s="63">
        <f>$D89</f>
        <v>0</v>
      </c>
      <c r="X94" s="115">
        <f>$E89</f>
        <v>0</v>
      </c>
      <c r="Y94" s="115">
        <f>$F89</f>
        <v>0.5</v>
      </c>
      <c r="Z94" s="63">
        <f>$D89</f>
        <v>0</v>
      </c>
      <c r="AA94" s="115">
        <f>$E89</f>
        <v>0</v>
      </c>
      <c r="AB94" s="115">
        <f>$F89</f>
        <v>0.5</v>
      </c>
      <c r="AC94" s="116"/>
      <c r="AD94" s="116"/>
      <c r="AE94" s="116"/>
    </row>
    <row r="95" spans="2:31" x14ac:dyDescent="0.25">
      <c r="C95" s="100"/>
      <c r="D95" s="113"/>
      <c r="E95" s="113"/>
      <c r="F95" s="113"/>
      <c r="G95" s="113"/>
      <c r="H95" s="113"/>
      <c r="I95" s="113"/>
      <c r="J95" s="113"/>
      <c r="K95" s="113"/>
      <c r="L95" s="113"/>
      <c r="M95" s="113"/>
      <c r="N95" s="113"/>
      <c r="O95" s="113"/>
      <c r="P95" s="113"/>
      <c r="Q95" s="113"/>
      <c r="R95" s="113"/>
      <c r="S95" s="113"/>
      <c r="T95" s="113"/>
      <c r="U95" s="113"/>
      <c r="V95" s="113"/>
      <c r="W95" s="113"/>
      <c r="X95" s="113"/>
    </row>
    <row r="96" spans="2:31" x14ac:dyDescent="0.25">
      <c r="B96" s="47" t="s">
        <v>151</v>
      </c>
      <c r="C96" s="100"/>
      <c r="D96" s="113"/>
      <c r="E96" s="113"/>
      <c r="F96" s="113"/>
      <c r="G96" s="113"/>
      <c r="H96" s="113"/>
      <c r="I96" s="113"/>
      <c r="J96" s="113"/>
      <c r="K96" s="113"/>
      <c r="L96" s="113"/>
      <c r="M96" s="113"/>
      <c r="N96" s="113"/>
      <c r="O96" s="113"/>
      <c r="P96" s="113"/>
      <c r="Q96" s="113"/>
      <c r="R96" s="113"/>
      <c r="S96" s="113"/>
      <c r="T96" s="113"/>
      <c r="U96" s="113"/>
      <c r="V96" s="113"/>
      <c r="W96" s="113"/>
      <c r="X96" s="113"/>
    </row>
    <row r="97" spans="1:31" x14ac:dyDescent="0.25">
      <c r="C97" s="100"/>
      <c r="D97" s="113"/>
      <c r="E97" s="113"/>
      <c r="F97" s="113"/>
      <c r="G97" s="113"/>
      <c r="H97" s="113"/>
      <c r="I97" s="113"/>
      <c r="J97" s="113"/>
      <c r="K97" s="113"/>
      <c r="L97" s="113"/>
      <c r="M97" s="113"/>
      <c r="N97" s="113"/>
      <c r="O97" s="113"/>
      <c r="P97" s="113"/>
      <c r="Q97" s="113"/>
      <c r="R97" s="113"/>
      <c r="S97" s="113"/>
      <c r="T97" s="113"/>
      <c r="U97" s="113"/>
      <c r="V97" s="113"/>
      <c r="W97" s="113"/>
      <c r="X97" s="113"/>
    </row>
    <row r="98" spans="1:31" ht="28.15" customHeight="1" x14ac:dyDescent="0.25">
      <c r="B98" t="s">
        <v>149</v>
      </c>
      <c r="C98" s="274" t="s">
        <v>152</v>
      </c>
      <c r="D98" s="274"/>
      <c r="E98" s="274"/>
      <c r="F98" s="274"/>
      <c r="G98" s="80"/>
      <c r="H98" s="80"/>
      <c r="I98" s="80"/>
      <c r="J98" s="80"/>
      <c r="K98" s="80"/>
      <c r="L98" s="80"/>
      <c r="M98" s="80"/>
      <c r="N98" s="80"/>
      <c r="O98" s="80"/>
      <c r="P98" s="80"/>
      <c r="Q98" s="80"/>
      <c r="R98" s="80"/>
      <c r="S98" s="80"/>
      <c r="T98" s="80"/>
      <c r="U98" s="80"/>
      <c r="V98" s="80"/>
      <c r="W98" s="80"/>
    </row>
    <row r="99" spans="1:31" x14ac:dyDescent="0.25">
      <c r="B99" s="72"/>
      <c r="C99" s="17" t="s">
        <v>22</v>
      </c>
      <c r="D99" s="17">
        <v>1</v>
      </c>
      <c r="E99" s="17">
        <v>2</v>
      </c>
      <c r="F99" s="17">
        <v>3</v>
      </c>
      <c r="G99" s="80"/>
      <c r="H99" s="80"/>
      <c r="I99" s="80"/>
      <c r="J99" s="80"/>
      <c r="K99" s="80"/>
      <c r="L99" s="80"/>
      <c r="M99" s="80"/>
      <c r="N99" s="80"/>
      <c r="O99" s="80"/>
      <c r="P99" s="80"/>
      <c r="Q99" s="80"/>
      <c r="R99" s="80"/>
      <c r="S99" s="80"/>
      <c r="T99" s="80"/>
      <c r="U99" s="80"/>
      <c r="V99" s="80"/>
      <c r="W99" s="80"/>
    </row>
    <row r="100" spans="1:31" x14ac:dyDescent="0.25">
      <c r="B100" t="s">
        <v>92</v>
      </c>
      <c r="C100" s="70"/>
      <c r="D100" s="75">
        <f>Assumption_Hatchery!D107</f>
        <v>0</v>
      </c>
      <c r="E100" s="75">
        <f>Assumption_Hatchery!E107</f>
        <v>0</v>
      </c>
      <c r="F100" s="75">
        <f>Assumption_Hatchery!F107</f>
        <v>1</v>
      </c>
      <c r="G100" s="80"/>
      <c r="H100" s="80"/>
      <c r="I100" s="80"/>
      <c r="J100" s="80"/>
      <c r="K100" s="80"/>
      <c r="L100" s="80"/>
      <c r="M100" s="80"/>
      <c r="N100" s="80"/>
      <c r="O100" s="80"/>
      <c r="P100" s="80"/>
      <c r="Q100" s="80"/>
      <c r="R100" s="80"/>
      <c r="S100" s="80"/>
      <c r="T100" s="80"/>
      <c r="U100" s="80"/>
      <c r="V100" s="80"/>
      <c r="W100" s="80"/>
    </row>
    <row r="101" spans="1:31" x14ac:dyDescent="0.25">
      <c r="B101" t="s">
        <v>94</v>
      </c>
      <c r="C101" s="70"/>
      <c r="D101" s="151">
        <f>Assumption_Hatchery!D108</f>
        <v>0</v>
      </c>
      <c r="E101" s="151">
        <f>Assumption_Hatchery!E108</f>
        <v>0</v>
      </c>
      <c r="F101" s="151">
        <f>Assumption_Hatchery!F108</f>
        <v>0.5</v>
      </c>
      <c r="G101" s="80"/>
      <c r="H101" s="80"/>
      <c r="I101" s="80"/>
      <c r="J101" s="80"/>
      <c r="K101" s="80"/>
      <c r="L101" s="80"/>
      <c r="M101" s="80"/>
      <c r="N101" s="80"/>
      <c r="O101" s="80"/>
      <c r="P101" s="80"/>
      <c r="Q101" s="80"/>
      <c r="R101" s="80"/>
      <c r="S101" s="80"/>
      <c r="T101" s="80"/>
      <c r="U101" s="80"/>
      <c r="V101" s="80"/>
      <c r="W101" s="80"/>
    </row>
    <row r="102" spans="1:31" x14ac:dyDescent="0.25">
      <c r="C102" s="100"/>
      <c r="D102" s="78"/>
      <c r="E102" s="78"/>
      <c r="F102" s="78"/>
      <c r="G102" s="80"/>
      <c r="H102" s="80"/>
      <c r="I102" s="80"/>
      <c r="J102" s="80"/>
      <c r="K102" s="80"/>
      <c r="L102" s="80"/>
      <c r="M102" s="80"/>
      <c r="N102" s="80"/>
      <c r="O102" s="80"/>
      <c r="P102" s="80"/>
      <c r="Q102" s="80"/>
      <c r="R102" s="80"/>
      <c r="S102" s="80"/>
      <c r="T102" s="80"/>
      <c r="U102" s="80"/>
      <c r="V102" s="80"/>
      <c r="W102" s="80"/>
    </row>
    <row r="104" spans="1:31" x14ac:dyDescent="0.25">
      <c r="B104" s="72"/>
      <c r="C104" s="17" t="s">
        <v>22</v>
      </c>
      <c r="D104" s="17">
        <v>0</v>
      </c>
      <c r="E104" s="17">
        <v>1</v>
      </c>
      <c r="F104" s="17">
        <v>2</v>
      </c>
      <c r="G104" s="17">
        <v>3</v>
      </c>
      <c r="H104" s="17">
        <v>4</v>
      </c>
      <c r="I104" s="17">
        <v>5</v>
      </c>
      <c r="J104" s="17">
        <v>6</v>
      </c>
      <c r="K104" s="17">
        <v>7</v>
      </c>
      <c r="L104" s="17">
        <v>8</v>
      </c>
      <c r="M104" s="17">
        <v>9</v>
      </c>
      <c r="N104" s="17">
        <v>10</v>
      </c>
      <c r="O104" s="17">
        <v>11</v>
      </c>
      <c r="P104" s="17">
        <v>12</v>
      </c>
      <c r="Q104" s="17">
        <v>13</v>
      </c>
      <c r="R104" s="17">
        <v>14</v>
      </c>
      <c r="S104" s="17">
        <v>15</v>
      </c>
      <c r="T104" s="17">
        <v>16</v>
      </c>
      <c r="U104" s="17">
        <v>17</v>
      </c>
      <c r="V104" s="17">
        <v>18</v>
      </c>
      <c r="W104" s="17">
        <v>19</v>
      </c>
      <c r="X104" s="17">
        <v>20</v>
      </c>
      <c r="Y104" s="17">
        <v>21</v>
      </c>
      <c r="Z104" s="17">
        <v>22</v>
      </c>
      <c r="AA104" s="17">
        <v>23</v>
      </c>
      <c r="AB104" s="17">
        <v>24</v>
      </c>
      <c r="AC104" s="16"/>
    </row>
    <row r="105" spans="1:31" x14ac:dyDescent="0.25">
      <c r="B105" t="s">
        <v>92</v>
      </c>
      <c r="C105" s="70"/>
      <c r="D105" s="70"/>
      <c r="E105" s="70">
        <f>D100</f>
        <v>0</v>
      </c>
      <c r="F105" s="70">
        <f>E100</f>
        <v>0</v>
      </c>
      <c r="G105" s="70">
        <f>F100</f>
        <v>1</v>
      </c>
      <c r="H105" s="70">
        <f>D100</f>
        <v>0</v>
      </c>
      <c r="I105" s="70">
        <f t="shared" ref="I105:J105" si="40">E100</f>
        <v>0</v>
      </c>
      <c r="J105" s="70">
        <f t="shared" si="40"/>
        <v>1</v>
      </c>
      <c r="K105" s="70">
        <f>D100</f>
        <v>0</v>
      </c>
      <c r="L105" s="70">
        <f t="shared" ref="L105:M105" si="41">E100</f>
        <v>0</v>
      </c>
      <c r="M105" s="70">
        <f t="shared" si="41"/>
        <v>1</v>
      </c>
      <c r="N105" s="70">
        <f>D100</f>
        <v>0</v>
      </c>
      <c r="O105" s="70">
        <f t="shared" ref="O105:P105" si="42">E100</f>
        <v>0</v>
      </c>
      <c r="P105" s="70">
        <f t="shared" si="42"/>
        <v>1</v>
      </c>
      <c r="Q105" s="70">
        <f>D100</f>
        <v>0</v>
      </c>
      <c r="R105" s="70">
        <f t="shared" ref="R105:S105" si="43">E100</f>
        <v>0</v>
      </c>
      <c r="S105" s="70">
        <f t="shared" si="43"/>
        <v>1</v>
      </c>
      <c r="T105" s="70">
        <f>D100</f>
        <v>0</v>
      </c>
      <c r="U105" s="70">
        <f t="shared" ref="U105:V105" si="44">E100</f>
        <v>0</v>
      </c>
      <c r="V105" s="70">
        <f t="shared" si="44"/>
        <v>1</v>
      </c>
      <c r="W105" s="70">
        <f>D100</f>
        <v>0</v>
      </c>
      <c r="X105" s="70">
        <f t="shared" ref="X105:Y105" si="45">E100</f>
        <v>0</v>
      </c>
      <c r="Y105" s="70">
        <f t="shared" si="45"/>
        <v>1</v>
      </c>
      <c r="Z105" s="70">
        <f>D100</f>
        <v>0</v>
      </c>
      <c r="AA105" s="70">
        <f t="shared" ref="AA105:AB105" si="46">E100</f>
        <v>0</v>
      </c>
      <c r="AB105" s="70">
        <f t="shared" si="46"/>
        <v>1</v>
      </c>
      <c r="AC105" s="100"/>
    </row>
    <row r="106" spans="1:31" x14ac:dyDescent="0.25">
      <c r="B106" t="s">
        <v>94</v>
      </c>
      <c r="C106" s="70"/>
      <c r="D106" s="75"/>
      <c r="E106" s="63">
        <f>$D101</f>
        <v>0</v>
      </c>
      <c r="F106" s="115">
        <f>$E101</f>
        <v>0</v>
      </c>
      <c r="G106" s="115">
        <f>$F101</f>
        <v>0.5</v>
      </c>
      <c r="H106" s="63">
        <f>$D101</f>
        <v>0</v>
      </c>
      <c r="I106" s="115">
        <f>$E101</f>
        <v>0</v>
      </c>
      <c r="J106" s="115">
        <f>$F101</f>
        <v>0.5</v>
      </c>
      <c r="K106" s="63">
        <f>$D101</f>
        <v>0</v>
      </c>
      <c r="L106" s="115">
        <f>$E101</f>
        <v>0</v>
      </c>
      <c r="M106" s="115">
        <f>$F101</f>
        <v>0.5</v>
      </c>
      <c r="N106" s="63">
        <f>$D101</f>
        <v>0</v>
      </c>
      <c r="O106" s="115">
        <f>$E101</f>
        <v>0</v>
      </c>
      <c r="P106" s="115">
        <f>$F101</f>
        <v>0.5</v>
      </c>
      <c r="Q106" s="63">
        <f>$D101</f>
        <v>0</v>
      </c>
      <c r="R106" s="115">
        <f>$E101</f>
        <v>0</v>
      </c>
      <c r="S106" s="115">
        <f>$F101</f>
        <v>0.5</v>
      </c>
      <c r="T106" s="63">
        <f>$D101</f>
        <v>0</v>
      </c>
      <c r="U106" s="115">
        <f>$E101</f>
        <v>0</v>
      </c>
      <c r="V106" s="115">
        <f>$F101</f>
        <v>0.5</v>
      </c>
      <c r="W106" s="63">
        <f>$D101</f>
        <v>0</v>
      </c>
      <c r="X106" s="115">
        <f>$E101</f>
        <v>0</v>
      </c>
      <c r="Y106" s="115">
        <f>$F101</f>
        <v>0.5</v>
      </c>
      <c r="Z106" s="63">
        <f>$D101</f>
        <v>0</v>
      </c>
      <c r="AA106" s="115">
        <f>$E101</f>
        <v>0</v>
      </c>
      <c r="AB106" s="115">
        <f>$F101</f>
        <v>0.5</v>
      </c>
      <c r="AC106" s="116"/>
      <c r="AD106" s="116"/>
      <c r="AE106" s="116"/>
    </row>
    <row r="107" spans="1:31" x14ac:dyDescent="0.25">
      <c r="C107" s="100"/>
      <c r="D107" s="113"/>
      <c r="E107" s="113"/>
      <c r="F107" s="113"/>
      <c r="G107" s="113"/>
      <c r="H107" s="113"/>
      <c r="I107" s="113"/>
      <c r="J107" s="113"/>
      <c r="K107" s="113"/>
      <c r="L107" s="113"/>
      <c r="M107" s="113"/>
      <c r="N107" s="113"/>
      <c r="O107" s="113"/>
      <c r="P107" s="113"/>
      <c r="Q107" s="113"/>
      <c r="R107" s="113"/>
      <c r="S107" s="113"/>
      <c r="T107" s="113"/>
      <c r="U107" s="113"/>
      <c r="V107" s="113"/>
      <c r="W107" s="113"/>
      <c r="X107" s="113"/>
    </row>
    <row r="108" spans="1:31" x14ac:dyDescent="0.25">
      <c r="C108" s="100"/>
      <c r="D108" s="113"/>
      <c r="E108" s="113"/>
      <c r="F108" s="113"/>
      <c r="G108" s="113"/>
      <c r="H108" s="113"/>
      <c r="I108" s="113"/>
      <c r="J108" s="113"/>
      <c r="K108" s="113"/>
      <c r="L108" s="113"/>
      <c r="M108" s="113"/>
      <c r="N108" s="113"/>
      <c r="O108" s="113"/>
      <c r="P108" s="113"/>
      <c r="Q108" s="113"/>
      <c r="R108" s="113"/>
      <c r="S108" s="113"/>
      <c r="T108" s="113"/>
      <c r="U108" s="113"/>
      <c r="V108" s="113"/>
      <c r="W108" s="113"/>
      <c r="X108" s="113"/>
    </row>
    <row r="109" spans="1:31" x14ac:dyDescent="0.25">
      <c r="C109" s="78"/>
      <c r="D109" s="80"/>
      <c r="E109" s="80"/>
      <c r="F109" s="80"/>
      <c r="G109" s="80"/>
      <c r="H109" s="80"/>
      <c r="I109" s="80"/>
      <c r="J109" s="80"/>
      <c r="K109" s="80"/>
      <c r="L109" s="80"/>
      <c r="M109" s="80"/>
      <c r="N109" s="80"/>
      <c r="O109" s="80"/>
      <c r="P109" s="80"/>
      <c r="Q109" s="80"/>
      <c r="R109" s="80"/>
      <c r="S109" s="80"/>
      <c r="T109" s="80"/>
      <c r="U109" s="80"/>
      <c r="V109" s="80"/>
      <c r="W109" s="80"/>
    </row>
    <row r="110" spans="1:31" x14ac:dyDescent="0.25">
      <c r="A110" s="70">
        <v>5</v>
      </c>
      <c r="B110" s="47" t="s">
        <v>279</v>
      </c>
      <c r="C110" s="80"/>
      <c r="D110" s="98"/>
      <c r="E110" s="80"/>
      <c r="F110" s="80"/>
      <c r="G110" s="80"/>
      <c r="H110" s="80"/>
      <c r="P110" s="80"/>
      <c r="U110" s="80"/>
      <c r="V110" s="80"/>
      <c r="W110" s="80"/>
    </row>
    <row r="111" spans="1:31" x14ac:dyDescent="0.25">
      <c r="A111" s="100"/>
      <c r="B111" s="47"/>
      <c r="C111" s="80"/>
      <c r="D111" s="98"/>
      <c r="E111" s="80"/>
      <c r="F111" s="145"/>
      <c r="G111" s="145"/>
      <c r="H111" s="145"/>
      <c r="K111" s="265" t="s">
        <v>205</v>
      </c>
      <c r="L111" s="265"/>
      <c r="M111" s="265"/>
      <c r="N111" s="265"/>
      <c r="P111" s="270" t="s">
        <v>206</v>
      </c>
      <c r="Q111" s="270"/>
      <c r="R111" s="270"/>
      <c r="S111" s="270"/>
      <c r="U111" s="270" t="s">
        <v>207</v>
      </c>
      <c r="V111" s="270"/>
      <c r="W111" s="270"/>
      <c r="X111" s="270"/>
    </row>
    <row r="112" spans="1:31" ht="22.15" customHeight="1" x14ac:dyDescent="0.25">
      <c r="K112" s="271" t="s">
        <v>154</v>
      </c>
      <c r="L112" s="272"/>
      <c r="M112" s="272"/>
      <c r="N112" s="273"/>
      <c r="P112" s="271" t="s">
        <v>154</v>
      </c>
      <c r="Q112" s="272"/>
      <c r="R112" s="272"/>
      <c r="S112" s="273"/>
      <c r="U112" s="271" t="s">
        <v>154</v>
      </c>
      <c r="V112" s="272"/>
      <c r="W112" s="272"/>
      <c r="X112" s="273"/>
    </row>
    <row r="113" spans="2:24" ht="45" x14ac:dyDescent="0.25">
      <c r="B113" s="18" t="s">
        <v>6</v>
      </c>
      <c r="C113" s="14" t="s">
        <v>208</v>
      </c>
      <c r="D113" s="21" t="s">
        <v>8</v>
      </c>
      <c r="E113" s="260" t="s">
        <v>9</v>
      </c>
      <c r="F113" s="260"/>
      <c r="G113" s="260"/>
      <c r="H113" s="260"/>
      <c r="K113" s="97"/>
      <c r="L113" s="119" t="s">
        <v>155</v>
      </c>
      <c r="M113" s="119" t="s">
        <v>211</v>
      </c>
      <c r="N113" s="97" t="s">
        <v>119</v>
      </c>
      <c r="P113" s="97"/>
      <c r="Q113" s="119" t="s">
        <v>155</v>
      </c>
      <c r="R113" s="119" t="s">
        <v>211</v>
      </c>
      <c r="S113" s="97" t="s">
        <v>119</v>
      </c>
      <c r="U113" s="97"/>
      <c r="V113" s="119" t="s">
        <v>155</v>
      </c>
      <c r="W113" s="119" t="s">
        <v>211</v>
      </c>
      <c r="X113" s="97" t="s">
        <v>119</v>
      </c>
    </row>
    <row r="114" spans="2:24" ht="30.6" customHeight="1" x14ac:dyDescent="0.25">
      <c r="B114" s="19" t="s">
        <v>26</v>
      </c>
      <c r="C114" s="179">
        <v>4</v>
      </c>
      <c r="D114" s="5" t="s">
        <v>27</v>
      </c>
      <c r="E114" s="261" t="s">
        <v>231</v>
      </c>
      <c r="F114" s="261"/>
      <c r="G114" s="261"/>
      <c r="H114" s="261"/>
      <c r="K114" s="51" t="s">
        <v>89</v>
      </c>
      <c r="L114" s="164">
        <f>D140-1</f>
        <v>-0.24</v>
      </c>
      <c r="M114" s="63">
        <f>$F75*F74</f>
        <v>0.5</v>
      </c>
      <c r="N114" s="117">
        <f>L114*M114</f>
        <v>-0.12</v>
      </c>
      <c r="P114" s="51" t="s">
        <v>89</v>
      </c>
      <c r="Q114" s="151">
        <f>E140-1</f>
        <v>-0.26</v>
      </c>
      <c r="R114" s="63">
        <f>F89*F88</f>
        <v>0.5</v>
      </c>
      <c r="S114" s="117">
        <f>Q114*R114</f>
        <v>-0.13</v>
      </c>
      <c r="U114" s="51" t="s">
        <v>89</v>
      </c>
      <c r="V114" s="151">
        <f>F140-1</f>
        <v>-0.30000000000000004</v>
      </c>
      <c r="W114" s="63">
        <f>F101*F100</f>
        <v>0.5</v>
      </c>
      <c r="X114" s="117">
        <f>V114*W114</f>
        <v>-0.15000000000000002</v>
      </c>
    </row>
    <row r="115" spans="2:24" ht="17.25" customHeight="1" x14ac:dyDescent="0.25">
      <c r="B115" s="19" t="s">
        <v>28</v>
      </c>
      <c r="C115" s="198">
        <f>C136</f>
        <v>63.5</v>
      </c>
      <c r="D115" s="5" t="s">
        <v>29</v>
      </c>
      <c r="E115" s="261" t="s">
        <v>280</v>
      </c>
      <c r="F115" s="261"/>
      <c r="G115" s="261"/>
      <c r="H115" s="261"/>
      <c r="K115" s="51" t="s">
        <v>83</v>
      </c>
      <c r="L115" s="106">
        <v>0</v>
      </c>
      <c r="M115" s="63">
        <f>M114</f>
        <v>0.5</v>
      </c>
      <c r="N115" s="117">
        <f t="shared" ref="N115:N118" si="47">L115*M115</f>
        <v>0</v>
      </c>
      <c r="P115" s="51" t="s">
        <v>83</v>
      </c>
      <c r="Q115" s="106">
        <v>0</v>
      </c>
      <c r="R115" s="63">
        <f>R114</f>
        <v>0.5</v>
      </c>
      <c r="S115" s="117">
        <f t="shared" ref="S115:S118" si="48">Q115*R115</f>
        <v>0</v>
      </c>
      <c r="U115" s="51" t="s">
        <v>83</v>
      </c>
      <c r="V115" s="106">
        <v>0</v>
      </c>
      <c r="W115" s="63">
        <f>W114</f>
        <v>0.5</v>
      </c>
      <c r="X115" s="117">
        <f t="shared" ref="X115:X118" si="49">V115*W115</f>
        <v>0</v>
      </c>
    </row>
    <row r="116" spans="2:24" ht="17.25" customHeight="1" x14ac:dyDescent="0.25">
      <c r="B116" s="19" t="s">
        <v>30</v>
      </c>
      <c r="C116" s="180">
        <v>0.01</v>
      </c>
      <c r="D116" s="5" t="s">
        <v>31</v>
      </c>
      <c r="E116" s="261" t="s">
        <v>32</v>
      </c>
      <c r="F116" s="261"/>
      <c r="G116" s="261"/>
      <c r="H116" s="261"/>
      <c r="K116" s="51" t="s">
        <v>83</v>
      </c>
      <c r="L116" s="106">
        <v>0</v>
      </c>
      <c r="M116" s="63">
        <f t="shared" ref="M116" si="50">M115</f>
        <v>0.5</v>
      </c>
      <c r="N116" s="117">
        <f t="shared" si="47"/>
        <v>0</v>
      </c>
      <c r="P116" s="51" t="s">
        <v>83</v>
      </c>
      <c r="Q116" s="106">
        <v>0</v>
      </c>
      <c r="R116" s="63">
        <f t="shared" ref="R116" si="51">R115</f>
        <v>0.5</v>
      </c>
      <c r="S116" s="117">
        <f t="shared" si="48"/>
        <v>0</v>
      </c>
      <c r="U116" s="51" t="s">
        <v>83</v>
      </c>
      <c r="V116" s="106">
        <v>0</v>
      </c>
      <c r="W116" s="63">
        <f t="shared" ref="W116" si="52">W115</f>
        <v>0.5</v>
      </c>
      <c r="X116" s="117">
        <f t="shared" si="49"/>
        <v>0</v>
      </c>
    </row>
    <row r="117" spans="2:24" ht="56.45" customHeight="1" x14ac:dyDescent="0.25">
      <c r="B117" s="19" t="s">
        <v>11</v>
      </c>
      <c r="C117" s="180">
        <v>0.2</v>
      </c>
      <c r="D117" s="7" t="s">
        <v>33</v>
      </c>
      <c r="E117" s="275" t="s">
        <v>201</v>
      </c>
      <c r="F117" s="276"/>
      <c r="G117" s="276"/>
      <c r="H117" s="277"/>
      <c r="K117" s="51" t="s">
        <v>89</v>
      </c>
      <c r="L117" s="106">
        <v>-0.1</v>
      </c>
      <c r="M117" s="63">
        <f>M116</f>
        <v>0.5</v>
      </c>
      <c r="N117" s="117">
        <f t="shared" si="47"/>
        <v>-0.05</v>
      </c>
      <c r="P117" s="51" t="s">
        <v>89</v>
      </c>
      <c r="Q117" s="106">
        <v>-0.13</v>
      </c>
      <c r="R117" s="63">
        <f>R116</f>
        <v>0.5</v>
      </c>
      <c r="S117" s="117">
        <f t="shared" si="48"/>
        <v>-6.5000000000000002E-2</v>
      </c>
      <c r="U117" s="51" t="s">
        <v>89</v>
      </c>
      <c r="V117" s="106">
        <v>-0.2</v>
      </c>
      <c r="W117" s="63">
        <f>W116</f>
        <v>0.5</v>
      </c>
      <c r="X117" s="117">
        <f t="shared" si="49"/>
        <v>-0.1</v>
      </c>
    </row>
    <row r="118" spans="2:24" ht="17.25" customHeight="1" x14ac:dyDescent="0.25">
      <c r="B118" s="19" t="s">
        <v>34</v>
      </c>
      <c r="C118" s="198">
        <f>E136*2</f>
        <v>165</v>
      </c>
      <c r="D118" s="5" t="s">
        <v>93</v>
      </c>
      <c r="E118" s="275" t="s">
        <v>281</v>
      </c>
      <c r="F118" s="276"/>
      <c r="G118" s="276"/>
      <c r="H118" s="277"/>
      <c r="K118" s="51" t="s">
        <v>83</v>
      </c>
      <c r="L118" s="106">
        <v>0</v>
      </c>
      <c r="M118" s="63">
        <f>M117</f>
        <v>0.5</v>
      </c>
      <c r="N118" s="117">
        <f t="shared" si="47"/>
        <v>0</v>
      </c>
      <c r="P118" s="51" t="s">
        <v>83</v>
      </c>
      <c r="Q118" s="106">
        <v>0</v>
      </c>
      <c r="R118" s="63">
        <f>R117</f>
        <v>0.5</v>
      </c>
      <c r="S118" s="117">
        <f t="shared" si="48"/>
        <v>0</v>
      </c>
      <c r="U118" s="51" t="s">
        <v>83</v>
      </c>
      <c r="V118" s="106">
        <v>0</v>
      </c>
      <c r="W118" s="63">
        <f>W117</f>
        <v>0.5</v>
      </c>
      <c r="X118" s="117">
        <f t="shared" si="49"/>
        <v>0</v>
      </c>
    </row>
    <row r="119" spans="2:24" x14ac:dyDescent="0.25">
      <c r="L119" s="100"/>
      <c r="M119" s="100"/>
      <c r="N119" s="100"/>
      <c r="Q119" s="100"/>
      <c r="R119" s="100"/>
      <c r="S119" s="100"/>
      <c r="V119" s="100"/>
      <c r="W119" s="100"/>
      <c r="X119" s="100"/>
    </row>
    <row r="120" spans="2:24" x14ac:dyDescent="0.25">
      <c r="L120" s="100"/>
      <c r="M120" s="100"/>
      <c r="N120" s="100"/>
      <c r="Q120" s="100"/>
      <c r="R120" s="100"/>
      <c r="S120" s="100"/>
      <c r="V120" s="100"/>
      <c r="W120" s="100"/>
      <c r="X120" s="100"/>
    </row>
    <row r="121" spans="2:24" x14ac:dyDescent="0.25">
      <c r="B121" s="18" t="s">
        <v>13</v>
      </c>
      <c r="C121" s="15" t="s">
        <v>7</v>
      </c>
      <c r="D121" s="22" t="s">
        <v>8</v>
      </c>
      <c r="E121" s="262" t="s">
        <v>9</v>
      </c>
      <c r="F121" s="262"/>
      <c r="G121" s="262"/>
      <c r="H121" s="262"/>
      <c r="L121" s="100"/>
      <c r="M121" s="100"/>
      <c r="N121" s="100"/>
      <c r="Q121" s="100"/>
      <c r="R121" s="100"/>
      <c r="S121" s="100"/>
      <c r="V121" s="100"/>
      <c r="W121" s="100"/>
      <c r="X121" s="100"/>
    </row>
    <row r="122" spans="2:24" ht="16.899999999999999" customHeight="1" x14ac:dyDescent="0.25">
      <c r="B122" s="19" t="s">
        <v>35</v>
      </c>
      <c r="C122" s="198">
        <f>C23</f>
        <v>112</v>
      </c>
      <c r="D122" s="5" t="s">
        <v>12</v>
      </c>
      <c r="E122" s="253" t="s">
        <v>14</v>
      </c>
      <c r="F122" s="254"/>
      <c r="G122" s="254"/>
      <c r="H122" s="255"/>
      <c r="K122" s="51" t="s">
        <v>83</v>
      </c>
      <c r="L122" s="106">
        <v>0</v>
      </c>
      <c r="M122" s="63">
        <f>M114</f>
        <v>0.5</v>
      </c>
      <c r="N122" s="71">
        <f>L122*M122</f>
        <v>0</v>
      </c>
      <c r="P122" s="51" t="s">
        <v>83</v>
      </c>
      <c r="Q122" s="106">
        <v>0</v>
      </c>
      <c r="R122" s="63">
        <f>R116</f>
        <v>0.5</v>
      </c>
      <c r="S122" s="120">
        <f>Q122*R122</f>
        <v>0</v>
      </c>
      <c r="U122" s="51" t="s">
        <v>83</v>
      </c>
      <c r="V122" s="106">
        <v>0</v>
      </c>
      <c r="W122" s="63">
        <f>W116</f>
        <v>0.5</v>
      </c>
      <c r="X122" s="150">
        <f>V122*W122</f>
        <v>0</v>
      </c>
    </row>
    <row r="123" spans="2:24" ht="74.45" customHeight="1" x14ac:dyDescent="0.25">
      <c r="B123" s="19" t="s">
        <v>36</v>
      </c>
      <c r="C123" s="198">
        <f>D135*2</f>
        <v>150</v>
      </c>
      <c r="D123" s="5" t="s">
        <v>12</v>
      </c>
      <c r="E123" s="250" t="s">
        <v>261</v>
      </c>
      <c r="F123" s="251"/>
      <c r="G123" s="251"/>
      <c r="H123" s="252"/>
      <c r="K123" s="51" t="s">
        <v>83</v>
      </c>
      <c r="L123" s="106">
        <v>0</v>
      </c>
      <c r="M123" s="63">
        <f t="shared" ref="M123" si="53">M115</f>
        <v>0.5</v>
      </c>
      <c r="N123" s="117">
        <f>L123*M123</f>
        <v>0</v>
      </c>
      <c r="P123" s="51" t="s">
        <v>83</v>
      </c>
      <c r="Q123" s="106">
        <v>0</v>
      </c>
      <c r="R123" s="63">
        <f>R122</f>
        <v>0.5</v>
      </c>
      <c r="S123" s="120">
        <f t="shared" ref="S123:S129" si="54">Q123*R123</f>
        <v>0</v>
      </c>
      <c r="U123" s="51" t="s">
        <v>83</v>
      </c>
      <c r="V123" s="106">
        <v>0</v>
      </c>
      <c r="W123" s="63">
        <f>W122</f>
        <v>0.5</v>
      </c>
      <c r="X123" s="150">
        <f t="shared" ref="X123:X126" si="55">V123*W123</f>
        <v>0</v>
      </c>
    </row>
    <row r="124" spans="2:24" ht="14.45" customHeight="1" x14ac:dyDescent="0.25">
      <c r="B124" s="19" t="s">
        <v>37</v>
      </c>
      <c r="C124" s="179">
        <v>12</v>
      </c>
      <c r="D124" s="5" t="s">
        <v>10</v>
      </c>
      <c r="E124" s="253" t="s">
        <v>38</v>
      </c>
      <c r="F124" s="254"/>
      <c r="G124" s="254"/>
      <c r="H124" s="255"/>
      <c r="K124" s="99" t="s">
        <v>86</v>
      </c>
      <c r="L124" s="106">
        <v>0.1</v>
      </c>
      <c r="M124" s="63">
        <f>M123</f>
        <v>0.5</v>
      </c>
      <c r="N124" s="117">
        <f t="shared" ref="N124:N125" si="56">L124*M124</f>
        <v>0.05</v>
      </c>
      <c r="P124" s="99" t="s">
        <v>86</v>
      </c>
      <c r="Q124" s="106">
        <v>0.12</v>
      </c>
      <c r="R124" s="63">
        <f t="shared" ref="R124:R125" si="57">R123</f>
        <v>0.5</v>
      </c>
      <c r="S124" s="120">
        <f t="shared" si="54"/>
        <v>0.06</v>
      </c>
      <c r="U124" s="99" t="s">
        <v>86</v>
      </c>
      <c r="V124" s="106">
        <v>0.2</v>
      </c>
      <c r="W124" s="63">
        <f t="shared" ref="W124:W125" si="58">W123</f>
        <v>0.5</v>
      </c>
      <c r="X124" s="150">
        <f t="shared" si="55"/>
        <v>0.1</v>
      </c>
    </row>
    <row r="125" spans="2:24" ht="14.45" customHeight="1" x14ac:dyDescent="0.25">
      <c r="B125" s="19" t="s">
        <v>40</v>
      </c>
      <c r="C125" s="179">
        <v>20</v>
      </c>
      <c r="D125" s="5" t="s">
        <v>10</v>
      </c>
      <c r="E125" s="253" t="s">
        <v>202</v>
      </c>
      <c r="F125" s="254"/>
      <c r="G125" s="254"/>
      <c r="H125" s="255"/>
      <c r="K125" s="99" t="s">
        <v>86</v>
      </c>
      <c r="L125" s="106">
        <v>0.12</v>
      </c>
      <c r="M125" s="63">
        <f>M124</f>
        <v>0.5</v>
      </c>
      <c r="N125" s="117">
        <f t="shared" si="56"/>
        <v>0.06</v>
      </c>
      <c r="P125" s="99" t="s">
        <v>86</v>
      </c>
      <c r="Q125" s="106">
        <v>0.13</v>
      </c>
      <c r="R125" s="63">
        <f t="shared" si="57"/>
        <v>0.5</v>
      </c>
      <c r="S125" s="120">
        <f t="shared" si="54"/>
        <v>6.5000000000000002E-2</v>
      </c>
      <c r="U125" s="99" t="s">
        <v>86</v>
      </c>
      <c r="V125" s="106">
        <v>0.2</v>
      </c>
      <c r="W125" s="63">
        <f t="shared" si="58"/>
        <v>0.5</v>
      </c>
      <c r="X125" s="150">
        <f t="shared" si="55"/>
        <v>0.1</v>
      </c>
    </row>
    <row r="126" spans="2:24" x14ac:dyDescent="0.25">
      <c r="B126" s="9" t="s">
        <v>18</v>
      </c>
      <c r="C126" s="111">
        <v>0.24</v>
      </c>
      <c r="D126" s="29" t="s">
        <v>19</v>
      </c>
      <c r="E126" s="256" t="s">
        <v>20</v>
      </c>
      <c r="F126" s="256"/>
      <c r="G126" s="256"/>
      <c r="H126" s="256"/>
      <c r="K126" s="51" t="s">
        <v>83</v>
      </c>
      <c r="L126" s="106">
        <v>0</v>
      </c>
      <c r="M126" s="63">
        <f>M125</f>
        <v>0.5</v>
      </c>
      <c r="N126" s="117">
        <f>L126*M126</f>
        <v>0</v>
      </c>
      <c r="P126" s="51" t="s">
        <v>83</v>
      </c>
      <c r="Q126" s="106">
        <v>0</v>
      </c>
      <c r="R126" s="63">
        <f>R125</f>
        <v>0.5</v>
      </c>
      <c r="S126" s="120">
        <f t="shared" si="54"/>
        <v>0</v>
      </c>
      <c r="U126" s="51" t="s">
        <v>83</v>
      </c>
      <c r="V126" s="106">
        <v>0</v>
      </c>
      <c r="W126" s="63">
        <f>W125</f>
        <v>0.5</v>
      </c>
      <c r="X126" s="150">
        <f t="shared" si="55"/>
        <v>0</v>
      </c>
    </row>
    <row r="127" spans="2:24" x14ac:dyDescent="0.25">
      <c r="B127" s="118" t="s">
        <v>15</v>
      </c>
      <c r="C127" s="122">
        <v>19</v>
      </c>
      <c r="D127" s="30" t="s">
        <v>124</v>
      </c>
      <c r="E127" s="176"/>
      <c r="F127" s="177"/>
      <c r="G127" s="177"/>
      <c r="H127" s="178"/>
      <c r="K127" s="51" t="s">
        <v>83</v>
      </c>
      <c r="L127" s="106">
        <v>0</v>
      </c>
      <c r="M127" s="63">
        <f t="shared" ref="M127:M129" si="59">M126</f>
        <v>0.5</v>
      </c>
      <c r="N127" s="117">
        <f t="shared" ref="N127:N129" si="60">L127*M127</f>
        <v>0</v>
      </c>
      <c r="P127" s="51" t="s">
        <v>83</v>
      </c>
      <c r="Q127" s="106">
        <v>0</v>
      </c>
      <c r="R127" s="63">
        <f t="shared" ref="R127:R129" si="61">R126</f>
        <v>0.5</v>
      </c>
      <c r="S127" s="120">
        <f t="shared" si="54"/>
        <v>0</v>
      </c>
      <c r="U127" s="51" t="s">
        <v>83</v>
      </c>
      <c r="V127" s="106">
        <v>0</v>
      </c>
      <c r="W127" s="63">
        <f t="shared" ref="W127:W129" si="62">W126</f>
        <v>0.5</v>
      </c>
      <c r="X127" s="150">
        <f t="shared" ref="X127:X129" si="63">V127*W127</f>
        <v>0</v>
      </c>
    </row>
    <row r="128" spans="2:24" x14ac:dyDescent="0.25">
      <c r="B128" s="118" t="s">
        <v>16</v>
      </c>
      <c r="C128" s="122">
        <v>7</v>
      </c>
      <c r="D128" s="30" t="s">
        <v>41</v>
      </c>
      <c r="E128" s="176"/>
      <c r="F128" s="177"/>
      <c r="G128" s="177"/>
      <c r="H128" s="178"/>
      <c r="K128" s="51" t="s">
        <v>83</v>
      </c>
      <c r="L128" s="106">
        <v>0</v>
      </c>
      <c r="M128" s="63">
        <f t="shared" si="59"/>
        <v>0.5</v>
      </c>
      <c r="N128" s="117">
        <f t="shared" si="60"/>
        <v>0</v>
      </c>
      <c r="P128" s="51" t="s">
        <v>83</v>
      </c>
      <c r="Q128" s="106">
        <v>0</v>
      </c>
      <c r="R128" s="63">
        <f t="shared" si="61"/>
        <v>0.5</v>
      </c>
      <c r="S128" s="120">
        <f t="shared" si="54"/>
        <v>0</v>
      </c>
      <c r="U128" s="51" t="s">
        <v>83</v>
      </c>
      <c r="V128" s="106">
        <v>0</v>
      </c>
      <c r="W128" s="63">
        <f t="shared" si="62"/>
        <v>0.5</v>
      </c>
      <c r="X128" s="150">
        <f t="shared" si="63"/>
        <v>0</v>
      </c>
    </row>
    <row r="129" spans="1:24" x14ac:dyDescent="0.25">
      <c r="B129" s="118" t="s">
        <v>157</v>
      </c>
      <c r="C129" s="111">
        <v>0.01</v>
      </c>
      <c r="D129" s="30" t="s">
        <v>19</v>
      </c>
      <c r="E129" s="176"/>
      <c r="F129" s="177"/>
      <c r="G129" s="177"/>
      <c r="H129" s="178"/>
      <c r="K129" s="51" t="s">
        <v>83</v>
      </c>
      <c r="L129" s="106">
        <v>0</v>
      </c>
      <c r="M129" s="63">
        <f t="shared" si="59"/>
        <v>0.5</v>
      </c>
      <c r="N129" s="117">
        <f t="shared" si="60"/>
        <v>0</v>
      </c>
      <c r="P129" s="51" t="s">
        <v>83</v>
      </c>
      <c r="Q129" s="106">
        <v>0</v>
      </c>
      <c r="R129" s="63">
        <f t="shared" si="61"/>
        <v>0.5</v>
      </c>
      <c r="S129" s="120">
        <f t="shared" si="54"/>
        <v>0</v>
      </c>
      <c r="U129" s="51" t="s">
        <v>83</v>
      </c>
      <c r="V129" s="106">
        <v>0</v>
      </c>
      <c r="W129" s="63">
        <f t="shared" si="62"/>
        <v>0.5</v>
      </c>
      <c r="X129" s="150">
        <f t="shared" si="63"/>
        <v>0</v>
      </c>
    </row>
    <row r="130" spans="1:24" ht="33.6" customHeight="1" x14ac:dyDescent="0.25">
      <c r="B130" s="9"/>
      <c r="C130" s="144"/>
      <c r="D130" s="29"/>
      <c r="E130" s="257" t="s">
        <v>222</v>
      </c>
      <c r="F130" s="258"/>
      <c r="G130" s="258"/>
      <c r="H130" s="259"/>
      <c r="L130" s="78"/>
      <c r="M130" s="116"/>
      <c r="N130" s="153"/>
      <c r="O130" s="114"/>
      <c r="P130" s="114"/>
      <c r="Q130" s="78"/>
      <c r="R130" s="116"/>
      <c r="S130" s="154"/>
      <c r="T130" s="114"/>
      <c r="U130" s="114"/>
      <c r="V130" s="78"/>
      <c r="W130" s="116"/>
      <c r="X130" s="155"/>
    </row>
    <row r="131" spans="1:24" ht="21" customHeight="1" x14ac:dyDescent="0.25">
      <c r="B131" s="10"/>
      <c r="C131" s="68"/>
      <c r="D131" s="109"/>
      <c r="E131" s="110"/>
      <c r="F131" s="110"/>
      <c r="G131" s="110"/>
      <c r="H131" s="110"/>
      <c r="L131" s="78"/>
      <c r="M131" s="116"/>
      <c r="N131" s="153"/>
      <c r="O131" s="114"/>
      <c r="P131" s="114"/>
      <c r="Q131" s="78"/>
      <c r="R131" s="116"/>
      <c r="S131" s="154"/>
      <c r="T131" s="114"/>
      <c r="U131" s="114"/>
      <c r="V131" s="78"/>
      <c r="W131" s="116"/>
      <c r="X131" s="155"/>
    </row>
    <row r="132" spans="1:24" ht="18.600000000000001" customHeight="1" x14ac:dyDescent="0.25">
      <c r="B132" s="10"/>
      <c r="C132" s="68" t="s">
        <v>12</v>
      </c>
      <c r="D132" s="109" t="s">
        <v>12</v>
      </c>
      <c r="E132" s="227" t="s">
        <v>12</v>
      </c>
      <c r="F132" s="110"/>
      <c r="G132" s="110"/>
      <c r="H132" s="110"/>
      <c r="L132" s="78"/>
      <c r="M132" s="116"/>
      <c r="N132" s="153"/>
      <c r="O132" s="114"/>
      <c r="P132" s="114"/>
      <c r="Q132" s="78"/>
      <c r="R132" s="116"/>
      <c r="S132" s="154"/>
      <c r="T132" s="114"/>
      <c r="U132" s="114"/>
      <c r="V132" s="78"/>
      <c r="W132" s="116"/>
      <c r="X132" s="155"/>
    </row>
    <row r="133" spans="1:24" ht="18.600000000000001" customHeight="1" x14ac:dyDescent="0.25">
      <c r="B133" s="125" t="s">
        <v>212</v>
      </c>
      <c r="C133" s="144" t="s">
        <v>213</v>
      </c>
      <c r="D133" s="144" t="s">
        <v>214</v>
      </c>
      <c r="E133" s="162" t="s">
        <v>282</v>
      </c>
      <c r="F133" s="264" t="s">
        <v>218</v>
      </c>
      <c r="G133" s="265"/>
      <c r="H133" s="265"/>
      <c r="L133" s="78"/>
      <c r="M133" s="116"/>
      <c r="N133" s="153"/>
      <c r="O133" s="114"/>
      <c r="P133" s="114"/>
      <c r="Q133" s="78"/>
      <c r="R133" s="116"/>
      <c r="S133" s="154"/>
      <c r="T133" s="114"/>
      <c r="U133" s="114"/>
      <c r="V133" s="78"/>
      <c r="W133" s="116"/>
      <c r="X133" s="155"/>
    </row>
    <row r="134" spans="1:24" ht="18.600000000000001" customHeight="1" x14ac:dyDescent="0.25">
      <c r="B134" s="125" t="s">
        <v>215</v>
      </c>
      <c r="C134" s="200">
        <v>66</v>
      </c>
      <c r="D134" s="200">
        <v>80</v>
      </c>
      <c r="E134" s="160">
        <v>85</v>
      </c>
      <c r="F134" s="266" t="s">
        <v>223</v>
      </c>
      <c r="G134" s="266"/>
      <c r="H134" s="267"/>
      <c r="L134" s="78"/>
      <c r="M134" s="116"/>
      <c r="N134" s="153"/>
      <c r="O134" s="114"/>
      <c r="P134" s="114"/>
      <c r="Q134" s="78"/>
      <c r="R134" s="116"/>
      <c r="S134" s="154"/>
      <c r="T134" s="114"/>
      <c r="U134" s="114"/>
      <c r="V134" s="78"/>
      <c r="W134" s="116"/>
      <c r="X134" s="155"/>
    </row>
    <row r="135" spans="1:24" ht="18.600000000000001" customHeight="1" x14ac:dyDescent="0.25">
      <c r="B135" s="125" t="s">
        <v>216</v>
      </c>
      <c r="C135" s="200">
        <v>61</v>
      </c>
      <c r="D135" s="200">
        <v>75</v>
      </c>
      <c r="E135" s="201">
        <v>80</v>
      </c>
      <c r="F135" s="268"/>
      <c r="G135" s="268"/>
      <c r="H135" s="269"/>
      <c r="L135" s="78"/>
      <c r="M135" s="116"/>
      <c r="N135" s="153"/>
      <c r="O135" s="114"/>
      <c r="P135" s="114"/>
      <c r="Q135" s="78"/>
      <c r="R135" s="116"/>
      <c r="S135" s="154"/>
      <c r="T135" s="114"/>
      <c r="U135" s="114"/>
      <c r="V135" s="78"/>
      <c r="W135" s="116"/>
      <c r="X135" s="155"/>
    </row>
    <row r="136" spans="1:24" ht="18.600000000000001" customHeight="1" x14ac:dyDescent="0.25">
      <c r="B136" s="10" t="s">
        <v>217</v>
      </c>
      <c r="C136" s="199">
        <f>(C134+C135)/2</f>
        <v>63.5</v>
      </c>
      <c r="D136" s="199">
        <f t="shared" ref="D136:E136" si="64">(D134+D135)/2</f>
        <v>77.5</v>
      </c>
      <c r="E136" s="199">
        <f t="shared" si="64"/>
        <v>82.5</v>
      </c>
      <c r="F136" s="110"/>
      <c r="G136" s="110"/>
      <c r="H136" s="110"/>
      <c r="L136" s="78"/>
      <c r="M136" s="116"/>
      <c r="N136" s="153"/>
      <c r="O136" s="114"/>
      <c r="P136" s="114"/>
      <c r="Q136" s="78"/>
      <c r="R136" s="116"/>
      <c r="S136" s="154"/>
      <c r="T136" s="114"/>
      <c r="U136" s="114"/>
      <c r="V136" s="78"/>
      <c r="W136" s="116"/>
      <c r="X136" s="155"/>
    </row>
    <row r="137" spans="1:24" ht="18.600000000000001" customHeight="1" x14ac:dyDescent="0.25">
      <c r="B137" s="10"/>
      <c r="C137" s="68"/>
      <c r="D137" s="109"/>
      <c r="E137" s="110"/>
      <c r="F137" s="110"/>
      <c r="G137" s="110"/>
      <c r="H137" s="110"/>
      <c r="L137" s="78"/>
      <c r="M137" s="116"/>
      <c r="N137" s="153"/>
      <c r="O137" s="114"/>
      <c r="P137" s="114"/>
      <c r="Q137" s="78"/>
      <c r="R137" s="116"/>
      <c r="S137" s="154"/>
      <c r="T137" s="114"/>
      <c r="U137" s="114"/>
      <c r="V137" s="78"/>
      <c r="W137" s="116"/>
      <c r="X137" s="155"/>
    </row>
    <row r="138" spans="1:24" ht="12.6" customHeight="1" x14ac:dyDescent="0.25">
      <c r="B138" s="10" t="s">
        <v>176</v>
      </c>
      <c r="F138" s="110"/>
      <c r="G138" s="110"/>
      <c r="H138" s="110"/>
      <c r="L138" s="78"/>
      <c r="M138" s="116"/>
      <c r="N138" s="153"/>
      <c r="O138" s="114"/>
      <c r="P138" s="114"/>
      <c r="Q138" s="78"/>
      <c r="R138" s="116"/>
      <c r="S138" s="154"/>
      <c r="T138" s="114"/>
      <c r="U138" s="114"/>
      <c r="V138" s="78"/>
      <c r="W138" s="116"/>
      <c r="X138" s="155"/>
    </row>
    <row r="139" spans="1:24" ht="31.15" customHeight="1" x14ac:dyDescent="0.25">
      <c r="B139" s="51"/>
      <c r="C139" s="75"/>
      <c r="D139" s="185" t="str">
        <f>K111</f>
        <v>BaU (Present climate)</v>
      </c>
      <c r="E139" s="186" t="str">
        <f>P111</f>
        <v>RCP 4.5 (Moderate climate)</v>
      </c>
      <c r="F139" s="184" t="str">
        <f>U111</f>
        <v>RCP 8.5 (Extreme climate)</v>
      </c>
      <c r="G139" s="110"/>
      <c r="H139" s="110"/>
      <c r="L139" s="78"/>
      <c r="M139" s="116"/>
      <c r="N139" s="153"/>
      <c r="O139" s="114"/>
      <c r="P139" s="114"/>
      <c r="Q139" s="78"/>
      <c r="R139" s="116"/>
      <c r="S139" s="154"/>
      <c r="T139" s="114"/>
      <c r="U139" s="114"/>
      <c r="V139" s="78"/>
      <c r="W139" s="116"/>
      <c r="X139" s="155"/>
    </row>
    <row r="140" spans="1:24" ht="12.6" customHeight="1" x14ac:dyDescent="0.25">
      <c r="B140" s="9" t="s">
        <v>210</v>
      </c>
      <c r="C140" s="151"/>
      <c r="D140" s="159">
        <v>0.76</v>
      </c>
      <c r="E140" s="159">
        <v>0.74</v>
      </c>
      <c r="F140" s="165">
        <v>0.7</v>
      </c>
      <c r="G140" s="110"/>
      <c r="H140" s="110"/>
      <c r="L140" s="78"/>
      <c r="M140" s="116"/>
      <c r="N140" s="153"/>
      <c r="O140" s="114"/>
      <c r="P140" s="114"/>
      <c r="Q140" s="78"/>
      <c r="R140" s="116"/>
      <c r="S140" s="154"/>
      <c r="T140" s="114"/>
      <c r="U140" s="114"/>
      <c r="V140" s="78"/>
      <c r="W140" s="116"/>
      <c r="X140" s="155"/>
    </row>
    <row r="141" spans="1:24" ht="12.6" customHeight="1" x14ac:dyDescent="0.25">
      <c r="B141" s="10"/>
      <c r="C141" s="161"/>
      <c r="D141" s="109"/>
      <c r="E141" s="110"/>
      <c r="F141" s="110"/>
      <c r="G141" s="110"/>
      <c r="H141" s="110"/>
      <c r="L141" s="78"/>
      <c r="M141" s="116"/>
      <c r="N141" s="153"/>
      <c r="O141" s="114"/>
      <c r="P141" s="114"/>
      <c r="Q141" s="78"/>
      <c r="R141" s="116"/>
      <c r="S141" s="154"/>
      <c r="T141" s="114"/>
      <c r="U141" s="114"/>
      <c r="V141" s="78"/>
      <c r="W141" s="116"/>
      <c r="X141" s="155"/>
    </row>
    <row r="142" spans="1:24" x14ac:dyDescent="0.25">
      <c r="B142" s="10"/>
      <c r="C142" s="68"/>
      <c r="D142" s="109"/>
      <c r="E142" s="110"/>
      <c r="F142" s="110"/>
      <c r="G142" s="110"/>
      <c r="H142" s="110"/>
    </row>
    <row r="143" spans="1:24" x14ac:dyDescent="0.25">
      <c r="A143" s="70">
        <v>6</v>
      </c>
      <c r="B143" s="47" t="s">
        <v>209</v>
      </c>
      <c r="C143" s="100"/>
      <c r="D143" s="113"/>
      <c r="E143" s="113"/>
      <c r="F143" s="113"/>
      <c r="G143" s="113"/>
      <c r="H143" s="113"/>
      <c r="I143" s="113"/>
      <c r="J143" s="113"/>
      <c r="K143" s="113"/>
      <c r="L143" s="113"/>
      <c r="M143" s="113"/>
      <c r="N143" s="113"/>
      <c r="O143" s="113"/>
      <c r="P143" s="113"/>
      <c r="Q143" s="113"/>
      <c r="R143" s="113"/>
      <c r="S143" s="113"/>
      <c r="T143" s="113"/>
      <c r="U143" s="113"/>
      <c r="V143" s="113"/>
      <c r="W143" s="113"/>
      <c r="X143" s="113"/>
    </row>
    <row r="144" spans="1:24" x14ac:dyDescent="0.25">
      <c r="C144" s="100"/>
      <c r="D144" s="113"/>
      <c r="E144" s="113"/>
      <c r="F144" s="113"/>
      <c r="G144" s="113"/>
      <c r="H144" s="113"/>
      <c r="I144" s="113"/>
      <c r="J144" s="113"/>
      <c r="K144" s="113"/>
      <c r="L144" s="113"/>
      <c r="M144" s="113"/>
      <c r="N144" s="113"/>
      <c r="O144" s="113"/>
      <c r="P144" s="113"/>
      <c r="Q144" s="113"/>
      <c r="R144" s="113"/>
      <c r="S144" s="113"/>
      <c r="T144" s="113"/>
      <c r="U144" s="113"/>
      <c r="V144" s="113"/>
      <c r="W144" s="113"/>
      <c r="X144" s="113"/>
    </row>
    <row r="145" spans="2:29" x14ac:dyDescent="0.25">
      <c r="B145" s="18" t="s">
        <v>6</v>
      </c>
      <c r="C145" s="17" t="s">
        <v>22</v>
      </c>
      <c r="D145" s="17">
        <v>0</v>
      </c>
      <c r="E145" s="17">
        <v>1</v>
      </c>
      <c r="F145" s="17">
        <v>2</v>
      </c>
      <c r="G145" s="132">
        <v>3</v>
      </c>
      <c r="H145" s="17">
        <v>4</v>
      </c>
      <c r="I145" s="17">
        <v>5</v>
      </c>
      <c r="J145" s="132">
        <v>6</v>
      </c>
      <c r="K145" s="17">
        <v>7</v>
      </c>
      <c r="L145" s="17">
        <v>8</v>
      </c>
      <c r="M145" s="132">
        <v>9</v>
      </c>
      <c r="N145" s="17">
        <v>10</v>
      </c>
      <c r="O145" s="17">
        <v>11</v>
      </c>
      <c r="P145" s="132">
        <v>12</v>
      </c>
      <c r="Q145" s="17">
        <v>13</v>
      </c>
      <c r="R145" s="17">
        <v>14</v>
      </c>
      <c r="S145" s="191"/>
      <c r="T145" s="16"/>
      <c r="U145" s="16"/>
      <c r="V145" s="191"/>
      <c r="W145" s="16"/>
      <c r="X145" s="16"/>
      <c r="Y145" s="191"/>
      <c r="Z145" s="16"/>
      <c r="AA145" s="16"/>
      <c r="AB145" s="191"/>
      <c r="AC145" s="16"/>
    </row>
    <row r="146" spans="2:29" x14ac:dyDescent="0.25">
      <c r="B146" s="168" t="str">
        <f>B114</f>
        <v>Goat Production</v>
      </c>
      <c r="C146" s="70" t="str">
        <f>K114</f>
        <v>Decrease</v>
      </c>
      <c r="D146" s="128">
        <f>C114</f>
        <v>4</v>
      </c>
      <c r="E146" s="128">
        <f>D146</f>
        <v>4</v>
      </c>
      <c r="F146" s="128">
        <f>E146</f>
        <v>4</v>
      </c>
      <c r="G146" s="197">
        <f>F146*(1+$N114)</f>
        <v>3.52</v>
      </c>
      <c r="H146" s="128">
        <f>E146</f>
        <v>4</v>
      </c>
      <c r="I146" s="128">
        <f t="shared" ref="I146" si="65">F146</f>
        <v>4</v>
      </c>
      <c r="J146" s="197">
        <f>I146*(1+$N114)</f>
        <v>3.52</v>
      </c>
      <c r="K146" s="128">
        <f>H146</f>
        <v>4</v>
      </c>
      <c r="L146" s="128">
        <f>K146</f>
        <v>4</v>
      </c>
      <c r="M146" s="197">
        <f>L146*(1+$N114)</f>
        <v>3.52</v>
      </c>
      <c r="N146" s="128">
        <f>K146</f>
        <v>4</v>
      </c>
      <c r="O146" s="128">
        <f t="shared" ref="O146" si="66">L146</f>
        <v>4</v>
      </c>
      <c r="P146" s="197">
        <f>O146*(1+$N114)</f>
        <v>3.52</v>
      </c>
      <c r="Q146" s="128">
        <f>N146</f>
        <v>4</v>
      </c>
      <c r="R146" s="128">
        <f>O146</f>
        <v>4</v>
      </c>
      <c r="S146" s="100"/>
      <c r="T146" s="192"/>
      <c r="U146" s="192"/>
      <c r="V146" s="100"/>
      <c r="W146" s="192"/>
      <c r="X146" s="192"/>
      <c r="Y146" s="100"/>
      <c r="Z146" s="192"/>
      <c r="AA146" s="192"/>
      <c r="AB146" s="100"/>
      <c r="AC146" s="193"/>
    </row>
    <row r="147" spans="2:29" x14ac:dyDescent="0.25">
      <c r="B147" s="118" t="str">
        <f>B115</f>
        <v>Price of Goat</v>
      </c>
      <c r="C147" s="70" t="str">
        <f>K115</f>
        <v>No change</v>
      </c>
      <c r="D147" s="129">
        <f>C115</f>
        <v>63.5</v>
      </c>
      <c r="E147" s="129">
        <f>D147</f>
        <v>63.5</v>
      </c>
      <c r="F147" s="129">
        <f t="shared" ref="F147:R148" si="67">E147</f>
        <v>63.5</v>
      </c>
      <c r="G147" s="129">
        <f t="shared" si="67"/>
        <v>63.5</v>
      </c>
      <c r="H147" s="129">
        <f t="shared" si="67"/>
        <v>63.5</v>
      </c>
      <c r="I147" s="129">
        <f t="shared" si="67"/>
        <v>63.5</v>
      </c>
      <c r="J147" s="129">
        <f t="shared" si="67"/>
        <v>63.5</v>
      </c>
      <c r="K147" s="129">
        <f t="shared" si="67"/>
        <v>63.5</v>
      </c>
      <c r="L147" s="129">
        <f t="shared" si="67"/>
        <v>63.5</v>
      </c>
      <c r="M147" s="129">
        <f t="shared" si="67"/>
        <v>63.5</v>
      </c>
      <c r="N147" s="129">
        <f t="shared" si="67"/>
        <v>63.5</v>
      </c>
      <c r="O147" s="129">
        <f t="shared" si="67"/>
        <v>63.5</v>
      </c>
      <c r="P147" s="129">
        <f t="shared" si="67"/>
        <v>63.5</v>
      </c>
      <c r="Q147" s="129">
        <f t="shared" si="67"/>
        <v>63.5</v>
      </c>
      <c r="R147" s="129">
        <f t="shared" si="67"/>
        <v>63.5</v>
      </c>
      <c r="S147" s="194"/>
      <c r="T147" s="194"/>
      <c r="U147" s="194"/>
      <c r="V147" s="194"/>
      <c r="W147" s="194"/>
      <c r="X147" s="194"/>
      <c r="Y147" s="194"/>
      <c r="Z147" s="194"/>
      <c r="AA147" s="194"/>
      <c r="AB147" s="194"/>
      <c r="AC147" s="194"/>
    </row>
    <row r="148" spans="2:29" x14ac:dyDescent="0.25">
      <c r="B148" s="118" t="str">
        <f>B116</f>
        <v>Change in Goat Price</v>
      </c>
      <c r="C148" s="70" t="str">
        <f>K116</f>
        <v>No change</v>
      </c>
      <c r="D148" s="63">
        <f>C116</f>
        <v>0.01</v>
      </c>
      <c r="E148" s="63">
        <f>D148</f>
        <v>0.01</v>
      </c>
      <c r="F148" s="63">
        <f>E148</f>
        <v>0.01</v>
      </c>
      <c r="G148" s="63">
        <f t="shared" si="67"/>
        <v>0.01</v>
      </c>
      <c r="H148" s="63">
        <f t="shared" si="67"/>
        <v>0.01</v>
      </c>
      <c r="I148" s="63">
        <f t="shared" si="67"/>
        <v>0.01</v>
      </c>
      <c r="J148" s="63">
        <f t="shared" si="67"/>
        <v>0.01</v>
      </c>
      <c r="K148" s="63">
        <f t="shared" si="67"/>
        <v>0.01</v>
      </c>
      <c r="L148" s="63">
        <f t="shared" si="67"/>
        <v>0.01</v>
      </c>
      <c r="M148" s="63">
        <f t="shared" si="67"/>
        <v>0.01</v>
      </c>
      <c r="N148" s="63">
        <f t="shared" si="67"/>
        <v>0.01</v>
      </c>
      <c r="O148" s="63">
        <f t="shared" si="67"/>
        <v>0.01</v>
      </c>
      <c r="P148" s="63">
        <f t="shared" si="67"/>
        <v>0.01</v>
      </c>
      <c r="Q148" s="63">
        <f t="shared" si="67"/>
        <v>0.01</v>
      </c>
      <c r="R148" s="63">
        <f t="shared" si="67"/>
        <v>0.01</v>
      </c>
      <c r="S148" s="85"/>
      <c r="T148" s="85"/>
      <c r="U148" s="85"/>
      <c r="V148" s="85"/>
      <c r="W148" s="85"/>
      <c r="X148" s="85"/>
      <c r="Y148" s="85"/>
      <c r="Z148" s="85"/>
      <c r="AA148" s="85"/>
      <c r="AB148" s="85"/>
      <c r="AC148" s="85"/>
    </row>
    <row r="149" spans="2:29" x14ac:dyDescent="0.25">
      <c r="B149" s="118" t="str">
        <f>B117</f>
        <v>Residual Value</v>
      </c>
      <c r="C149" s="70" t="str">
        <f>K117</f>
        <v>Decrease</v>
      </c>
      <c r="D149" s="63">
        <f>C117</f>
        <v>0.2</v>
      </c>
      <c r="E149" s="63">
        <f>D149</f>
        <v>0.2</v>
      </c>
      <c r="F149" s="63">
        <f t="shared" ref="F149" si="68">E149</f>
        <v>0.2</v>
      </c>
      <c r="G149" s="183">
        <f>F149*(1+$N117)</f>
        <v>0.19</v>
      </c>
      <c r="H149" s="63">
        <f>F149</f>
        <v>0.2</v>
      </c>
      <c r="I149" s="63">
        <f>F149</f>
        <v>0.2</v>
      </c>
      <c r="J149" s="183">
        <f>I149*(1+$N117)</f>
        <v>0.19</v>
      </c>
      <c r="K149" s="63">
        <f>I149</f>
        <v>0.2</v>
      </c>
      <c r="L149" s="63">
        <f>K149</f>
        <v>0.2</v>
      </c>
      <c r="M149" s="183">
        <f>L149*(1+$N117)</f>
        <v>0.19</v>
      </c>
      <c r="N149" s="63">
        <f>L149</f>
        <v>0.2</v>
      </c>
      <c r="O149" s="63">
        <f>N149</f>
        <v>0.2</v>
      </c>
      <c r="P149" s="183">
        <f>O149*(1+$N117)</f>
        <v>0.19</v>
      </c>
      <c r="Q149" s="63">
        <f>O149</f>
        <v>0.2</v>
      </c>
      <c r="R149" s="63">
        <f>Q149</f>
        <v>0.2</v>
      </c>
      <c r="S149" s="85"/>
      <c r="T149" s="85"/>
      <c r="U149" s="85"/>
      <c r="V149" s="85"/>
      <c r="W149" s="85"/>
      <c r="X149" s="85"/>
      <c r="Y149" s="85"/>
      <c r="Z149" s="85"/>
      <c r="AA149" s="85"/>
      <c r="AB149" s="85"/>
      <c r="AC149" s="85"/>
    </row>
    <row r="150" spans="2:29" x14ac:dyDescent="0.25">
      <c r="B150" s="118" t="str">
        <f>B118</f>
        <v>Mother Goat Sale at Project end</v>
      </c>
      <c r="C150" s="70" t="str">
        <f>K118</f>
        <v>No change</v>
      </c>
      <c r="D150" s="182">
        <f>C118</f>
        <v>165</v>
      </c>
      <c r="E150" s="182">
        <f>D150</f>
        <v>165</v>
      </c>
      <c r="F150" s="182">
        <f t="shared" ref="F150:R150" si="69">E150</f>
        <v>165</v>
      </c>
      <c r="G150" s="182">
        <f t="shared" si="69"/>
        <v>165</v>
      </c>
      <c r="H150" s="182">
        <f t="shared" si="69"/>
        <v>165</v>
      </c>
      <c r="I150" s="182">
        <f t="shared" si="69"/>
        <v>165</v>
      </c>
      <c r="J150" s="182">
        <f t="shared" si="69"/>
        <v>165</v>
      </c>
      <c r="K150" s="182">
        <f t="shared" si="69"/>
        <v>165</v>
      </c>
      <c r="L150" s="182">
        <f t="shared" si="69"/>
        <v>165</v>
      </c>
      <c r="M150" s="182">
        <f t="shared" si="69"/>
        <v>165</v>
      </c>
      <c r="N150" s="182">
        <f t="shared" si="69"/>
        <v>165</v>
      </c>
      <c r="O150" s="182">
        <f t="shared" si="69"/>
        <v>165</v>
      </c>
      <c r="P150" s="182">
        <f t="shared" si="69"/>
        <v>165</v>
      </c>
      <c r="Q150" s="182">
        <f t="shared" si="69"/>
        <v>165</v>
      </c>
      <c r="R150" s="182">
        <f t="shared" si="69"/>
        <v>165</v>
      </c>
      <c r="S150" s="195"/>
      <c r="T150" s="195"/>
      <c r="U150" s="195"/>
      <c r="V150" s="195"/>
      <c r="W150" s="195"/>
      <c r="X150" s="195"/>
      <c r="Y150" s="195"/>
      <c r="Z150" s="195"/>
      <c r="AA150" s="195"/>
      <c r="AB150" s="195"/>
      <c r="AC150" s="195"/>
    </row>
    <row r="151" spans="2:29" x14ac:dyDescent="0.25">
      <c r="B151" s="181"/>
      <c r="C151" s="100"/>
      <c r="D151" s="85"/>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c r="AC151" s="85"/>
    </row>
    <row r="152" spans="2:29" x14ac:dyDescent="0.25">
      <c r="J152" s="137"/>
      <c r="M152" s="137"/>
      <c r="P152" s="137"/>
      <c r="S152" s="137"/>
      <c r="V152" s="137"/>
      <c r="Y152" s="137"/>
      <c r="AB152" s="137"/>
      <c r="AC152" s="137"/>
    </row>
    <row r="153" spans="2:29" x14ac:dyDescent="0.25">
      <c r="J153" s="137"/>
      <c r="M153" s="137"/>
      <c r="P153" s="137"/>
      <c r="S153" s="137"/>
      <c r="V153" s="137"/>
      <c r="Y153" s="137"/>
      <c r="AB153" s="137"/>
      <c r="AC153" s="137"/>
    </row>
    <row r="154" spans="2:29" x14ac:dyDescent="0.25">
      <c r="B154" s="18" t="s">
        <v>13</v>
      </c>
      <c r="C154" s="17" t="s">
        <v>22</v>
      </c>
      <c r="D154" s="17">
        <v>0</v>
      </c>
      <c r="E154" s="17">
        <v>1</v>
      </c>
      <c r="F154" s="17">
        <v>2</v>
      </c>
      <c r="G154" s="169">
        <v>3</v>
      </c>
      <c r="H154" s="17">
        <v>4</v>
      </c>
      <c r="I154" s="17">
        <v>5</v>
      </c>
      <c r="J154" s="132">
        <v>6</v>
      </c>
      <c r="K154" s="17">
        <v>7</v>
      </c>
      <c r="L154" s="17">
        <v>8</v>
      </c>
      <c r="M154" s="132">
        <v>9</v>
      </c>
      <c r="N154" s="17">
        <v>10</v>
      </c>
      <c r="O154" s="17">
        <v>11</v>
      </c>
      <c r="P154" s="132">
        <v>12</v>
      </c>
      <c r="Q154" s="17">
        <v>13</v>
      </c>
      <c r="R154" s="17">
        <v>14</v>
      </c>
      <c r="S154" s="191"/>
      <c r="T154" s="16"/>
      <c r="U154" s="16"/>
      <c r="V154" s="191"/>
      <c r="W154" s="16"/>
      <c r="X154" s="16"/>
      <c r="Y154" s="191"/>
      <c r="Z154" s="16"/>
      <c r="AA154" s="16"/>
      <c r="AB154" s="191"/>
      <c r="AC154" s="16"/>
    </row>
    <row r="155" spans="2:29" x14ac:dyDescent="0.25">
      <c r="B155" s="118" t="str">
        <f>B122</f>
        <v>Slated House Construction</v>
      </c>
      <c r="C155" s="70" t="str">
        <f>K122</f>
        <v>No change</v>
      </c>
      <c r="D155" s="128">
        <f>C122</f>
        <v>112</v>
      </c>
      <c r="E155" s="128">
        <f t="shared" ref="E155:R162" si="70">D155</f>
        <v>112</v>
      </c>
      <c r="F155" s="128">
        <f t="shared" si="70"/>
        <v>112</v>
      </c>
      <c r="G155" s="128">
        <f t="shared" si="70"/>
        <v>112</v>
      </c>
      <c r="H155" s="128">
        <f t="shared" si="70"/>
        <v>112</v>
      </c>
      <c r="I155" s="128">
        <f t="shared" si="70"/>
        <v>112</v>
      </c>
      <c r="J155" s="128">
        <f t="shared" si="70"/>
        <v>112</v>
      </c>
      <c r="K155" s="128">
        <f t="shared" si="70"/>
        <v>112</v>
      </c>
      <c r="L155" s="128">
        <f t="shared" si="70"/>
        <v>112</v>
      </c>
      <c r="M155" s="128">
        <f t="shared" si="70"/>
        <v>112</v>
      </c>
      <c r="N155" s="128">
        <f t="shared" si="70"/>
        <v>112</v>
      </c>
      <c r="O155" s="128">
        <f t="shared" si="70"/>
        <v>112</v>
      </c>
      <c r="P155" s="128">
        <f t="shared" si="70"/>
        <v>112</v>
      </c>
      <c r="Q155" s="128">
        <f t="shared" si="70"/>
        <v>112</v>
      </c>
      <c r="R155" s="128">
        <f t="shared" si="70"/>
        <v>112</v>
      </c>
      <c r="S155" s="192"/>
      <c r="T155" s="192"/>
      <c r="U155" s="192"/>
      <c r="V155" s="192"/>
      <c r="W155" s="192"/>
      <c r="X155" s="192"/>
      <c r="Y155" s="192"/>
      <c r="Z155" s="192"/>
      <c r="AA155" s="192"/>
      <c r="AB155" s="192"/>
      <c r="AC155" s="192"/>
    </row>
    <row r="156" spans="2:29" x14ac:dyDescent="0.25">
      <c r="B156" s="118" t="str">
        <f>B123</f>
        <v>Mother Goat Purchase</v>
      </c>
      <c r="C156" s="70" t="str">
        <f>K123</f>
        <v>No change</v>
      </c>
      <c r="D156" s="128">
        <f>C123</f>
        <v>150</v>
      </c>
      <c r="E156" s="128">
        <f t="shared" si="70"/>
        <v>150</v>
      </c>
      <c r="F156" s="128">
        <f t="shared" si="70"/>
        <v>150</v>
      </c>
      <c r="G156" s="128">
        <f t="shared" si="70"/>
        <v>150</v>
      </c>
      <c r="H156" s="128">
        <f t="shared" si="70"/>
        <v>150</v>
      </c>
      <c r="I156" s="128">
        <f t="shared" si="70"/>
        <v>150</v>
      </c>
      <c r="J156" s="128">
        <f t="shared" si="70"/>
        <v>150</v>
      </c>
      <c r="K156" s="128">
        <f t="shared" si="70"/>
        <v>150</v>
      </c>
      <c r="L156" s="128">
        <f t="shared" si="70"/>
        <v>150</v>
      </c>
      <c r="M156" s="128">
        <f t="shared" si="70"/>
        <v>150</v>
      </c>
      <c r="N156" s="128">
        <f t="shared" si="70"/>
        <v>150</v>
      </c>
      <c r="O156" s="128">
        <f t="shared" si="70"/>
        <v>150</v>
      </c>
      <c r="P156" s="128">
        <f t="shared" si="70"/>
        <v>150</v>
      </c>
      <c r="Q156" s="128">
        <f t="shared" si="70"/>
        <v>150</v>
      </c>
      <c r="R156" s="128">
        <f t="shared" si="70"/>
        <v>150</v>
      </c>
      <c r="S156" s="192"/>
      <c r="T156" s="192"/>
      <c r="U156" s="192"/>
      <c r="V156" s="192"/>
      <c r="W156" s="192"/>
      <c r="X156" s="192"/>
      <c r="Y156" s="192"/>
      <c r="Z156" s="192"/>
      <c r="AA156" s="192"/>
      <c r="AB156" s="192"/>
      <c r="AC156" s="192"/>
    </row>
    <row r="157" spans="2:29" x14ac:dyDescent="0.25">
      <c r="B157" s="168" t="str">
        <f>B124</f>
        <v>Maintenance Cost</v>
      </c>
      <c r="C157" s="70" t="str">
        <f>K124</f>
        <v>Increase</v>
      </c>
      <c r="D157" s="128">
        <f>C124</f>
        <v>12</v>
      </c>
      <c r="E157" s="128">
        <f t="shared" si="70"/>
        <v>12</v>
      </c>
      <c r="F157" s="128">
        <f t="shared" si="70"/>
        <v>12</v>
      </c>
      <c r="G157" s="170">
        <f>F157*(1+$N124)</f>
        <v>12.600000000000001</v>
      </c>
      <c r="H157" s="128">
        <f>F157</f>
        <v>12</v>
      </c>
      <c r="I157" s="128">
        <f>H157</f>
        <v>12</v>
      </c>
      <c r="J157" s="170">
        <f>I157*(1+$N124)</f>
        <v>12.600000000000001</v>
      </c>
      <c r="K157" s="128">
        <f>I157</f>
        <v>12</v>
      </c>
      <c r="L157" s="128">
        <f>K157</f>
        <v>12</v>
      </c>
      <c r="M157" s="170">
        <f>L157*(1+$N124)</f>
        <v>12.600000000000001</v>
      </c>
      <c r="N157" s="128">
        <f>L157</f>
        <v>12</v>
      </c>
      <c r="O157" s="128">
        <f>N157</f>
        <v>12</v>
      </c>
      <c r="P157" s="170">
        <f>O157*(1+$N124)</f>
        <v>12.600000000000001</v>
      </c>
      <c r="Q157" s="128">
        <f>O157</f>
        <v>12</v>
      </c>
      <c r="R157" s="128">
        <f>Q157</f>
        <v>12</v>
      </c>
      <c r="S157" s="196"/>
      <c r="T157" s="192"/>
      <c r="U157" s="192"/>
      <c r="V157" s="196"/>
      <c r="W157" s="192"/>
      <c r="X157" s="192"/>
      <c r="Y157" s="196"/>
      <c r="Z157" s="192"/>
      <c r="AA157" s="192"/>
      <c r="AB157" s="196"/>
      <c r="AC157" s="100"/>
    </row>
    <row r="158" spans="2:29" x14ac:dyDescent="0.25">
      <c r="B158" s="168" t="str">
        <f>B125</f>
        <v>Medicine</v>
      </c>
      <c r="C158" s="70" t="str">
        <f>K125</f>
        <v>Increase</v>
      </c>
      <c r="D158" s="128">
        <f>C125</f>
        <v>20</v>
      </c>
      <c r="E158" s="128">
        <f t="shared" si="70"/>
        <v>20</v>
      </c>
      <c r="F158" s="128">
        <f t="shared" si="70"/>
        <v>20</v>
      </c>
      <c r="G158" s="170">
        <f>F158*(1+$N125)</f>
        <v>21.200000000000003</v>
      </c>
      <c r="H158" s="128">
        <f t="shared" ref="H158" si="71">F158</f>
        <v>20</v>
      </c>
      <c r="I158" s="128">
        <f t="shared" ref="I158:I159" si="72">H158</f>
        <v>20</v>
      </c>
      <c r="J158" s="170">
        <f>I158*(1+$N125)</f>
        <v>21.200000000000003</v>
      </c>
      <c r="K158" s="128">
        <f t="shared" ref="K158" si="73">I158</f>
        <v>20</v>
      </c>
      <c r="L158" s="128">
        <f t="shared" ref="L158:L159" si="74">K158</f>
        <v>20</v>
      </c>
      <c r="M158" s="170">
        <f>L158*(1+$N125)</f>
        <v>21.200000000000003</v>
      </c>
      <c r="N158" s="128">
        <f t="shared" ref="N158" si="75">L158</f>
        <v>20</v>
      </c>
      <c r="O158" s="128">
        <f t="shared" ref="O158:O159" si="76">N158</f>
        <v>20</v>
      </c>
      <c r="P158" s="170">
        <f>O158*(1+$N125)</f>
        <v>21.200000000000003</v>
      </c>
      <c r="Q158" s="128">
        <f t="shared" ref="Q158" si="77">O158</f>
        <v>20</v>
      </c>
      <c r="R158" s="128">
        <f t="shared" ref="R158:R159" si="78">Q158</f>
        <v>20</v>
      </c>
      <c r="S158" s="196"/>
      <c r="T158" s="192"/>
      <c r="U158" s="192"/>
      <c r="V158" s="196"/>
      <c r="W158" s="192"/>
      <c r="X158" s="192"/>
      <c r="Y158" s="196"/>
      <c r="Z158" s="192"/>
      <c r="AA158" s="192"/>
      <c r="AB158" s="196"/>
      <c r="AC158" s="100"/>
    </row>
    <row r="159" spans="2:29" x14ac:dyDescent="0.25">
      <c r="B159" s="171" t="str">
        <f>B127</f>
        <v>Labor</v>
      </c>
      <c r="C159" s="70" t="str">
        <f>K126</f>
        <v>No change</v>
      </c>
      <c r="D159" s="128">
        <f>C127</f>
        <v>19</v>
      </c>
      <c r="E159" s="128">
        <f t="shared" si="70"/>
        <v>19</v>
      </c>
      <c r="F159" s="128">
        <f t="shared" si="70"/>
        <v>19</v>
      </c>
      <c r="G159" s="128">
        <f t="shared" ref="G159" si="79">F159</f>
        <v>19</v>
      </c>
      <c r="H159" s="128">
        <f t="shared" ref="H159" si="80">G159</f>
        <v>19</v>
      </c>
      <c r="I159" s="128">
        <f t="shared" si="72"/>
        <v>19</v>
      </c>
      <c r="J159" s="128">
        <f t="shared" ref="J159" si="81">I159</f>
        <v>19</v>
      </c>
      <c r="K159" s="128">
        <f t="shared" ref="K159" si="82">J159</f>
        <v>19</v>
      </c>
      <c r="L159" s="128">
        <f t="shared" si="74"/>
        <v>19</v>
      </c>
      <c r="M159" s="128">
        <f t="shared" ref="M159" si="83">L159</f>
        <v>19</v>
      </c>
      <c r="N159" s="128">
        <f t="shared" ref="N159" si="84">M159</f>
        <v>19</v>
      </c>
      <c r="O159" s="128">
        <f t="shared" si="76"/>
        <v>19</v>
      </c>
      <c r="P159" s="128">
        <f t="shared" ref="P159" si="85">O159</f>
        <v>19</v>
      </c>
      <c r="Q159" s="128">
        <f t="shared" ref="Q159" si="86">P159</f>
        <v>19</v>
      </c>
      <c r="R159" s="128">
        <f t="shared" si="78"/>
        <v>19</v>
      </c>
      <c r="S159" s="100"/>
      <c r="T159" s="192"/>
      <c r="U159" s="192"/>
      <c r="V159" s="100"/>
      <c r="W159" s="192"/>
      <c r="X159" s="192"/>
      <c r="Y159" s="100"/>
      <c r="Z159" s="192"/>
      <c r="AA159" s="192"/>
      <c r="AB159" s="100"/>
      <c r="AC159" s="100"/>
    </row>
    <row r="160" spans="2:29" x14ac:dyDescent="0.25">
      <c r="B160" s="171" t="str">
        <f t="shared" ref="B160:B161" si="87">B128</f>
        <v>Wage</v>
      </c>
      <c r="C160" s="70" t="str">
        <f t="shared" ref="C160:C161" si="88">K127</f>
        <v>No change</v>
      </c>
      <c r="D160" s="128">
        <f>C128</f>
        <v>7</v>
      </c>
      <c r="E160" s="128">
        <f t="shared" si="70"/>
        <v>7</v>
      </c>
      <c r="F160" s="128">
        <f t="shared" si="70"/>
        <v>7</v>
      </c>
      <c r="G160" s="128">
        <f>F160</f>
        <v>7</v>
      </c>
      <c r="H160" s="128">
        <f t="shared" ref="H160:R161" si="89">G160</f>
        <v>7</v>
      </c>
      <c r="I160" s="128">
        <f t="shared" si="89"/>
        <v>7</v>
      </c>
      <c r="J160" s="128">
        <f t="shared" si="89"/>
        <v>7</v>
      </c>
      <c r="K160" s="128">
        <f t="shared" si="89"/>
        <v>7</v>
      </c>
      <c r="L160" s="128">
        <f t="shared" si="89"/>
        <v>7</v>
      </c>
      <c r="M160" s="128">
        <f t="shared" si="89"/>
        <v>7</v>
      </c>
      <c r="N160" s="128">
        <f t="shared" si="89"/>
        <v>7</v>
      </c>
      <c r="O160" s="128">
        <f t="shared" si="89"/>
        <v>7</v>
      </c>
      <c r="P160" s="128">
        <f t="shared" si="89"/>
        <v>7</v>
      </c>
      <c r="Q160" s="128">
        <f t="shared" si="89"/>
        <v>7</v>
      </c>
      <c r="R160" s="128">
        <f t="shared" si="89"/>
        <v>7</v>
      </c>
      <c r="S160" s="100"/>
      <c r="T160" s="192"/>
      <c r="U160" s="192"/>
      <c r="V160" s="100"/>
      <c r="W160" s="192"/>
      <c r="X160" s="192"/>
      <c r="Y160" s="100"/>
      <c r="Z160" s="192"/>
      <c r="AA160" s="192"/>
      <c r="AB160" s="100"/>
      <c r="AC160" s="100"/>
    </row>
    <row r="161" spans="2:29" x14ac:dyDescent="0.25">
      <c r="B161" s="171" t="str">
        <f t="shared" si="87"/>
        <v>Wage Increment</v>
      </c>
      <c r="C161" s="70" t="str">
        <f t="shared" si="88"/>
        <v>No change</v>
      </c>
      <c r="D161" s="71">
        <f>C129</f>
        <v>0.01</v>
      </c>
      <c r="E161" s="71">
        <f>D161</f>
        <v>0.01</v>
      </c>
      <c r="F161" s="71">
        <f t="shared" si="70"/>
        <v>0.01</v>
      </c>
      <c r="G161" s="71">
        <f t="shared" ref="G161" si="90">F161</f>
        <v>0.01</v>
      </c>
      <c r="H161" s="71">
        <f t="shared" si="89"/>
        <v>0.01</v>
      </c>
      <c r="I161" s="71">
        <f t="shared" si="89"/>
        <v>0.01</v>
      </c>
      <c r="J161" s="71">
        <f t="shared" si="89"/>
        <v>0.01</v>
      </c>
      <c r="K161" s="71">
        <f t="shared" si="89"/>
        <v>0.01</v>
      </c>
      <c r="L161" s="71">
        <f t="shared" si="89"/>
        <v>0.01</v>
      </c>
      <c r="M161" s="71">
        <f t="shared" si="89"/>
        <v>0.01</v>
      </c>
      <c r="N161" s="71">
        <f t="shared" si="89"/>
        <v>0.01</v>
      </c>
      <c r="O161" s="71">
        <f t="shared" si="89"/>
        <v>0.01</v>
      </c>
      <c r="P161" s="71">
        <f t="shared" si="89"/>
        <v>0.01</v>
      </c>
      <c r="Q161" s="71">
        <f t="shared" si="89"/>
        <v>0.01</v>
      </c>
      <c r="R161" s="71">
        <f t="shared" si="89"/>
        <v>0.01</v>
      </c>
      <c r="S161" s="100"/>
      <c r="T161" s="192"/>
      <c r="U161" s="192"/>
      <c r="V161" s="100"/>
      <c r="W161" s="192"/>
      <c r="X161" s="192"/>
      <c r="Y161" s="100"/>
      <c r="Z161" s="192"/>
      <c r="AA161" s="192"/>
      <c r="AB161" s="100"/>
      <c r="AC161" s="100"/>
    </row>
    <row r="162" spans="2:29" x14ac:dyDescent="0.25">
      <c r="B162" s="171" t="str">
        <f>B126</f>
        <v>Interest Rate (Capital Cost)</v>
      </c>
      <c r="C162" s="70" t="str">
        <f>K126</f>
        <v>No change</v>
      </c>
      <c r="D162" s="63">
        <f>C126</f>
        <v>0.24</v>
      </c>
      <c r="E162" s="71">
        <f t="shared" si="70"/>
        <v>0.24</v>
      </c>
      <c r="F162" s="71">
        <f t="shared" si="70"/>
        <v>0.24</v>
      </c>
      <c r="G162" s="71">
        <f t="shared" si="70"/>
        <v>0.24</v>
      </c>
      <c r="H162" s="71">
        <f t="shared" si="70"/>
        <v>0.24</v>
      </c>
      <c r="I162" s="71">
        <f t="shared" si="70"/>
        <v>0.24</v>
      </c>
      <c r="J162" s="71">
        <f t="shared" si="70"/>
        <v>0.24</v>
      </c>
      <c r="K162" s="71">
        <f t="shared" si="70"/>
        <v>0.24</v>
      </c>
      <c r="L162" s="71">
        <f t="shared" si="70"/>
        <v>0.24</v>
      </c>
      <c r="M162" s="71">
        <f t="shared" si="70"/>
        <v>0.24</v>
      </c>
      <c r="N162" s="71">
        <f t="shared" si="70"/>
        <v>0.24</v>
      </c>
      <c r="O162" s="71">
        <f t="shared" si="70"/>
        <v>0.24</v>
      </c>
      <c r="P162" s="71">
        <f t="shared" si="70"/>
        <v>0.24</v>
      </c>
      <c r="Q162" s="71">
        <f t="shared" si="70"/>
        <v>0.24</v>
      </c>
      <c r="R162" s="71">
        <f t="shared" si="70"/>
        <v>0.24</v>
      </c>
      <c r="S162" s="113"/>
      <c r="T162" s="113"/>
      <c r="U162" s="113"/>
      <c r="V162" s="113"/>
      <c r="W162" s="113"/>
      <c r="X162" s="113"/>
      <c r="Y162" s="113"/>
      <c r="Z162" s="113"/>
      <c r="AA162" s="113"/>
      <c r="AB162" s="113"/>
      <c r="AC162" s="113"/>
    </row>
    <row r="163" spans="2:29" x14ac:dyDescent="0.25">
      <c r="G163" s="137"/>
      <c r="J163" s="137"/>
      <c r="M163" s="137"/>
      <c r="P163" s="137"/>
      <c r="S163" s="137"/>
      <c r="V163" s="137"/>
      <c r="Y163" s="137"/>
      <c r="AB163" s="137"/>
      <c r="AC163" s="137"/>
    </row>
    <row r="164" spans="2:29" x14ac:dyDescent="0.25">
      <c r="G164" s="137"/>
    </row>
    <row r="165" spans="2:29" x14ac:dyDescent="0.25">
      <c r="G165" s="137"/>
    </row>
  </sheetData>
  <mergeCells count="26">
    <mergeCell ref="B15:K15"/>
    <mergeCell ref="F133:H133"/>
    <mergeCell ref="F134:H135"/>
    <mergeCell ref="U111:X111"/>
    <mergeCell ref="K112:N112"/>
    <mergeCell ref="P112:S112"/>
    <mergeCell ref="U112:X112"/>
    <mergeCell ref="B16:J16"/>
    <mergeCell ref="C72:F72"/>
    <mergeCell ref="C86:F86"/>
    <mergeCell ref="C98:F98"/>
    <mergeCell ref="E122:H122"/>
    <mergeCell ref="E117:H117"/>
    <mergeCell ref="E118:H118"/>
    <mergeCell ref="K111:N111"/>
    <mergeCell ref="P111:S111"/>
    <mergeCell ref="E113:H113"/>
    <mergeCell ref="E114:H114"/>
    <mergeCell ref="E115:H115"/>
    <mergeCell ref="E116:H116"/>
    <mergeCell ref="E121:H121"/>
    <mergeCell ref="E123:H123"/>
    <mergeCell ref="E124:H124"/>
    <mergeCell ref="E125:H125"/>
    <mergeCell ref="E126:H126"/>
    <mergeCell ref="E130:H130"/>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2:AA80"/>
  <sheetViews>
    <sheetView showGridLines="0" topLeftCell="J1" zoomScale="85" zoomScaleNormal="85" workbookViewId="0">
      <selection activeCell="N80" sqref="N80"/>
    </sheetView>
  </sheetViews>
  <sheetFormatPr defaultColWidth="9" defaultRowHeight="15" x14ac:dyDescent="0.25"/>
  <cols>
    <col min="1" max="1" width="40.7109375" style="10" customWidth="1"/>
    <col min="2" max="2" width="18.28515625" style="28" customWidth="1"/>
    <col min="3" max="3" width="13" style="28" customWidth="1"/>
    <col min="4" max="4" width="17" style="28" customWidth="1"/>
    <col min="5" max="5" width="14.7109375" style="28" customWidth="1"/>
    <col min="6" max="6" width="14.5703125" style="28" customWidth="1"/>
    <col min="7" max="7" width="14.28515625" style="28" customWidth="1"/>
    <col min="8" max="8" width="15.28515625" style="28" customWidth="1"/>
    <col min="9" max="9" width="14.28515625" style="28" customWidth="1"/>
    <col min="10" max="10" width="16.42578125" style="28" customWidth="1"/>
    <col min="11" max="11" width="15" style="28" customWidth="1"/>
    <col min="12" max="12" width="15.140625" style="28" customWidth="1"/>
    <col min="13" max="23" width="13.7109375" style="3" customWidth="1"/>
    <col min="24" max="24" width="15.7109375" style="3" customWidth="1"/>
    <col min="25" max="25" width="13.7109375" style="3" customWidth="1"/>
    <col min="26" max="26" width="15.42578125" style="3" customWidth="1"/>
    <col min="27" max="27" width="14.7109375" style="3" customWidth="1"/>
    <col min="28" max="16384" width="9" style="3"/>
  </cols>
  <sheetData>
    <row r="2" spans="1:27" ht="38.25" customHeight="1" x14ac:dyDescent="0.25">
      <c r="A2" s="11" t="s">
        <v>190</v>
      </c>
      <c r="B2" s="32"/>
      <c r="C2" s="76"/>
      <c r="D2" s="77"/>
      <c r="E2" s="32"/>
      <c r="F2" s="126" t="s">
        <v>106</v>
      </c>
      <c r="G2" s="32"/>
      <c r="H2" s="32"/>
      <c r="I2" s="32"/>
      <c r="J2" s="32"/>
      <c r="K2" s="32"/>
      <c r="L2" s="32"/>
      <c r="M2" s="11"/>
    </row>
    <row r="3" spans="1:27" ht="15" customHeight="1" x14ac:dyDescent="0.25">
      <c r="A3" s="23"/>
      <c r="B3" s="32"/>
      <c r="C3" s="32"/>
      <c r="D3" s="32"/>
      <c r="E3" s="32"/>
      <c r="F3" s="32"/>
      <c r="G3" s="32"/>
      <c r="H3" s="32"/>
      <c r="I3" s="32"/>
      <c r="J3" s="32"/>
      <c r="K3" s="32"/>
      <c r="L3" s="32"/>
      <c r="M3" s="11"/>
    </row>
    <row r="4" spans="1:27" x14ac:dyDescent="0.25">
      <c r="A4" s="10" t="s">
        <v>22</v>
      </c>
      <c r="B4" s="28">
        <v>0</v>
      </c>
      <c r="C4" s="28">
        <v>1</v>
      </c>
      <c r="D4" s="28">
        <v>2</v>
      </c>
      <c r="E4" s="28">
        <v>3</v>
      </c>
      <c r="F4" s="28">
        <v>4</v>
      </c>
      <c r="G4" s="28">
        <v>5</v>
      </c>
      <c r="H4" s="28">
        <v>6</v>
      </c>
      <c r="I4" s="28">
        <v>7</v>
      </c>
      <c r="J4" s="28">
        <v>8</v>
      </c>
      <c r="K4" s="28">
        <v>9</v>
      </c>
      <c r="L4" s="28">
        <v>10</v>
      </c>
      <c r="M4" s="28">
        <v>11</v>
      </c>
      <c r="N4" s="28">
        <v>12</v>
      </c>
      <c r="O4" s="28">
        <v>13</v>
      </c>
      <c r="P4" s="28">
        <v>14</v>
      </c>
      <c r="Q4" s="28">
        <v>15</v>
      </c>
      <c r="R4" s="28">
        <v>16</v>
      </c>
      <c r="S4" s="28">
        <v>17</v>
      </c>
      <c r="T4" s="28">
        <v>18</v>
      </c>
      <c r="U4" s="28">
        <v>19</v>
      </c>
      <c r="V4" s="28">
        <v>20</v>
      </c>
      <c r="W4" s="28">
        <v>21</v>
      </c>
      <c r="X4" s="28">
        <v>22</v>
      </c>
      <c r="Y4" s="28">
        <v>23</v>
      </c>
      <c r="Z4" s="28">
        <v>24</v>
      </c>
      <c r="AA4" s="28">
        <v>25</v>
      </c>
    </row>
    <row r="5" spans="1:27" x14ac:dyDescent="0.25">
      <c r="A5" s="24" t="s">
        <v>23</v>
      </c>
    </row>
    <row r="6" spans="1:27" x14ac:dyDescent="0.25">
      <c r="A6" s="10" t="s">
        <v>191</v>
      </c>
      <c r="B6" s="33">
        <f>Assumption_Fattening!D18*Assumption_Fattening!D147*Assumption_Fattening!D148*(1+Assumption_Fattening!D149)^Assumption_Fattening!D146</f>
        <v>0</v>
      </c>
      <c r="C6" s="33">
        <f>Assumption_Fattening!E18*Assumption_Fattening!E147*Assumption_Fattening!E148*(1+Assumption_Fattening!E149)^Assumption_Fattening!E146</f>
        <v>1216923.75</v>
      </c>
      <c r="D6" s="33">
        <f>Assumption_Fattening!F18*Assumption_Fattening!F147*Assumption_Fattening!F148*(1+Assumption_Fattening!F149)^Assumption_Fattening!F146</f>
        <v>4096976.625</v>
      </c>
      <c r="E6" s="174">
        <f>Assumption_Fattening!G18*Assumption_Fattening!G147*Assumption_Fattening!G148*(1+Assumption_Fattening!G149)^Assumption_Fattening!G146*(1+Assumption_Fattening!$S121)</f>
        <v>4700810.5491197817</v>
      </c>
      <c r="F6" s="33">
        <f>Assumption_Fattening!H18*Assumption_Fattening!H147*Assumption_Fattening!H148*(1+Assumption_Fattening!H149)^Assumption_Fattening!H146</f>
        <v>7940719.1248087501</v>
      </c>
      <c r="G6" s="33">
        <f>Assumption_Fattening!I18*Assumption_Fattening!I147*Assumption_Fattening!I148*(1+Assumption_Fattening!I149)^Assumption_Fattening!I146</f>
        <v>8442238.22742825</v>
      </c>
      <c r="H6" s="174">
        <f>Assumption_Fattening!J18*Assumption_Fattening!J147*Assumption_Fattening!J148*(1+Assumption_Fattening!J149)^Assumption_Fattening!J146*(1+Assumption_Fattening!$S121)</f>
        <v>5697940.9524337184</v>
      </c>
      <c r="I6" s="33">
        <f>Assumption_Fattening!K18*Assumption_Fattening!K147*Assumption_Fattening!K148*(1+Assumption_Fattening!K149)^Assumption_Fattening!K146</f>
        <v>8611927.215799557</v>
      </c>
      <c r="J6" s="33">
        <f>Assumption_Fattening!L18*Assumption_Fattening!L147*Assumption_Fattening!L148*(1+Assumption_Fattening!L149)^Assumption_Fattening!L146</f>
        <v>8698046.4879575539</v>
      </c>
      <c r="K6" s="174">
        <f>Assumption_Fattening!M18*Assumption_Fattening!M147*Assumption_Fattening!M148*(1+Assumption_Fattening!M149)^Assumption_Fattening!M146*(1+Assumption_Fattening!$S121)</f>
        <v>5870594.2612334136</v>
      </c>
      <c r="L6" s="33">
        <f>Assumption_Fattening!N18*Assumption_Fattening!N147*Assumption_Fattening!N148*(1+Assumption_Fattening!N149)^Assumption_Fattening!N146</f>
        <v>8872877.2223655023</v>
      </c>
      <c r="M6" s="33">
        <f>Assumption_Fattening!O18*Assumption_Fattening!O147*Assumption_Fattening!O148*(1+Assumption_Fattening!O149)^Assumption_Fattening!O146</f>
        <v>8961605.9945891555</v>
      </c>
      <c r="N6" s="174">
        <f>Assumption_Fattening!P18*Assumption_Fattening!P147*Assumption_Fattening!P148*(1+Assumption_Fattening!P149)^Assumption_Fattening!P146*(1+Assumption_Fattening!$S121)</f>
        <v>6048479.1379430452</v>
      </c>
      <c r="O6" s="33">
        <f>Assumption_Fattening!Q18*Assumption_Fattening!Q147*Assumption_Fattening!Q148*(1+Assumption_Fattening!Q149)^Assumption_Fattening!Q146</f>
        <v>9141734.2750803977</v>
      </c>
      <c r="P6" s="33">
        <f>Assumption_Fattening!R18*Assumption_Fattening!R147*Assumption_Fattening!R148*(1+Assumption_Fattening!R149)^Assumption_Fattening!R146</f>
        <v>9233151.6178312041</v>
      </c>
      <c r="Q6" s="174">
        <f>Assumption_Fattening!S18*Assumption_Fattening!S147*Assumption_Fattening!S148*(1+Assumption_Fattening!S149)^Assumption_Fattening!S146*(1+Assumption_Fattening!$S121)</f>
        <v>6231754.1043018578</v>
      </c>
      <c r="R6" s="33">
        <f>Assumption_Fattening!T18*Assumption_Fattening!T147*Assumption_Fattening!T148*(1+Assumption_Fattening!T149)^Assumption_Fattening!T146</f>
        <v>9418737.9653496109</v>
      </c>
      <c r="S6" s="33">
        <f>Assumption_Fattening!U18*Assumption_Fattening!U147*Assumption_Fattening!U148*(1+Assumption_Fattening!U149)^Assumption_Fattening!U146</f>
        <v>9512925.3450031076</v>
      </c>
      <c r="T6" s="174">
        <f>Assumption_Fattening!V18*Assumption_Fattening!V147*Assumption_Fattening!V148*(1+Assumption_Fattening!V149)^Assumption_Fattening!V146*(1+Assumption_Fattening!$S121)</f>
        <v>6420582.4854163099</v>
      </c>
      <c r="U6" s="33">
        <f>Assumption_Fattening!W18*Assumption_Fattening!W147*Assumption_Fattening!W148*(1+Assumption_Fattening!W149)^Assumption_Fattening!W146</f>
        <v>9704135.144437667</v>
      </c>
      <c r="V6" s="33">
        <f>Assumption_Fattening!X18*Assumption_Fattening!X147*Assumption_Fattening!X148*(1+Assumption_Fattening!X149)^Assumption_Fattening!X146</f>
        <v>9801176.4958820455</v>
      </c>
      <c r="W6" s="174">
        <f>Assumption_Fattening!Y18*Assumption_Fattening!Y147*Assumption_Fattening!Y148*(1+Assumption_Fattening!Y149)^Assumption_Fattening!Y146*(1+Assumption_Fattening!$S121)</f>
        <v>5622862.6720108725</v>
      </c>
      <c r="X6" s="33">
        <f>Assumption_Fattening!Z18*Assumption_Fattening!Z147*Assumption_Fattening!Z148*(1+Assumption_Fattening!Z149)^Assumption_Fattening!Z146</f>
        <v>4999090.0717246383</v>
      </c>
      <c r="Y6" s="33">
        <f>Assumption_Fattening!AA18*Assumption_Fattening!AA147*Assumption_Fattening!AA148*(1+Assumption_Fattening!AA149)^Assumption_Fattening!AA146</f>
        <v>1514724.291732565</v>
      </c>
      <c r="Z6" s="174">
        <f>Assumption_Fattening!AB18*Assumption_Fattening!AB147*Assumption_Fattening!AB148*(1+Assumption_Fattening!AB149)^Assumption_Fattening!AB146*(1+Assumption_Fattening!$S121)</f>
        <v>340778.88434326323</v>
      </c>
      <c r="AA6" s="33">
        <f>Assumption_Fattening!AC18*Assumption_Fattening!AC147*Assumption_Fattening!AC148*(1+Assumption_Fattening!AC149)^Assumption_Fattening!AC146</f>
        <v>0</v>
      </c>
    </row>
    <row r="7" spans="1:27" s="13" customFormat="1" x14ac:dyDescent="0.25">
      <c r="A7" s="24" t="s">
        <v>58</v>
      </c>
      <c r="B7" s="41">
        <f>B6</f>
        <v>0</v>
      </c>
      <c r="C7" s="41">
        <f t="shared" ref="C7:AA7" si="0">C6</f>
        <v>1216923.75</v>
      </c>
      <c r="D7" s="41">
        <f t="shared" si="0"/>
        <v>4096976.625</v>
      </c>
      <c r="E7" s="41">
        <f t="shared" si="0"/>
        <v>4700810.5491197817</v>
      </c>
      <c r="F7" s="41">
        <f t="shared" si="0"/>
        <v>7940719.1248087501</v>
      </c>
      <c r="G7" s="41">
        <f t="shared" si="0"/>
        <v>8442238.22742825</v>
      </c>
      <c r="H7" s="41">
        <f t="shared" si="0"/>
        <v>5697940.9524337184</v>
      </c>
      <c r="I7" s="41">
        <f t="shared" si="0"/>
        <v>8611927.215799557</v>
      </c>
      <c r="J7" s="41">
        <f t="shared" si="0"/>
        <v>8698046.4879575539</v>
      </c>
      <c r="K7" s="41">
        <f t="shared" si="0"/>
        <v>5870594.2612334136</v>
      </c>
      <c r="L7" s="41">
        <f t="shared" si="0"/>
        <v>8872877.2223655023</v>
      </c>
      <c r="M7" s="41">
        <f t="shared" si="0"/>
        <v>8961605.9945891555</v>
      </c>
      <c r="N7" s="41">
        <f t="shared" si="0"/>
        <v>6048479.1379430452</v>
      </c>
      <c r="O7" s="41">
        <f t="shared" si="0"/>
        <v>9141734.2750803977</v>
      </c>
      <c r="P7" s="41">
        <f t="shared" si="0"/>
        <v>9233151.6178312041</v>
      </c>
      <c r="Q7" s="41">
        <f t="shared" si="0"/>
        <v>6231754.1043018578</v>
      </c>
      <c r="R7" s="41">
        <f t="shared" si="0"/>
        <v>9418737.9653496109</v>
      </c>
      <c r="S7" s="41">
        <f t="shared" si="0"/>
        <v>9512925.3450031076</v>
      </c>
      <c r="T7" s="41">
        <f t="shared" si="0"/>
        <v>6420582.4854163099</v>
      </c>
      <c r="U7" s="41">
        <f t="shared" si="0"/>
        <v>9704135.144437667</v>
      </c>
      <c r="V7" s="41">
        <f t="shared" si="0"/>
        <v>9801176.4958820455</v>
      </c>
      <c r="W7" s="41">
        <f t="shared" si="0"/>
        <v>5622862.6720108725</v>
      </c>
      <c r="X7" s="41">
        <f t="shared" si="0"/>
        <v>4999090.0717246383</v>
      </c>
      <c r="Y7" s="41">
        <f t="shared" si="0"/>
        <v>1514724.291732565</v>
      </c>
      <c r="Z7" s="41">
        <f t="shared" si="0"/>
        <v>340778.88434326323</v>
      </c>
      <c r="AA7" s="41">
        <f t="shared" si="0"/>
        <v>0</v>
      </c>
    </row>
    <row r="8" spans="1:27" x14ac:dyDescent="0.25">
      <c r="A8" s="24"/>
      <c r="B8" s="44"/>
      <c r="C8" s="44"/>
      <c r="D8" s="44"/>
      <c r="E8" s="44"/>
      <c r="F8" s="44"/>
      <c r="G8" s="44"/>
      <c r="H8" s="44"/>
      <c r="I8" s="44"/>
      <c r="J8" s="44"/>
      <c r="K8" s="44"/>
    </row>
    <row r="9" spans="1:27" x14ac:dyDescent="0.25">
      <c r="A9" s="24" t="s">
        <v>24</v>
      </c>
    </row>
    <row r="10" spans="1:27" x14ac:dyDescent="0.25">
      <c r="A10" s="9" t="str">
        <f>Assumption_Fattening!B153</f>
        <v>Crab Farm Establishment</v>
      </c>
      <c r="B10" s="35">
        <f>Assumption_Fattening!D153*Assumption_Fattening!D16</f>
        <v>0</v>
      </c>
      <c r="C10" s="35">
        <f>Assumption_Fattening!E153*Assumption_Fattening!E16</f>
        <v>900000</v>
      </c>
      <c r="D10" s="35">
        <f>Assumption_Fattening!F153*Assumption_Fattening!F16</f>
        <v>2100000</v>
      </c>
      <c r="E10" s="35">
        <f>Assumption_Fattening!G153*Assumption_Fattening!G16</f>
        <v>2100000</v>
      </c>
      <c r="F10" s="35">
        <f>Assumption_Fattening!H153*Assumption_Fattening!H16</f>
        <v>600000</v>
      </c>
      <c r="G10" s="35">
        <f>Assumption_Fattening!I153*Assumption_Fattening!I16</f>
        <v>300000</v>
      </c>
      <c r="H10" s="35">
        <f>Assumption_Fattening!J153*Assumption_Fattening!J16</f>
        <v>0</v>
      </c>
      <c r="I10" s="35">
        <f>Assumption_Fattening!K153*Assumption_Fattening!K16</f>
        <v>0</v>
      </c>
      <c r="J10" s="35">
        <f>Assumption_Fattening!L153*Assumption_Fattening!L16</f>
        <v>0</v>
      </c>
      <c r="K10" s="35">
        <f>Assumption_Fattening!M153*Assumption_Fattening!M16</f>
        <v>0</v>
      </c>
      <c r="L10" s="35">
        <f>Assumption_Fattening!N153*Assumption_Fattening!N16</f>
        <v>0</v>
      </c>
      <c r="M10" s="35">
        <f>Assumption_Fattening!O153*Assumption_Fattening!O16</f>
        <v>0</v>
      </c>
      <c r="N10" s="35">
        <f>Assumption_Fattening!P153*Assumption_Fattening!P16</f>
        <v>0</v>
      </c>
      <c r="O10" s="35">
        <f>Assumption_Fattening!Q153*Assumption_Fattening!Q16</f>
        <v>0</v>
      </c>
      <c r="P10" s="35">
        <f>Assumption_Fattening!R153*Assumption_Fattening!R16</f>
        <v>0</v>
      </c>
      <c r="Q10" s="35">
        <f>Assumption_Fattening!S153*Assumption_Fattening!S16</f>
        <v>0</v>
      </c>
      <c r="R10" s="35">
        <f>Assumption_Fattening!T153*Assumption_Fattening!T16</f>
        <v>0</v>
      </c>
      <c r="S10" s="35">
        <f>Assumption_Fattening!U153*Assumption_Fattening!U16</f>
        <v>0</v>
      </c>
      <c r="T10" s="35">
        <f>Assumption_Fattening!V153*Assumption_Fattening!V16</f>
        <v>0</v>
      </c>
      <c r="U10" s="35">
        <f>Assumption_Fattening!W153*Assumption_Fattening!W16</f>
        <v>0</v>
      </c>
      <c r="V10" s="35">
        <f>Assumption_Fattening!X153*Assumption_Fattening!X16</f>
        <v>0</v>
      </c>
      <c r="W10" s="35">
        <f>Assumption_Fattening!Y153*Assumption_Fattening!Y16</f>
        <v>0</v>
      </c>
      <c r="X10" s="35">
        <f>Assumption_Fattening!Z153*Assumption_Fattening!Z16</f>
        <v>0</v>
      </c>
      <c r="Y10" s="35">
        <f>Assumption_Fattening!AA153*Assumption_Fattening!AA16</f>
        <v>0</v>
      </c>
      <c r="Z10" s="35">
        <f>Assumption_Fattening!AB153*Assumption_Fattening!AB16</f>
        <v>0</v>
      </c>
      <c r="AA10" s="35">
        <f>Assumption_Fattening!AC153*Assumption_Fattening!AC16</f>
        <v>0</v>
      </c>
    </row>
    <row r="11" spans="1:27" x14ac:dyDescent="0.25">
      <c r="A11" s="9" t="str">
        <f>Assumption_Fattening!B154</f>
        <v>Operation Cost (Small crab purchase)</v>
      </c>
      <c r="B11" s="35">
        <f>Assumption_Fattening!D18*Assumption_Fattening!D154</f>
        <v>0</v>
      </c>
      <c r="C11" s="35">
        <f>Assumption_Fattening!E18*Assumption_Fattening!E154</f>
        <v>118125.00000000001</v>
      </c>
      <c r="D11" s="35">
        <f>Assumption_Fattening!F18*Assumption_Fattening!F154</f>
        <v>393750.00000000006</v>
      </c>
      <c r="E11" s="35">
        <f>Assumption_Fattening!G18*Assumption_Fattening!G154</f>
        <v>669375.00000000012</v>
      </c>
      <c r="F11" s="35">
        <f>Assumption_Fattening!H18*Assumption_Fattening!H154</f>
        <v>748125.00000000012</v>
      </c>
      <c r="G11" s="35">
        <f>Assumption_Fattening!I18*Assumption_Fattening!I154</f>
        <v>787500.00000000012</v>
      </c>
      <c r="H11" s="35">
        <f>Assumption_Fattening!J18*Assumption_Fattening!J154</f>
        <v>787500.00000000012</v>
      </c>
      <c r="I11" s="35">
        <f>Assumption_Fattening!K18*Assumption_Fattening!K154</f>
        <v>787500.00000000012</v>
      </c>
      <c r="J11" s="35">
        <f>Assumption_Fattening!L18*Assumption_Fattening!L154</f>
        <v>787500.00000000012</v>
      </c>
      <c r="K11" s="35">
        <f>Assumption_Fattening!M18*Assumption_Fattening!M154</f>
        <v>787500.00000000012</v>
      </c>
      <c r="L11" s="35">
        <f>Assumption_Fattening!N18*Assumption_Fattening!N154</f>
        <v>787500.00000000012</v>
      </c>
      <c r="M11" s="35">
        <f>Assumption_Fattening!O18*Assumption_Fattening!O154</f>
        <v>787500.00000000012</v>
      </c>
      <c r="N11" s="35">
        <f>Assumption_Fattening!P18*Assumption_Fattening!P154</f>
        <v>787500.00000000012</v>
      </c>
      <c r="O11" s="35">
        <f>Assumption_Fattening!Q18*Assumption_Fattening!Q154</f>
        <v>787500.00000000012</v>
      </c>
      <c r="P11" s="35">
        <f>Assumption_Fattening!R18*Assumption_Fattening!R154</f>
        <v>787500.00000000012</v>
      </c>
      <c r="Q11" s="35">
        <f>Assumption_Fattening!S18*Assumption_Fattening!S154</f>
        <v>787500.00000000012</v>
      </c>
      <c r="R11" s="35">
        <f>Assumption_Fattening!T18*Assumption_Fattening!T154</f>
        <v>787500.00000000012</v>
      </c>
      <c r="S11" s="35">
        <f>Assumption_Fattening!U18*Assumption_Fattening!U154</f>
        <v>787500.00000000012</v>
      </c>
      <c r="T11" s="35">
        <f>Assumption_Fattening!V18*Assumption_Fattening!V154</f>
        <v>787500.00000000012</v>
      </c>
      <c r="U11" s="35">
        <f>Assumption_Fattening!W18*Assumption_Fattening!W154</f>
        <v>787500.00000000012</v>
      </c>
      <c r="V11" s="35">
        <f>Assumption_Fattening!X18*Assumption_Fattening!X154</f>
        <v>787500.00000000012</v>
      </c>
      <c r="W11" s="35">
        <f>Assumption_Fattening!Y18*Assumption_Fattening!Y154</f>
        <v>669375.00000000012</v>
      </c>
      <c r="X11" s="35">
        <f>Assumption_Fattening!Z18*Assumption_Fattening!Z154</f>
        <v>393750.00000000006</v>
      </c>
      <c r="Y11" s="35">
        <f>Assumption_Fattening!AA18*Assumption_Fattening!AA154</f>
        <v>118125.00000000001</v>
      </c>
      <c r="Z11" s="35">
        <f>Assumption_Fattening!AB18*Assumption_Fattening!AB154</f>
        <v>39375.000000000007</v>
      </c>
      <c r="AA11" s="35">
        <f>Assumption_Fattening!AC18*Assumption_Fattening!AC154</f>
        <v>0</v>
      </c>
    </row>
    <row r="12" spans="1:27" x14ac:dyDescent="0.25">
      <c r="A12" s="9" t="str">
        <f>Assumption_Fattening!B155</f>
        <v>Maintenance</v>
      </c>
      <c r="B12" s="35">
        <f>Assumption_Fattening!D18*Assumption_Fattening!D155</f>
        <v>0</v>
      </c>
      <c r="C12" s="35">
        <f>Assumption_Fattening!E18*Assumption_Fattening!E155</f>
        <v>420000</v>
      </c>
      <c r="D12" s="35">
        <f>Assumption_Fattening!F18*Assumption_Fattening!F155</f>
        <v>1400000</v>
      </c>
      <c r="E12" s="175">
        <f>Assumption_Fattening!G18*Assumption_Fattening!G155*(1+Assumption_Fattening!$S129)</f>
        <v>2464014</v>
      </c>
      <c r="F12" s="35">
        <f>Assumption_Fattening!H18*Assumption_Fattening!H155</f>
        <v>2660000</v>
      </c>
      <c r="G12" s="35">
        <f>Assumption_Fattening!I18*Assumption_Fattening!I155</f>
        <v>2800000</v>
      </c>
      <c r="H12" s="175">
        <f>Assumption_Fattening!J18*Assumption_Fattening!J155*(1+Assumption_Fattening!$S129)</f>
        <v>2898840</v>
      </c>
      <c r="I12" s="35">
        <f>Assumption_Fattening!K18*Assumption_Fattening!K155</f>
        <v>2800000</v>
      </c>
      <c r="J12" s="35">
        <f>Assumption_Fattening!L18*Assumption_Fattening!L155</f>
        <v>2800000</v>
      </c>
      <c r="K12" s="175">
        <f>Assumption_Fattening!M18*Assumption_Fattening!M155*(1+Assumption_Fattening!$S129)</f>
        <v>2898840</v>
      </c>
      <c r="L12" s="35">
        <f>Assumption_Fattening!N18*Assumption_Fattening!N155</f>
        <v>2800000</v>
      </c>
      <c r="M12" s="35">
        <f>Assumption_Fattening!O18*Assumption_Fattening!O155</f>
        <v>2800000</v>
      </c>
      <c r="N12" s="175">
        <f>Assumption_Fattening!P18*Assumption_Fattening!P155*(1+Assumption_Fattening!$S129)</f>
        <v>2898840</v>
      </c>
      <c r="O12" s="35">
        <f>Assumption_Fattening!Q18*Assumption_Fattening!Q155</f>
        <v>2800000</v>
      </c>
      <c r="P12" s="35">
        <f>Assumption_Fattening!R18*Assumption_Fattening!R155</f>
        <v>2800000</v>
      </c>
      <c r="Q12" s="175">
        <f>Assumption_Fattening!S18*Assumption_Fattening!S155*(1+Assumption_Fattening!$S129)</f>
        <v>2898840</v>
      </c>
      <c r="R12" s="35">
        <f>Assumption_Fattening!T18*Assumption_Fattening!T155</f>
        <v>2800000</v>
      </c>
      <c r="S12" s="35">
        <f>Assumption_Fattening!U18*Assumption_Fattening!U155</f>
        <v>2800000</v>
      </c>
      <c r="T12" s="175">
        <f>Assumption_Fattening!V18*Assumption_Fattening!V155*(1+Assumption_Fattening!$S129)</f>
        <v>2898840</v>
      </c>
      <c r="U12" s="35">
        <f>Assumption_Fattening!W18*Assumption_Fattening!W155</f>
        <v>2800000</v>
      </c>
      <c r="V12" s="35">
        <f>Assumption_Fattening!X18*Assumption_Fattening!X155</f>
        <v>2800000</v>
      </c>
      <c r="W12" s="175">
        <f>Assumption_Fattening!Y18*Assumption_Fattening!Y155*(1+Assumption_Fattening!$S129)</f>
        <v>2464014</v>
      </c>
      <c r="X12" s="35">
        <f>Assumption_Fattening!Z18*Assumption_Fattening!Z155</f>
        <v>1400000</v>
      </c>
      <c r="Y12" s="35">
        <f>Assumption_Fattening!AA18*Assumption_Fattening!AA155</f>
        <v>420000</v>
      </c>
      <c r="Z12" s="175">
        <f>Assumption_Fattening!AB18*Assumption_Fattening!AB155*(1+Assumption_Fattening!$S129)</f>
        <v>144942</v>
      </c>
      <c r="AA12" s="35">
        <f>Assumption_Fattening!AC18*Assumption_Fattening!AC155</f>
        <v>0</v>
      </c>
    </row>
    <row r="13" spans="1:27" x14ac:dyDescent="0.25">
      <c r="A13" s="9" t="str">
        <f>Assumption_Fattening!B156</f>
        <v>Feed</v>
      </c>
      <c r="B13" s="35">
        <f>Assumption_Fattening!D18*Assumption_Fattening!D156</f>
        <v>0</v>
      </c>
      <c r="C13" s="35">
        <f>Assumption_Fattening!E18*Assumption_Fattening!E156</f>
        <v>450000</v>
      </c>
      <c r="D13" s="35">
        <f>Assumption_Fattening!F18*Assumption_Fattening!F156</f>
        <v>1500000</v>
      </c>
      <c r="E13" s="175">
        <f>Assumption_Fattening!G18*Assumption_Fattening!G156*(1+Assumption_Fattening!$S130)</f>
        <v>2838150</v>
      </c>
      <c r="F13" s="35">
        <f>Assumption_Fattening!H18*Assumption_Fattening!H156</f>
        <v>2850000</v>
      </c>
      <c r="G13" s="35">
        <f>Assumption_Fattening!I18*Assumption_Fattening!I156</f>
        <v>3000000</v>
      </c>
      <c r="H13" s="175">
        <f>Assumption_Fattening!J18*Assumption_Fattening!J156*(1+Assumption_Fattening!$S130)</f>
        <v>3339000</v>
      </c>
      <c r="I13" s="35">
        <f>Assumption_Fattening!K18*Assumption_Fattening!K156</f>
        <v>3000000</v>
      </c>
      <c r="J13" s="35">
        <f>Assumption_Fattening!L18*Assumption_Fattening!L156</f>
        <v>3000000</v>
      </c>
      <c r="K13" s="175">
        <f>Assumption_Fattening!M18*Assumption_Fattening!M156*(1+Assumption_Fattening!$S130)</f>
        <v>3339000</v>
      </c>
      <c r="L13" s="35">
        <f>Assumption_Fattening!N18*Assumption_Fattening!N156</f>
        <v>3000000</v>
      </c>
      <c r="M13" s="35">
        <f>Assumption_Fattening!O18*Assumption_Fattening!O156</f>
        <v>3000000</v>
      </c>
      <c r="N13" s="175">
        <f>Assumption_Fattening!P18*Assumption_Fattening!P156*(1+Assumption_Fattening!$S130)</f>
        <v>3339000</v>
      </c>
      <c r="O13" s="35">
        <f>Assumption_Fattening!Q18*Assumption_Fattening!Q156</f>
        <v>3000000</v>
      </c>
      <c r="P13" s="35">
        <f>Assumption_Fattening!R18*Assumption_Fattening!R156</f>
        <v>3000000</v>
      </c>
      <c r="Q13" s="175">
        <f>Assumption_Fattening!S18*Assumption_Fattening!S156*(1+Assumption_Fattening!$S130)</f>
        <v>3339000</v>
      </c>
      <c r="R13" s="35">
        <f>Assumption_Fattening!T18*Assumption_Fattening!T156</f>
        <v>3000000</v>
      </c>
      <c r="S13" s="35">
        <f>Assumption_Fattening!U18*Assumption_Fattening!U156</f>
        <v>3000000</v>
      </c>
      <c r="T13" s="175">
        <f>Assumption_Fattening!V18*Assumption_Fattening!V156*(1+Assumption_Fattening!$S130)</f>
        <v>3339000</v>
      </c>
      <c r="U13" s="35">
        <f>Assumption_Fattening!W18*Assumption_Fattening!W156</f>
        <v>3000000</v>
      </c>
      <c r="V13" s="35">
        <f>Assumption_Fattening!X18*Assumption_Fattening!X156</f>
        <v>3000000</v>
      </c>
      <c r="W13" s="175">
        <f>Assumption_Fattening!Y18*Assumption_Fattening!Y156*(1+Assumption_Fattening!$S130)</f>
        <v>2838150</v>
      </c>
      <c r="X13" s="35">
        <f>Assumption_Fattening!Z18*Assumption_Fattening!Z156</f>
        <v>1500000</v>
      </c>
      <c r="Y13" s="35">
        <f>Assumption_Fattening!AA18*Assumption_Fattening!AA156</f>
        <v>450000</v>
      </c>
      <c r="Z13" s="175">
        <f>Assumption_Fattening!AB18*Assumption_Fattening!AB156*(1+Assumption_Fattening!$S130)</f>
        <v>166950</v>
      </c>
      <c r="AA13" s="35">
        <f>Assumption_Fattening!AC18*Assumption_Fattening!AC156</f>
        <v>0</v>
      </c>
    </row>
    <row r="14" spans="1:27" s="54" customFormat="1" x14ac:dyDescent="0.25">
      <c r="A14" s="56" t="s">
        <v>156</v>
      </c>
      <c r="B14" s="53">
        <f>Assumption_Fattening!D43</f>
        <v>0</v>
      </c>
      <c r="C14" s="53">
        <f>Assumption_Fattening!E43</f>
        <v>1692600</v>
      </c>
      <c r="D14" s="53">
        <f>Assumption_Fattening!F43</f>
        <v>3949400</v>
      </c>
      <c r="E14" s="53">
        <f>Assumption_Fattening!G43</f>
        <v>3949400</v>
      </c>
      <c r="F14" s="53">
        <f>Assumption_Fattening!H43</f>
        <v>1128400</v>
      </c>
      <c r="G14" s="53">
        <f>Assumption_Fattening!I43</f>
        <v>564200</v>
      </c>
      <c r="H14" s="53">
        <f>Assumption_Fattening!J43</f>
        <v>0</v>
      </c>
      <c r="I14" s="53">
        <f>Assumption_Fattening!K43</f>
        <v>0</v>
      </c>
      <c r="J14" s="53">
        <f>Assumption_Fattening!L43</f>
        <v>0</v>
      </c>
      <c r="K14" s="53">
        <f>Assumption_Fattening!M43</f>
        <v>0</v>
      </c>
      <c r="L14" s="53">
        <f>Assumption_Fattening!N43</f>
        <v>0</v>
      </c>
      <c r="M14" s="53">
        <f>Assumption_Fattening!O43</f>
        <v>0</v>
      </c>
      <c r="N14" s="53">
        <f>Assumption_Fattening!P43</f>
        <v>0</v>
      </c>
      <c r="O14" s="53">
        <f>Assumption_Fattening!Q43</f>
        <v>0</v>
      </c>
      <c r="P14" s="53">
        <f>Assumption_Fattening!R43</f>
        <v>0</v>
      </c>
      <c r="Q14" s="53">
        <f>Assumption_Fattening!S43</f>
        <v>0</v>
      </c>
      <c r="R14" s="53">
        <f>Assumption_Fattening!T43</f>
        <v>0</v>
      </c>
      <c r="S14" s="53">
        <f>Assumption_Fattening!U43</f>
        <v>0</v>
      </c>
      <c r="T14" s="53">
        <f>Assumption_Fattening!V43</f>
        <v>0</v>
      </c>
      <c r="U14" s="53">
        <f>Assumption_Fattening!W43</f>
        <v>0</v>
      </c>
      <c r="V14" s="53">
        <f>Assumption_Fattening!X43</f>
        <v>0</v>
      </c>
      <c r="W14" s="53">
        <f>Assumption_Fattening!Y43</f>
        <v>0</v>
      </c>
      <c r="X14" s="53">
        <f>Assumption_Fattening!Z43</f>
        <v>0</v>
      </c>
      <c r="Y14" s="53">
        <f>Assumption_Fattening!AA43</f>
        <v>0</v>
      </c>
      <c r="Z14" s="53">
        <f>Assumption_Fattening!AB43</f>
        <v>0</v>
      </c>
      <c r="AA14" s="53">
        <f>Assumption_Fattening!AC43</f>
        <v>0</v>
      </c>
    </row>
    <row r="15" spans="1:27" x14ac:dyDescent="0.25">
      <c r="A15" s="127" t="s">
        <v>59</v>
      </c>
      <c r="B15" s="40">
        <f t="shared" ref="B15:AA15" si="1">SUM(B10:B14)</f>
        <v>0</v>
      </c>
      <c r="C15" s="40">
        <f t="shared" si="1"/>
        <v>3580725</v>
      </c>
      <c r="D15" s="40">
        <f t="shared" si="1"/>
        <v>9343150</v>
      </c>
      <c r="E15" s="40">
        <f t="shared" si="1"/>
        <v>12020939</v>
      </c>
      <c r="F15" s="40">
        <f t="shared" si="1"/>
        <v>7986525</v>
      </c>
      <c r="G15" s="40">
        <f t="shared" si="1"/>
        <v>7451700</v>
      </c>
      <c r="H15" s="40">
        <f t="shared" si="1"/>
        <v>7025340</v>
      </c>
      <c r="I15" s="40">
        <f t="shared" si="1"/>
        <v>6587500</v>
      </c>
      <c r="J15" s="40">
        <f t="shared" si="1"/>
        <v>6587500</v>
      </c>
      <c r="K15" s="40">
        <f t="shared" si="1"/>
        <v>7025340</v>
      </c>
      <c r="L15" s="40">
        <f t="shared" si="1"/>
        <v>6587500</v>
      </c>
      <c r="M15" s="40">
        <f t="shared" si="1"/>
        <v>6587500</v>
      </c>
      <c r="N15" s="40">
        <f t="shared" si="1"/>
        <v>7025340</v>
      </c>
      <c r="O15" s="40">
        <f t="shared" si="1"/>
        <v>6587500</v>
      </c>
      <c r="P15" s="40">
        <f t="shared" si="1"/>
        <v>6587500</v>
      </c>
      <c r="Q15" s="40">
        <f t="shared" si="1"/>
        <v>7025340</v>
      </c>
      <c r="R15" s="40">
        <f t="shared" si="1"/>
        <v>6587500</v>
      </c>
      <c r="S15" s="40">
        <f t="shared" si="1"/>
        <v>6587500</v>
      </c>
      <c r="T15" s="40">
        <f t="shared" si="1"/>
        <v>7025340</v>
      </c>
      <c r="U15" s="40">
        <f t="shared" si="1"/>
        <v>6587500</v>
      </c>
      <c r="V15" s="40">
        <f t="shared" si="1"/>
        <v>6587500</v>
      </c>
      <c r="W15" s="40">
        <f t="shared" si="1"/>
        <v>5971539</v>
      </c>
      <c r="X15" s="40">
        <f t="shared" si="1"/>
        <v>3293750</v>
      </c>
      <c r="Y15" s="40">
        <f t="shared" si="1"/>
        <v>988125</v>
      </c>
      <c r="Z15" s="40">
        <f t="shared" si="1"/>
        <v>351267</v>
      </c>
      <c r="AA15" s="40">
        <f t="shared" si="1"/>
        <v>0</v>
      </c>
    </row>
    <row r="16" spans="1:27" x14ac:dyDescent="0.25">
      <c r="B16" s="34"/>
      <c r="C16" s="34"/>
      <c r="D16" s="34"/>
      <c r="E16" s="34"/>
      <c r="F16" s="34"/>
      <c r="G16" s="34"/>
      <c r="H16" s="34"/>
      <c r="I16" s="34"/>
      <c r="J16" s="34"/>
      <c r="K16" s="34"/>
      <c r="L16" s="34"/>
    </row>
    <row r="17" spans="1:27" x14ac:dyDescent="0.25">
      <c r="A17" s="24" t="s">
        <v>60</v>
      </c>
      <c r="B17" s="36">
        <f t="shared" ref="B17:AA17" si="2">B7-B15</f>
        <v>0</v>
      </c>
      <c r="C17" s="36">
        <f t="shared" si="2"/>
        <v>-2363801.25</v>
      </c>
      <c r="D17" s="36">
        <f t="shared" si="2"/>
        <v>-5246173.375</v>
      </c>
      <c r="E17" s="36">
        <f t="shared" si="2"/>
        <v>-7320128.4508802183</v>
      </c>
      <c r="F17" s="36">
        <f t="shared" si="2"/>
        <v>-45805.875191249885</v>
      </c>
      <c r="G17" s="36">
        <f t="shared" si="2"/>
        <v>990538.22742825001</v>
      </c>
      <c r="H17" s="36">
        <f t="shared" si="2"/>
        <v>-1327399.0475662816</v>
      </c>
      <c r="I17" s="36">
        <f t="shared" si="2"/>
        <v>2024427.215799557</v>
      </c>
      <c r="J17" s="36">
        <f t="shared" si="2"/>
        <v>2110546.4879575539</v>
      </c>
      <c r="K17" s="36">
        <f t="shared" si="2"/>
        <v>-1154745.7387665864</v>
      </c>
      <c r="L17" s="36">
        <f t="shared" si="2"/>
        <v>2285377.2223655023</v>
      </c>
      <c r="M17" s="36">
        <f t="shared" si="2"/>
        <v>2374105.9945891555</v>
      </c>
      <c r="N17" s="36">
        <f t="shared" si="2"/>
        <v>-976860.86205695476</v>
      </c>
      <c r="O17" s="36">
        <f t="shared" si="2"/>
        <v>2554234.2750803977</v>
      </c>
      <c r="P17" s="36">
        <f t="shared" si="2"/>
        <v>2645651.6178312041</v>
      </c>
      <c r="Q17" s="36">
        <f t="shared" si="2"/>
        <v>-793585.89569814224</v>
      </c>
      <c r="R17" s="36">
        <f t="shared" si="2"/>
        <v>2831237.9653496109</v>
      </c>
      <c r="S17" s="36">
        <f t="shared" si="2"/>
        <v>2925425.3450031076</v>
      </c>
      <c r="T17" s="36">
        <f t="shared" si="2"/>
        <v>-604757.51458369009</v>
      </c>
      <c r="U17" s="36">
        <f t="shared" si="2"/>
        <v>3116635.144437667</v>
      </c>
      <c r="V17" s="36">
        <f t="shared" si="2"/>
        <v>3213676.4958820455</v>
      </c>
      <c r="W17" s="36">
        <f t="shared" si="2"/>
        <v>-348676.32798912749</v>
      </c>
      <c r="X17" s="36">
        <f t="shared" si="2"/>
        <v>1705340.0717246383</v>
      </c>
      <c r="Y17" s="36">
        <f t="shared" si="2"/>
        <v>526599.29173256503</v>
      </c>
      <c r="Z17" s="36">
        <f t="shared" si="2"/>
        <v>-10488.115656736773</v>
      </c>
      <c r="AA17" s="36">
        <f t="shared" si="2"/>
        <v>0</v>
      </c>
    </row>
    <row r="18" spans="1:27" x14ac:dyDescent="0.25">
      <c r="B18" s="34"/>
      <c r="C18" s="34"/>
      <c r="D18" s="34"/>
      <c r="E18" s="34"/>
      <c r="F18" s="34"/>
      <c r="G18" s="34"/>
      <c r="H18" s="34"/>
      <c r="I18" s="34"/>
      <c r="J18" s="34"/>
      <c r="K18" s="34"/>
      <c r="L18" s="34"/>
    </row>
    <row r="19" spans="1:27" s="13" customFormat="1" x14ac:dyDescent="0.25">
      <c r="A19" s="24" t="s">
        <v>61</v>
      </c>
      <c r="B19" s="42">
        <f>B17/(1+Assumption_Hatchery!$C76)^B4</f>
        <v>0</v>
      </c>
      <c r="C19" s="42">
        <f>C17/(1+Assumption_Hatchery!$C76)^C4</f>
        <v>-2168625</v>
      </c>
      <c r="D19" s="42">
        <f>D17/(1+Assumption_Hatchery!$C76)^D4</f>
        <v>-4415599.1709452057</v>
      </c>
      <c r="E19" s="42">
        <f>E17/(1+Assumption_Hatchery!$C76)^E4</f>
        <v>-5652482.261694693</v>
      </c>
      <c r="F19" s="42">
        <f>F17/(1+Assumption_Hatchery!$C76)^F4</f>
        <v>-32450.036800387246</v>
      </c>
      <c r="G19" s="42">
        <f>G17/(1+Assumption_Hatchery!$C76)^G4</f>
        <v>643781.88333394821</v>
      </c>
      <c r="H19" s="42">
        <f>H17/(1+Assumption_Hatchery!$C76)^H4</f>
        <v>-791484.68179436377</v>
      </c>
      <c r="I19" s="42">
        <f>I17/(1+Assumption_Hatchery!$C76)^I4</f>
        <v>1107431.0132351699</v>
      </c>
      <c r="J19" s="42">
        <f>J17/(1+Assumption_Hatchery!$C76)^J4</f>
        <v>1059212.1139876842</v>
      </c>
      <c r="K19" s="42">
        <f>K17/(1+Assumption_Hatchery!$C76)^K4</f>
        <v>-531677.01640620991</v>
      </c>
      <c r="L19" s="42">
        <f>L17/(1+Assumption_Hatchery!$C76)^L4</f>
        <v>965368.03656044009</v>
      </c>
      <c r="M19" s="42">
        <f>M17/(1+Assumption_Hatchery!$C76)^M4</f>
        <v>920044.06314706174</v>
      </c>
      <c r="N19" s="42">
        <f>N17/(1+Assumption_Hatchery!$C76)^N4</f>
        <v>-347307.9580559688</v>
      </c>
      <c r="O19" s="42">
        <f>O17/(1+Assumption_Hatchery!$C76)^O4</f>
        <v>833136.67967075307</v>
      </c>
      <c r="P19" s="42">
        <f>P17/(1+Assumption_Hatchery!$C76)^P4</f>
        <v>791701.8943403234</v>
      </c>
      <c r="Q19" s="42">
        <f>Q17/(1+Assumption_Hatchery!$C76)^Q4</f>
        <v>-217869.51741868415</v>
      </c>
      <c r="R19" s="42">
        <f>R17/(1+Assumption_Hatchery!$C76)^R4</f>
        <v>713103.23440221918</v>
      </c>
      <c r="S19" s="42">
        <f>S17/(1+Assumption_Hatchery!$C76)^S4</f>
        <v>675987.32785531937</v>
      </c>
      <c r="T19" s="42">
        <f>T17/(1+Assumption_Hatchery!$C76)^T4</f>
        <v>-128204.80740060299</v>
      </c>
      <c r="U19" s="42">
        <f>U17/(1+Assumption_Hatchery!$C76)^U4</f>
        <v>606153.34032407997</v>
      </c>
      <c r="V19" s="42">
        <f>V17/(1+Assumption_Hatchery!$C76)^V4</f>
        <v>573419.15663259139</v>
      </c>
      <c r="W19" s="42">
        <f>W17/(1+Assumption_Hatchery!$C76)^W4</f>
        <v>-57077.639861572097</v>
      </c>
      <c r="X19" s="42">
        <f>X17/(1+Assumption_Hatchery!$C76)^X4</f>
        <v>256110.888291543</v>
      </c>
      <c r="Y19" s="42">
        <f>Y17/(1+Assumption_Hatchery!$C76)^Y4</f>
        <v>72555.579977400645</v>
      </c>
      <c r="Z19" s="42">
        <f>Z17/(1+Assumption_Hatchery!$C76)^Z4</f>
        <v>-1325.7496382167149</v>
      </c>
      <c r="AA19" s="42">
        <f>AA17/(1+Assumption_Hatchery!$C76)^AA4</f>
        <v>0</v>
      </c>
    </row>
    <row r="20" spans="1:27" x14ac:dyDescent="0.25">
      <c r="B20" s="34"/>
      <c r="C20" s="34"/>
      <c r="D20" s="34"/>
      <c r="E20" s="34"/>
      <c r="F20" s="34"/>
      <c r="G20" s="34"/>
      <c r="H20" s="34"/>
      <c r="I20" s="34"/>
      <c r="J20" s="34"/>
      <c r="K20" s="34"/>
      <c r="L20" s="34"/>
    </row>
    <row r="21" spans="1:27" s="13" customFormat="1" x14ac:dyDescent="0.25">
      <c r="A21" s="26" t="s">
        <v>62</v>
      </c>
      <c r="B21" s="37">
        <f>NPV(Assumption_Hatchery!C76,C17:Z17)+B17</f>
        <v>-5126098.6282573752</v>
      </c>
      <c r="C21" s="43"/>
      <c r="D21" s="43"/>
      <c r="E21" s="43"/>
      <c r="F21" s="43"/>
      <c r="G21" s="43"/>
      <c r="H21" s="43"/>
      <c r="I21" s="43"/>
      <c r="J21" s="43"/>
      <c r="K21" s="43"/>
      <c r="L21" s="43"/>
    </row>
    <row r="23" spans="1:27" s="13" customFormat="1" x14ac:dyDescent="0.25">
      <c r="A23" s="26" t="s">
        <v>25</v>
      </c>
      <c r="B23" s="38">
        <f>IRR(B17:Z17)</f>
        <v>3.934794080923254E-2</v>
      </c>
      <c r="C23" s="4"/>
      <c r="D23" s="4"/>
      <c r="E23" s="4"/>
      <c r="F23" s="4"/>
      <c r="G23" s="4"/>
      <c r="H23" s="4"/>
      <c r="I23" s="4"/>
      <c r="J23" s="4"/>
      <c r="K23" s="4"/>
      <c r="L23" s="4"/>
    </row>
    <row r="25" spans="1:27" s="13" customFormat="1" x14ac:dyDescent="0.25">
      <c r="A25" s="27" t="s">
        <v>63</v>
      </c>
      <c r="B25" s="39">
        <f>B19</f>
        <v>0</v>
      </c>
      <c r="C25" s="39">
        <f>B25+C19</f>
        <v>-2168625</v>
      </c>
      <c r="D25" s="39">
        <f t="shared" ref="D25:AA25" si="3">C25+D19</f>
        <v>-6584224.1709452057</v>
      </c>
      <c r="E25" s="39">
        <f t="shared" si="3"/>
        <v>-12236706.432639899</v>
      </c>
      <c r="F25" s="39">
        <f t="shared" si="3"/>
        <v>-12269156.469440285</v>
      </c>
      <c r="G25" s="39">
        <f t="shared" si="3"/>
        <v>-11625374.586106338</v>
      </c>
      <c r="H25" s="39">
        <f t="shared" si="3"/>
        <v>-12416859.267900702</v>
      </c>
      <c r="I25" s="39">
        <f t="shared" si="3"/>
        <v>-11309428.254665531</v>
      </c>
      <c r="J25" s="39">
        <f t="shared" si="3"/>
        <v>-10250216.140677847</v>
      </c>
      <c r="K25" s="39">
        <f t="shared" si="3"/>
        <v>-10781893.157084057</v>
      </c>
      <c r="L25" s="39">
        <f t="shared" si="3"/>
        <v>-9816525.1205236167</v>
      </c>
      <c r="M25" s="39">
        <f t="shared" si="3"/>
        <v>-8896481.0573765542</v>
      </c>
      <c r="N25" s="39">
        <f t="shared" si="3"/>
        <v>-9243789.0154325236</v>
      </c>
      <c r="O25" s="39">
        <f t="shared" si="3"/>
        <v>-8410652.3357617706</v>
      </c>
      <c r="P25" s="39">
        <f t="shared" si="3"/>
        <v>-7618950.4414214473</v>
      </c>
      <c r="Q25" s="39">
        <f t="shared" si="3"/>
        <v>-7836819.9588401318</v>
      </c>
      <c r="R25" s="39">
        <f t="shared" si="3"/>
        <v>-7123716.7244379129</v>
      </c>
      <c r="S25" s="39">
        <f t="shared" si="3"/>
        <v>-6447729.3965825932</v>
      </c>
      <c r="T25" s="39">
        <f t="shared" si="3"/>
        <v>-6575934.2039831961</v>
      </c>
      <c r="U25" s="39">
        <f t="shared" si="3"/>
        <v>-5969780.8636591164</v>
      </c>
      <c r="V25" s="39">
        <f t="shared" si="3"/>
        <v>-5396361.7070265254</v>
      </c>
      <c r="W25" s="39">
        <f t="shared" si="3"/>
        <v>-5453439.3468880979</v>
      </c>
      <c r="X25" s="39">
        <f t="shared" si="3"/>
        <v>-5197328.4585965546</v>
      </c>
      <c r="Y25" s="39">
        <f t="shared" si="3"/>
        <v>-5124772.878619154</v>
      </c>
      <c r="Z25" s="39">
        <f t="shared" si="3"/>
        <v>-5126098.6282573706</v>
      </c>
      <c r="AA25" s="39">
        <f t="shared" si="3"/>
        <v>-5126098.6282573706</v>
      </c>
    </row>
    <row r="27" spans="1:27" s="1" customFormat="1" x14ac:dyDescent="0.25">
      <c r="A27" s="25"/>
      <c r="B27" s="45"/>
      <c r="C27" s="45"/>
      <c r="D27" s="45"/>
      <c r="E27" s="45"/>
      <c r="F27" s="45"/>
      <c r="G27" s="45"/>
      <c r="H27" s="45"/>
      <c r="I27" s="45"/>
      <c r="J27" s="45"/>
      <c r="K27" s="45"/>
      <c r="L27" s="45"/>
    </row>
    <row r="29" spans="1:27" ht="38.25" customHeight="1" x14ac:dyDescent="0.25">
      <c r="A29" s="11" t="str">
        <f>A2</f>
        <v>Aggregate Financial Analysis-Crab Fattening</v>
      </c>
      <c r="B29" s="32"/>
      <c r="C29" s="76"/>
      <c r="D29" s="77"/>
      <c r="E29" s="32"/>
      <c r="F29" s="126" t="s">
        <v>105</v>
      </c>
      <c r="G29" s="32"/>
      <c r="H29" s="32"/>
      <c r="I29" s="32"/>
      <c r="J29" s="32"/>
      <c r="K29" s="32"/>
      <c r="L29" s="32"/>
      <c r="M29" s="11"/>
    </row>
    <row r="30" spans="1:27" ht="38.25" customHeight="1" x14ac:dyDescent="0.25">
      <c r="A30" s="11"/>
      <c r="B30" s="32"/>
      <c r="C30" s="76"/>
      <c r="D30" s="77"/>
      <c r="E30" s="32"/>
      <c r="F30" s="126"/>
      <c r="G30" s="32"/>
      <c r="H30" s="32"/>
      <c r="I30" s="32"/>
      <c r="J30" s="32"/>
      <c r="K30" s="32"/>
      <c r="L30" s="32"/>
      <c r="M30" s="11"/>
    </row>
    <row r="31" spans="1:27" x14ac:dyDescent="0.25">
      <c r="A31" s="10" t="s">
        <v>22</v>
      </c>
      <c r="B31" s="28">
        <v>0</v>
      </c>
      <c r="C31" s="28">
        <v>1</v>
      </c>
      <c r="D31" s="28">
        <v>2</v>
      </c>
      <c r="E31" s="28">
        <v>3</v>
      </c>
      <c r="F31" s="28">
        <v>4</v>
      </c>
      <c r="G31" s="28">
        <v>5</v>
      </c>
      <c r="H31" s="28">
        <v>6</v>
      </c>
      <c r="I31" s="28">
        <v>7</v>
      </c>
      <c r="J31" s="28">
        <v>8</v>
      </c>
      <c r="K31" s="28">
        <v>9</v>
      </c>
      <c r="L31" s="28">
        <v>10</v>
      </c>
      <c r="M31" s="28">
        <v>11</v>
      </c>
      <c r="N31" s="28">
        <v>12</v>
      </c>
      <c r="O31" s="28">
        <v>13</v>
      </c>
      <c r="P31" s="28">
        <v>14</v>
      </c>
      <c r="Q31" s="28">
        <v>15</v>
      </c>
      <c r="R31" s="28">
        <v>16</v>
      </c>
      <c r="S31" s="28">
        <v>17</v>
      </c>
      <c r="T31" s="28">
        <v>18</v>
      </c>
      <c r="U31" s="28">
        <v>19</v>
      </c>
      <c r="V31" s="28">
        <v>20</v>
      </c>
      <c r="W31" s="28">
        <v>21</v>
      </c>
      <c r="X31" s="28">
        <v>22</v>
      </c>
      <c r="Y31" s="28">
        <v>23</v>
      </c>
      <c r="Z31" s="28">
        <v>24</v>
      </c>
      <c r="AA31" s="28">
        <v>25</v>
      </c>
    </row>
    <row r="32" spans="1:27" x14ac:dyDescent="0.25">
      <c r="A32" s="24" t="s">
        <v>23</v>
      </c>
    </row>
    <row r="33" spans="1:27" x14ac:dyDescent="0.25">
      <c r="A33" s="10" t="str">
        <f t="shared" ref="A33:AA34" si="4">A6</f>
        <v>Crab Sale ($)</v>
      </c>
      <c r="B33" s="33">
        <f t="shared" si="4"/>
        <v>0</v>
      </c>
      <c r="C33" s="33">
        <f t="shared" si="4"/>
        <v>1216923.75</v>
      </c>
      <c r="D33" s="33">
        <f t="shared" si="4"/>
        <v>4096976.625</v>
      </c>
      <c r="E33" s="33">
        <f t="shared" si="4"/>
        <v>4700810.5491197817</v>
      </c>
      <c r="F33" s="33">
        <f t="shared" si="4"/>
        <v>7940719.1248087501</v>
      </c>
      <c r="G33" s="33">
        <f t="shared" si="4"/>
        <v>8442238.22742825</v>
      </c>
      <c r="H33" s="33">
        <f t="shared" si="4"/>
        <v>5697940.9524337184</v>
      </c>
      <c r="I33" s="33">
        <f t="shared" si="4"/>
        <v>8611927.215799557</v>
      </c>
      <c r="J33" s="33">
        <f t="shared" si="4"/>
        <v>8698046.4879575539</v>
      </c>
      <c r="K33" s="33">
        <f t="shared" si="4"/>
        <v>5870594.2612334136</v>
      </c>
      <c r="L33" s="33">
        <f t="shared" si="4"/>
        <v>8872877.2223655023</v>
      </c>
      <c r="M33" s="33">
        <f t="shared" si="4"/>
        <v>8961605.9945891555</v>
      </c>
      <c r="N33" s="33">
        <f t="shared" si="4"/>
        <v>6048479.1379430452</v>
      </c>
      <c r="O33" s="33">
        <f t="shared" si="4"/>
        <v>9141734.2750803977</v>
      </c>
      <c r="P33" s="33">
        <f t="shared" si="4"/>
        <v>9233151.6178312041</v>
      </c>
      <c r="Q33" s="33">
        <f t="shared" si="4"/>
        <v>6231754.1043018578</v>
      </c>
      <c r="R33" s="33">
        <f t="shared" si="4"/>
        <v>9418737.9653496109</v>
      </c>
      <c r="S33" s="33">
        <f t="shared" si="4"/>
        <v>9512925.3450031076</v>
      </c>
      <c r="T33" s="33">
        <f t="shared" si="4"/>
        <v>6420582.4854163099</v>
      </c>
      <c r="U33" s="33">
        <f t="shared" si="4"/>
        <v>9704135.144437667</v>
      </c>
      <c r="V33" s="33">
        <f t="shared" si="4"/>
        <v>9801176.4958820455</v>
      </c>
      <c r="W33" s="33">
        <f t="shared" si="4"/>
        <v>5622862.6720108725</v>
      </c>
      <c r="X33" s="33">
        <f t="shared" si="4"/>
        <v>4999090.0717246383</v>
      </c>
      <c r="Y33" s="33">
        <f t="shared" si="4"/>
        <v>1514724.291732565</v>
      </c>
      <c r="Z33" s="33">
        <f t="shared" si="4"/>
        <v>340778.88434326323</v>
      </c>
      <c r="AA33" s="33">
        <f t="shared" si="4"/>
        <v>0</v>
      </c>
    </row>
    <row r="34" spans="1:27" s="13" customFormat="1" x14ac:dyDescent="0.25">
      <c r="A34" s="24" t="s">
        <v>58</v>
      </c>
      <c r="B34" s="41">
        <f>B7</f>
        <v>0</v>
      </c>
      <c r="C34" s="41">
        <f t="shared" si="4"/>
        <v>1216923.75</v>
      </c>
      <c r="D34" s="41">
        <f t="shared" si="4"/>
        <v>4096976.625</v>
      </c>
      <c r="E34" s="41">
        <f t="shared" si="4"/>
        <v>4700810.5491197817</v>
      </c>
      <c r="F34" s="41">
        <f t="shared" si="4"/>
        <v>7940719.1248087501</v>
      </c>
      <c r="G34" s="41">
        <f t="shared" si="4"/>
        <v>8442238.22742825</v>
      </c>
      <c r="H34" s="41">
        <f t="shared" si="4"/>
        <v>5697940.9524337184</v>
      </c>
      <c r="I34" s="41">
        <f t="shared" si="4"/>
        <v>8611927.215799557</v>
      </c>
      <c r="J34" s="41">
        <f t="shared" si="4"/>
        <v>8698046.4879575539</v>
      </c>
      <c r="K34" s="41">
        <f t="shared" si="4"/>
        <v>5870594.2612334136</v>
      </c>
      <c r="L34" s="41">
        <f t="shared" si="4"/>
        <v>8872877.2223655023</v>
      </c>
      <c r="M34" s="41">
        <f t="shared" si="4"/>
        <v>8961605.9945891555</v>
      </c>
      <c r="N34" s="41">
        <f t="shared" si="4"/>
        <v>6048479.1379430452</v>
      </c>
      <c r="O34" s="41">
        <f t="shared" si="4"/>
        <v>9141734.2750803977</v>
      </c>
      <c r="P34" s="41">
        <f t="shared" si="4"/>
        <v>9233151.6178312041</v>
      </c>
      <c r="Q34" s="41">
        <f t="shared" si="4"/>
        <v>6231754.1043018578</v>
      </c>
      <c r="R34" s="41">
        <f t="shared" si="4"/>
        <v>9418737.9653496109</v>
      </c>
      <c r="S34" s="41">
        <f t="shared" si="4"/>
        <v>9512925.3450031076</v>
      </c>
      <c r="T34" s="41">
        <f t="shared" si="4"/>
        <v>6420582.4854163099</v>
      </c>
      <c r="U34" s="41">
        <f t="shared" si="4"/>
        <v>9704135.144437667</v>
      </c>
      <c r="V34" s="41">
        <f t="shared" si="4"/>
        <v>9801176.4958820455</v>
      </c>
      <c r="W34" s="41">
        <f t="shared" si="4"/>
        <v>5622862.6720108725</v>
      </c>
      <c r="X34" s="41">
        <f t="shared" si="4"/>
        <v>4999090.0717246383</v>
      </c>
      <c r="Y34" s="41">
        <f t="shared" si="4"/>
        <v>1514724.291732565</v>
      </c>
      <c r="Z34" s="41">
        <f t="shared" si="4"/>
        <v>340778.88434326323</v>
      </c>
      <c r="AA34" s="41">
        <f t="shared" si="4"/>
        <v>0</v>
      </c>
    </row>
    <row r="35" spans="1:27" x14ac:dyDescent="0.25">
      <c r="A35" s="24"/>
      <c r="B35" s="44"/>
      <c r="C35" s="44"/>
      <c r="D35" s="44"/>
      <c r="E35" s="44"/>
      <c r="F35" s="44"/>
      <c r="G35" s="44"/>
      <c r="H35" s="44"/>
      <c r="I35" s="44"/>
      <c r="J35" s="44"/>
      <c r="K35" s="44"/>
    </row>
    <row r="36" spans="1:27" x14ac:dyDescent="0.25">
      <c r="A36" s="24" t="s">
        <v>24</v>
      </c>
    </row>
    <row r="37" spans="1:27" x14ac:dyDescent="0.25">
      <c r="A37" s="9" t="str">
        <f t="shared" ref="A37:AA41" si="5">A10</f>
        <v>Crab Farm Establishment</v>
      </c>
      <c r="B37" s="35">
        <f t="shared" si="5"/>
        <v>0</v>
      </c>
      <c r="C37" s="35">
        <f t="shared" si="5"/>
        <v>900000</v>
      </c>
      <c r="D37" s="35">
        <f t="shared" si="5"/>
        <v>2100000</v>
      </c>
      <c r="E37" s="35">
        <f t="shared" si="5"/>
        <v>2100000</v>
      </c>
      <c r="F37" s="35">
        <f t="shared" si="5"/>
        <v>600000</v>
      </c>
      <c r="G37" s="35">
        <f t="shared" si="5"/>
        <v>300000</v>
      </c>
      <c r="H37" s="35">
        <f t="shared" si="5"/>
        <v>0</v>
      </c>
      <c r="I37" s="35">
        <f t="shared" si="5"/>
        <v>0</v>
      </c>
      <c r="J37" s="35">
        <f t="shared" si="5"/>
        <v>0</v>
      </c>
      <c r="K37" s="35">
        <f t="shared" si="5"/>
        <v>0</v>
      </c>
      <c r="L37" s="35">
        <f t="shared" si="5"/>
        <v>0</v>
      </c>
      <c r="M37" s="35">
        <f t="shared" si="5"/>
        <v>0</v>
      </c>
      <c r="N37" s="35">
        <f t="shared" si="5"/>
        <v>0</v>
      </c>
      <c r="O37" s="35">
        <f t="shared" si="5"/>
        <v>0</v>
      </c>
      <c r="P37" s="35">
        <f t="shared" si="5"/>
        <v>0</v>
      </c>
      <c r="Q37" s="35">
        <f t="shared" si="5"/>
        <v>0</v>
      </c>
      <c r="R37" s="35">
        <f t="shared" si="5"/>
        <v>0</v>
      </c>
      <c r="S37" s="35">
        <f t="shared" si="5"/>
        <v>0</v>
      </c>
      <c r="T37" s="35">
        <f t="shared" si="5"/>
        <v>0</v>
      </c>
      <c r="U37" s="35">
        <f t="shared" si="5"/>
        <v>0</v>
      </c>
      <c r="V37" s="35">
        <f t="shared" si="5"/>
        <v>0</v>
      </c>
      <c r="W37" s="35">
        <f t="shared" si="5"/>
        <v>0</v>
      </c>
      <c r="X37" s="35">
        <f t="shared" si="5"/>
        <v>0</v>
      </c>
      <c r="Y37" s="35">
        <f t="shared" si="5"/>
        <v>0</v>
      </c>
      <c r="Z37" s="35">
        <f t="shared" si="5"/>
        <v>0</v>
      </c>
      <c r="AA37" s="35">
        <f t="shared" si="5"/>
        <v>0</v>
      </c>
    </row>
    <row r="38" spans="1:27" x14ac:dyDescent="0.25">
      <c r="A38" s="9" t="str">
        <f t="shared" si="5"/>
        <v>Operation Cost (Small crab purchase)</v>
      </c>
      <c r="B38" s="35">
        <f t="shared" si="5"/>
        <v>0</v>
      </c>
      <c r="C38" s="35">
        <f t="shared" si="5"/>
        <v>118125.00000000001</v>
      </c>
      <c r="D38" s="35">
        <f t="shared" si="5"/>
        <v>393750.00000000006</v>
      </c>
      <c r="E38" s="35">
        <f t="shared" si="5"/>
        <v>669375.00000000012</v>
      </c>
      <c r="F38" s="35">
        <f t="shared" si="5"/>
        <v>748125.00000000012</v>
      </c>
      <c r="G38" s="35">
        <f t="shared" si="5"/>
        <v>787500.00000000012</v>
      </c>
      <c r="H38" s="35">
        <f t="shared" si="5"/>
        <v>787500.00000000012</v>
      </c>
      <c r="I38" s="35">
        <f t="shared" si="5"/>
        <v>787500.00000000012</v>
      </c>
      <c r="J38" s="35">
        <f t="shared" si="5"/>
        <v>787500.00000000012</v>
      </c>
      <c r="K38" s="35">
        <f t="shared" si="5"/>
        <v>787500.00000000012</v>
      </c>
      <c r="L38" s="35">
        <f t="shared" si="5"/>
        <v>787500.00000000012</v>
      </c>
      <c r="M38" s="35">
        <f t="shared" si="5"/>
        <v>787500.00000000012</v>
      </c>
      <c r="N38" s="35">
        <f t="shared" si="5"/>
        <v>787500.00000000012</v>
      </c>
      <c r="O38" s="35">
        <f t="shared" si="5"/>
        <v>787500.00000000012</v>
      </c>
      <c r="P38" s="35">
        <f t="shared" si="5"/>
        <v>787500.00000000012</v>
      </c>
      <c r="Q38" s="35">
        <f t="shared" si="5"/>
        <v>787500.00000000012</v>
      </c>
      <c r="R38" s="35">
        <f t="shared" si="5"/>
        <v>787500.00000000012</v>
      </c>
      <c r="S38" s="35">
        <f t="shared" si="5"/>
        <v>787500.00000000012</v>
      </c>
      <c r="T38" s="35">
        <f t="shared" si="5"/>
        <v>787500.00000000012</v>
      </c>
      <c r="U38" s="35">
        <f t="shared" si="5"/>
        <v>787500.00000000012</v>
      </c>
      <c r="V38" s="35">
        <f t="shared" si="5"/>
        <v>787500.00000000012</v>
      </c>
      <c r="W38" s="35">
        <f t="shared" si="5"/>
        <v>669375.00000000012</v>
      </c>
      <c r="X38" s="35">
        <f t="shared" si="5"/>
        <v>393750.00000000006</v>
      </c>
      <c r="Y38" s="35">
        <f t="shared" si="5"/>
        <v>118125.00000000001</v>
      </c>
      <c r="Z38" s="35">
        <f t="shared" si="5"/>
        <v>39375.000000000007</v>
      </c>
      <c r="AA38" s="35">
        <f t="shared" si="5"/>
        <v>0</v>
      </c>
    </row>
    <row r="39" spans="1:27" x14ac:dyDescent="0.25">
      <c r="A39" s="9" t="str">
        <f t="shared" si="5"/>
        <v>Maintenance</v>
      </c>
      <c r="B39" s="35">
        <f t="shared" si="5"/>
        <v>0</v>
      </c>
      <c r="C39" s="35">
        <f t="shared" si="5"/>
        <v>420000</v>
      </c>
      <c r="D39" s="35">
        <f t="shared" si="5"/>
        <v>1400000</v>
      </c>
      <c r="E39" s="35">
        <f t="shared" si="5"/>
        <v>2464014</v>
      </c>
      <c r="F39" s="35">
        <f t="shared" si="5"/>
        <v>2660000</v>
      </c>
      <c r="G39" s="35">
        <f t="shared" si="5"/>
        <v>2800000</v>
      </c>
      <c r="H39" s="35">
        <f t="shared" si="5"/>
        <v>2898840</v>
      </c>
      <c r="I39" s="35">
        <f t="shared" si="5"/>
        <v>2800000</v>
      </c>
      <c r="J39" s="35">
        <f t="shared" si="5"/>
        <v>2800000</v>
      </c>
      <c r="K39" s="35">
        <f t="shared" si="5"/>
        <v>2898840</v>
      </c>
      <c r="L39" s="35">
        <f t="shared" si="5"/>
        <v>2800000</v>
      </c>
      <c r="M39" s="35">
        <f t="shared" si="5"/>
        <v>2800000</v>
      </c>
      <c r="N39" s="35">
        <f t="shared" si="5"/>
        <v>2898840</v>
      </c>
      <c r="O39" s="35">
        <f t="shared" si="5"/>
        <v>2800000</v>
      </c>
      <c r="P39" s="35">
        <f t="shared" si="5"/>
        <v>2800000</v>
      </c>
      <c r="Q39" s="35">
        <f t="shared" si="5"/>
        <v>2898840</v>
      </c>
      <c r="R39" s="35">
        <f t="shared" si="5"/>
        <v>2800000</v>
      </c>
      <c r="S39" s="35">
        <f t="shared" si="5"/>
        <v>2800000</v>
      </c>
      <c r="T39" s="35">
        <f t="shared" si="5"/>
        <v>2898840</v>
      </c>
      <c r="U39" s="35">
        <f t="shared" si="5"/>
        <v>2800000</v>
      </c>
      <c r="V39" s="35">
        <f t="shared" si="5"/>
        <v>2800000</v>
      </c>
      <c r="W39" s="35">
        <f t="shared" si="5"/>
        <v>2464014</v>
      </c>
      <c r="X39" s="35">
        <f t="shared" si="5"/>
        <v>1400000</v>
      </c>
      <c r="Y39" s="35">
        <f t="shared" si="5"/>
        <v>420000</v>
      </c>
      <c r="Z39" s="35">
        <f t="shared" si="5"/>
        <v>144942</v>
      </c>
      <c r="AA39" s="35">
        <f t="shared" si="5"/>
        <v>0</v>
      </c>
    </row>
    <row r="40" spans="1:27" x14ac:dyDescent="0.25">
      <c r="A40" s="9" t="str">
        <f t="shared" si="5"/>
        <v>Feed</v>
      </c>
      <c r="B40" s="35">
        <f t="shared" si="5"/>
        <v>0</v>
      </c>
      <c r="C40" s="35">
        <f t="shared" si="5"/>
        <v>450000</v>
      </c>
      <c r="D40" s="35">
        <f t="shared" si="5"/>
        <v>1500000</v>
      </c>
      <c r="E40" s="35">
        <f t="shared" si="5"/>
        <v>2838150</v>
      </c>
      <c r="F40" s="35">
        <f t="shared" si="5"/>
        <v>2850000</v>
      </c>
      <c r="G40" s="35">
        <f t="shared" si="5"/>
        <v>3000000</v>
      </c>
      <c r="H40" s="35">
        <f t="shared" si="5"/>
        <v>3339000</v>
      </c>
      <c r="I40" s="35">
        <f t="shared" si="5"/>
        <v>3000000</v>
      </c>
      <c r="J40" s="35">
        <f t="shared" si="5"/>
        <v>3000000</v>
      </c>
      <c r="K40" s="35">
        <f t="shared" si="5"/>
        <v>3339000</v>
      </c>
      <c r="L40" s="35">
        <f t="shared" si="5"/>
        <v>3000000</v>
      </c>
      <c r="M40" s="35">
        <f t="shared" si="5"/>
        <v>3000000</v>
      </c>
      <c r="N40" s="35">
        <f t="shared" si="5"/>
        <v>3339000</v>
      </c>
      <c r="O40" s="35">
        <f t="shared" si="5"/>
        <v>3000000</v>
      </c>
      <c r="P40" s="35">
        <f t="shared" si="5"/>
        <v>3000000</v>
      </c>
      <c r="Q40" s="35">
        <f t="shared" si="5"/>
        <v>3339000</v>
      </c>
      <c r="R40" s="35">
        <f t="shared" si="5"/>
        <v>3000000</v>
      </c>
      <c r="S40" s="35">
        <f t="shared" si="5"/>
        <v>3000000</v>
      </c>
      <c r="T40" s="35">
        <f t="shared" si="5"/>
        <v>3339000</v>
      </c>
      <c r="U40" s="35">
        <f t="shared" si="5"/>
        <v>3000000</v>
      </c>
      <c r="V40" s="35">
        <f t="shared" si="5"/>
        <v>3000000</v>
      </c>
      <c r="W40" s="35">
        <f t="shared" si="5"/>
        <v>2838150</v>
      </c>
      <c r="X40" s="35">
        <f t="shared" si="5"/>
        <v>1500000</v>
      </c>
      <c r="Y40" s="35">
        <f t="shared" si="5"/>
        <v>450000</v>
      </c>
      <c r="Z40" s="35">
        <f t="shared" si="5"/>
        <v>166950</v>
      </c>
      <c r="AA40" s="35">
        <f t="shared" si="5"/>
        <v>0</v>
      </c>
    </row>
    <row r="41" spans="1:27" s="54" customFormat="1" x14ac:dyDescent="0.25">
      <c r="A41" s="56" t="str">
        <f t="shared" si="5"/>
        <v>Debt Service</v>
      </c>
      <c r="B41" s="53">
        <f>Assumption_Fattening!D53</f>
        <v>0</v>
      </c>
      <c r="C41" s="53">
        <f>Assumption_Fattening!E53</f>
        <v>576600</v>
      </c>
      <c r="D41" s="53">
        <f>Assumption_Fattening!F53</f>
        <v>1345400</v>
      </c>
      <c r="E41" s="53">
        <f>Assumption_Fattening!G53</f>
        <v>1345400</v>
      </c>
      <c r="F41" s="53">
        <f>Assumption_Fattening!H53</f>
        <v>384400</v>
      </c>
      <c r="G41" s="53">
        <f>Assumption_Fattening!I53</f>
        <v>192200</v>
      </c>
      <c r="H41" s="53">
        <f>Assumption_Fattening!J53</f>
        <v>0</v>
      </c>
      <c r="I41" s="53">
        <f>Assumption_Fattening!K53</f>
        <v>0</v>
      </c>
      <c r="J41" s="53">
        <f>Assumption_Fattening!L53</f>
        <v>0</v>
      </c>
      <c r="K41" s="53">
        <f>Assumption_Fattening!M53</f>
        <v>0</v>
      </c>
      <c r="L41" s="53">
        <f>Assumption_Fattening!N53</f>
        <v>0</v>
      </c>
      <c r="M41" s="53">
        <f>Assumption_Fattening!O53</f>
        <v>0</v>
      </c>
      <c r="N41" s="53">
        <f>Assumption_Fattening!P53</f>
        <v>0</v>
      </c>
      <c r="O41" s="53">
        <f>Assumption_Fattening!Q53</f>
        <v>0</v>
      </c>
      <c r="P41" s="53">
        <f>Assumption_Fattening!R53</f>
        <v>0</v>
      </c>
      <c r="Q41" s="53">
        <f>Assumption_Fattening!S53</f>
        <v>0</v>
      </c>
      <c r="R41" s="53">
        <f>Assumption_Fattening!T53</f>
        <v>0</v>
      </c>
      <c r="S41" s="53">
        <f>Assumption_Fattening!U53</f>
        <v>0</v>
      </c>
      <c r="T41" s="53">
        <f>Assumption_Fattening!V53</f>
        <v>0</v>
      </c>
      <c r="U41" s="53">
        <f>Assumption_Fattening!W53</f>
        <v>0</v>
      </c>
      <c r="V41" s="53">
        <f>Assumption_Fattening!X53</f>
        <v>0</v>
      </c>
      <c r="W41" s="53">
        <f>Assumption_Fattening!Y53</f>
        <v>0</v>
      </c>
      <c r="X41" s="53">
        <f>Assumption_Fattening!Z53</f>
        <v>0</v>
      </c>
      <c r="Y41" s="53">
        <f>Assumption_Fattening!AA53</f>
        <v>0</v>
      </c>
      <c r="Z41" s="53">
        <f>Assumption_Fattening!AB53</f>
        <v>0</v>
      </c>
      <c r="AA41" s="53">
        <f>Assumption_Fattening!AC53</f>
        <v>0</v>
      </c>
    </row>
    <row r="42" spans="1:27" x14ac:dyDescent="0.25">
      <c r="A42" s="127" t="s">
        <v>59</v>
      </c>
      <c r="B42" s="40">
        <f t="shared" ref="B42:AA42" si="6">SUM(B37:B41)</f>
        <v>0</v>
      </c>
      <c r="C42" s="40">
        <f t="shared" si="6"/>
        <v>2464725</v>
      </c>
      <c r="D42" s="40">
        <f t="shared" si="6"/>
        <v>6739150</v>
      </c>
      <c r="E42" s="40">
        <f t="shared" si="6"/>
        <v>9416939</v>
      </c>
      <c r="F42" s="40">
        <f t="shared" si="6"/>
        <v>7242525</v>
      </c>
      <c r="G42" s="40">
        <f t="shared" si="6"/>
        <v>7079700</v>
      </c>
      <c r="H42" s="40">
        <f t="shared" si="6"/>
        <v>7025340</v>
      </c>
      <c r="I42" s="40">
        <f t="shared" si="6"/>
        <v>6587500</v>
      </c>
      <c r="J42" s="40">
        <f t="shared" si="6"/>
        <v>6587500</v>
      </c>
      <c r="K42" s="40">
        <f t="shared" si="6"/>
        <v>7025340</v>
      </c>
      <c r="L42" s="40">
        <f t="shared" si="6"/>
        <v>6587500</v>
      </c>
      <c r="M42" s="40">
        <f t="shared" si="6"/>
        <v>6587500</v>
      </c>
      <c r="N42" s="40">
        <f t="shared" si="6"/>
        <v>7025340</v>
      </c>
      <c r="O42" s="40">
        <f t="shared" si="6"/>
        <v>6587500</v>
      </c>
      <c r="P42" s="40">
        <f t="shared" si="6"/>
        <v>6587500</v>
      </c>
      <c r="Q42" s="40">
        <f t="shared" si="6"/>
        <v>7025340</v>
      </c>
      <c r="R42" s="40">
        <f t="shared" si="6"/>
        <v>6587500</v>
      </c>
      <c r="S42" s="40">
        <f t="shared" si="6"/>
        <v>6587500</v>
      </c>
      <c r="T42" s="40">
        <f t="shared" si="6"/>
        <v>7025340</v>
      </c>
      <c r="U42" s="40">
        <f t="shared" si="6"/>
        <v>6587500</v>
      </c>
      <c r="V42" s="40">
        <f t="shared" si="6"/>
        <v>6587500</v>
      </c>
      <c r="W42" s="40">
        <f t="shared" si="6"/>
        <v>5971539</v>
      </c>
      <c r="X42" s="40">
        <f t="shared" si="6"/>
        <v>3293750</v>
      </c>
      <c r="Y42" s="40">
        <f t="shared" si="6"/>
        <v>988125</v>
      </c>
      <c r="Z42" s="40">
        <f t="shared" si="6"/>
        <v>351267</v>
      </c>
      <c r="AA42" s="40">
        <f t="shared" si="6"/>
        <v>0</v>
      </c>
    </row>
    <row r="43" spans="1:27" x14ac:dyDescent="0.25">
      <c r="B43" s="34"/>
      <c r="C43" s="34"/>
      <c r="D43" s="34"/>
      <c r="E43" s="34"/>
      <c r="F43" s="34"/>
      <c r="G43" s="34"/>
      <c r="H43" s="34"/>
      <c r="I43" s="34"/>
      <c r="J43" s="34"/>
      <c r="K43" s="34"/>
      <c r="L43" s="34"/>
    </row>
    <row r="44" spans="1:27" x14ac:dyDescent="0.25">
      <c r="A44" s="24" t="s">
        <v>60</v>
      </c>
      <c r="B44" s="36">
        <f t="shared" ref="B44:AA44" si="7">B34-B42</f>
        <v>0</v>
      </c>
      <c r="C44" s="36">
        <f t="shared" si="7"/>
        <v>-1247801.25</v>
      </c>
      <c r="D44" s="36">
        <f t="shared" si="7"/>
        <v>-2642173.375</v>
      </c>
      <c r="E44" s="36">
        <f t="shared" si="7"/>
        <v>-4716128.4508802183</v>
      </c>
      <c r="F44" s="36">
        <f t="shared" si="7"/>
        <v>698194.12480875012</v>
      </c>
      <c r="G44" s="36">
        <f t="shared" si="7"/>
        <v>1362538.22742825</v>
      </c>
      <c r="H44" s="36">
        <f t="shared" si="7"/>
        <v>-1327399.0475662816</v>
      </c>
      <c r="I44" s="36">
        <f t="shared" si="7"/>
        <v>2024427.215799557</v>
      </c>
      <c r="J44" s="36">
        <f t="shared" si="7"/>
        <v>2110546.4879575539</v>
      </c>
      <c r="K44" s="36">
        <f t="shared" si="7"/>
        <v>-1154745.7387665864</v>
      </c>
      <c r="L44" s="36">
        <f t="shared" si="7"/>
        <v>2285377.2223655023</v>
      </c>
      <c r="M44" s="36">
        <f t="shared" si="7"/>
        <v>2374105.9945891555</v>
      </c>
      <c r="N44" s="36">
        <f t="shared" si="7"/>
        <v>-976860.86205695476</v>
      </c>
      <c r="O44" s="36">
        <f t="shared" si="7"/>
        <v>2554234.2750803977</v>
      </c>
      <c r="P44" s="36">
        <f t="shared" si="7"/>
        <v>2645651.6178312041</v>
      </c>
      <c r="Q44" s="36">
        <f t="shared" si="7"/>
        <v>-793585.89569814224</v>
      </c>
      <c r="R44" s="36">
        <f t="shared" si="7"/>
        <v>2831237.9653496109</v>
      </c>
      <c r="S44" s="36">
        <f t="shared" si="7"/>
        <v>2925425.3450031076</v>
      </c>
      <c r="T44" s="36">
        <f t="shared" si="7"/>
        <v>-604757.51458369009</v>
      </c>
      <c r="U44" s="36">
        <f t="shared" si="7"/>
        <v>3116635.144437667</v>
      </c>
      <c r="V44" s="36">
        <f t="shared" si="7"/>
        <v>3213676.4958820455</v>
      </c>
      <c r="W44" s="36">
        <f t="shared" si="7"/>
        <v>-348676.32798912749</v>
      </c>
      <c r="X44" s="36">
        <f t="shared" si="7"/>
        <v>1705340.0717246383</v>
      </c>
      <c r="Y44" s="36">
        <f t="shared" si="7"/>
        <v>526599.29173256503</v>
      </c>
      <c r="Z44" s="36">
        <f t="shared" si="7"/>
        <v>-10488.115656736773</v>
      </c>
      <c r="AA44" s="36">
        <f t="shared" si="7"/>
        <v>0</v>
      </c>
    </row>
    <row r="45" spans="1:27" x14ac:dyDescent="0.25">
      <c r="B45" s="34"/>
      <c r="C45" s="34"/>
      <c r="D45" s="34"/>
      <c r="E45" s="34"/>
      <c r="F45" s="34"/>
      <c r="G45" s="34"/>
      <c r="H45" s="34"/>
      <c r="I45" s="34"/>
      <c r="J45" s="34"/>
      <c r="K45" s="34"/>
      <c r="L45" s="34"/>
    </row>
    <row r="46" spans="1:27" s="13" customFormat="1" x14ac:dyDescent="0.25">
      <c r="A46" s="24" t="s">
        <v>61</v>
      </c>
      <c r="B46" s="42">
        <f>B44/(1+Assumption_Hatchery!$C76)^B31</f>
        <v>0</v>
      </c>
      <c r="C46" s="42">
        <f>C44/(1+Assumption_Hatchery!$C76)^C31</f>
        <v>-1144771.7889908256</v>
      </c>
      <c r="D46" s="42">
        <f>D44/(1+Assumption_Hatchery!$C76)^D31</f>
        <v>-2223864.4684790839</v>
      </c>
      <c r="E46" s="42">
        <f>E44/(1+Assumption_Hatchery!$C76)^E31</f>
        <v>-3641716.4796156823</v>
      </c>
      <c r="F46" s="42">
        <f>F44/(1+Assumption_Hatchery!$C76)^F31</f>
        <v>494618.32023211889</v>
      </c>
      <c r="G46" s="42">
        <f>G44/(1+Assumption_Hatchery!$C76)^G31</f>
        <v>885556.35903693258</v>
      </c>
      <c r="H46" s="42">
        <f>H44/(1+Assumption_Hatchery!$C76)^H31</f>
        <v>-791484.68179436377</v>
      </c>
      <c r="I46" s="42">
        <f>I44/(1+Assumption_Hatchery!$C76)^I31</f>
        <v>1107431.0132351699</v>
      </c>
      <c r="J46" s="42">
        <f>J44/(1+Assumption_Hatchery!$C76)^J31</f>
        <v>1059212.1139876842</v>
      </c>
      <c r="K46" s="42">
        <f>K44/(1+Assumption_Hatchery!$C76)^K31</f>
        <v>-531677.01640620991</v>
      </c>
      <c r="L46" s="42">
        <f>L44/(1+Assumption_Hatchery!$C76)^L31</f>
        <v>965368.03656044009</v>
      </c>
      <c r="M46" s="42">
        <f>M44/(1+Assumption_Hatchery!$C76)^M31</f>
        <v>920044.06314706174</v>
      </c>
      <c r="N46" s="42">
        <f>N44/(1+Assumption_Hatchery!$C76)^N31</f>
        <v>-347307.9580559688</v>
      </c>
      <c r="O46" s="42">
        <f>O44/(1+Assumption_Hatchery!$C76)^O31</f>
        <v>833136.67967075307</v>
      </c>
      <c r="P46" s="42">
        <f>P44/(1+Assumption_Hatchery!$C76)^P31</f>
        <v>791701.8943403234</v>
      </c>
      <c r="Q46" s="42">
        <f>Q44/(1+Assumption_Hatchery!$C76)^Q31</f>
        <v>-217869.51741868415</v>
      </c>
      <c r="R46" s="42">
        <f>R44/(1+Assumption_Hatchery!$C76)^R31</f>
        <v>713103.23440221918</v>
      </c>
      <c r="S46" s="42">
        <f>S44/(1+Assumption_Hatchery!$C76)^S31</f>
        <v>675987.32785531937</v>
      </c>
      <c r="T46" s="42">
        <f>T44/(1+Assumption_Hatchery!$C76)^T31</f>
        <v>-128204.80740060299</v>
      </c>
      <c r="U46" s="42">
        <f>U44/(1+Assumption_Hatchery!$C76)^U31</f>
        <v>606153.34032407997</v>
      </c>
      <c r="V46" s="42">
        <f>V44/(1+Assumption_Hatchery!$C76)^V31</f>
        <v>573419.15663259139</v>
      </c>
      <c r="W46" s="42">
        <f>W44/(1+Assumption_Hatchery!$C76)^W31</f>
        <v>-57077.639861572097</v>
      </c>
      <c r="X46" s="42">
        <f>X44/(1+Assumption_Hatchery!$C76)^X31</f>
        <v>256110.888291543</v>
      </c>
      <c r="Y46" s="42">
        <f>Y44/(1+Assumption_Hatchery!$C76)^Y31</f>
        <v>72555.579977400645</v>
      </c>
      <c r="Z46" s="42">
        <f>Z44/(1+Assumption_Hatchery!$C76)^Z31</f>
        <v>-1325.7496382167149</v>
      </c>
      <c r="AA46" s="42">
        <f>AA44/(1+Assumption_Hatchery!$C76)^AA31</f>
        <v>0</v>
      </c>
    </row>
    <row r="47" spans="1:27" x14ac:dyDescent="0.25">
      <c r="B47" s="34"/>
      <c r="C47" s="34"/>
      <c r="D47" s="34"/>
      <c r="E47" s="34"/>
      <c r="F47" s="34"/>
      <c r="G47" s="34"/>
      <c r="H47" s="34"/>
      <c r="I47" s="34"/>
      <c r="J47" s="34"/>
      <c r="K47" s="34"/>
      <c r="L47" s="34"/>
    </row>
    <row r="48" spans="1:27" s="13" customFormat="1" x14ac:dyDescent="0.25">
      <c r="A48" s="26" t="s">
        <v>62</v>
      </c>
      <c r="B48" s="37">
        <f>NPV(Assumption_Hatchery!C76,C44:Z44)+B44</f>
        <v>869097.900032426</v>
      </c>
      <c r="C48" s="43"/>
      <c r="D48" s="43"/>
      <c r="E48" s="43"/>
      <c r="F48" s="43"/>
      <c r="G48" s="43"/>
      <c r="H48" s="43"/>
      <c r="I48" s="43"/>
      <c r="J48" s="43"/>
      <c r="K48" s="43"/>
      <c r="L48" s="43"/>
    </row>
    <row r="50" spans="1:27" s="13" customFormat="1" x14ac:dyDescent="0.25">
      <c r="A50" s="26" t="s">
        <v>25</v>
      </c>
      <c r="B50" s="38">
        <f>IRR(B44:Z44)</f>
        <v>0.10307949012865403</v>
      </c>
      <c r="C50" s="4"/>
      <c r="D50" s="4"/>
      <c r="E50" s="4"/>
      <c r="F50" s="4"/>
      <c r="G50" s="4"/>
      <c r="H50" s="4"/>
      <c r="I50" s="4"/>
      <c r="J50" s="4"/>
      <c r="K50" s="4"/>
      <c r="L50" s="4"/>
    </row>
    <row r="52" spans="1:27" s="13" customFormat="1" x14ac:dyDescent="0.25">
      <c r="A52" s="27" t="s">
        <v>63</v>
      </c>
      <c r="B52" s="39">
        <f>B46</f>
        <v>0</v>
      </c>
      <c r="C52" s="39">
        <f>B52+C46</f>
        <v>-1144771.7889908256</v>
      </c>
      <c r="D52" s="39">
        <f t="shared" ref="D52:Z52" si="8">C52+D46</f>
        <v>-3368636.2574699093</v>
      </c>
      <c r="E52" s="39">
        <f t="shared" si="8"/>
        <v>-7010352.737085592</v>
      </c>
      <c r="F52" s="39">
        <f t="shared" si="8"/>
        <v>-6515734.4168534735</v>
      </c>
      <c r="G52" s="39">
        <f t="shared" si="8"/>
        <v>-5630178.0578165408</v>
      </c>
      <c r="H52" s="39">
        <f t="shared" si="8"/>
        <v>-6421662.7396109048</v>
      </c>
      <c r="I52" s="39">
        <f t="shared" si="8"/>
        <v>-5314231.7263757344</v>
      </c>
      <c r="J52" s="39">
        <f t="shared" si="8"/>
        <v>-4255019.6123880502</v>
      </c>
      <c r="K52" s="39">
        <f t="shared" si="8"/>
        <v>-4786696.6287942603</v>
      </c>
      <c r="L52" s="39">
        <f t="shared" si="8"/>
        <v>-3821328.5922338204</v>
      </c>
      <c r="M52" s="39">
        <f t="shared" si="8"/>
        <v>-2901284.5290867584</v>
      </c>
      <c r="N52" s="39">
        <f t="shared" si="8"/>
        <v>-3248592.4871427272</v>
      </c>
      <c r="O52" s="39">
        <f t="shared" si="8"/>
        <v>-2415455.8074719743</v>
      </c>
      <c r="P52" s="39">
        <f t="shared" si="8"/>
        <v>-1623753.913131651</v>
      </c>
      <c r="Q52" s="39">
        <f t="shared" si="8"/>
        <v>-1841623.4305503352</v>
      </c>
      <c r="R52" s="39">
        <f t="shared" si="8"/>
        <v>-1128520.1961481161</v>
      </c>
      <c r="S52" s="39">
        <f t="shared" si="8"/>
        <v>-452532.86829279677</v>
      </c>
      <c r="T52" s="39">
        <f t="shared" si="8"/>
        <v>-580737.67569339974</v>
      </c>
      <c r="U52" s="39">
        <f t="shared" si="8"/>
        <v>25415.664630680229</v>
      </c>
      <c r="V52" s="39">
        <f t="shared" si="8"/>
        <v>598834.82126327162</v>
      </c>
      <c r="W52" s="39">
        <f t="shared" si="8"/>
        <v>541757.18140169955</v>
      </c>
      <c r="X52" s="39">
        <f t="shared" si="8"/>
        <v>797868.06969324255</v>
      </c>
      <c r="Y52" s="39">
        <f t="shared" si="8"/>
        <v>870423.64967064315</v>
      </c>
      <c r="Z52" s="39">
        <f t="shared" si="8"/>
        <v>869097.90003242646</v>
      </c>
    </row>
    <row r="53" spans="1:27" ht="38.25" customHeight="1" x14ac:dyDescent="0.25">
      <c r="A53" s="11"/>
      <c r="B53" s="32"/>
      <c r="C53" s="76"/>
      <c r="D53" s="77"/>
      <c r="E53" s="32"/>
      <c r="F53" s="126"/>
      <c r="G53" s="32"/>
      <c r="H53" s="32"/>
      <c r="I53" s="32"/>
      <c r="J53" s="32"/>
      <c r="K53" s="32"/>
      <c r="L53" s="32"/>
      <c r="M53" s="11"/>
    </row>
    <row r="54" spans="1:27" s="1" customFormat="1" x14ac:dyDescent="0.25">
      <c r="A54" s="25"/>
      <c r="B54" s="45"/>
      <c r="C54" s="45"/>
      <c r="D54" s="45"/>
      <c r="E54" s="45"/>
      <c r="F54" s="45"/>
      <c r="G54" s="45"/>
      <c r="H54" s="45"/>
      <c r="I54" s="45"/>
      <c r="J54" s="45"/>
      <c r="K54" s="45"/>
      <c r="L54" s="45"/>
    </row>
    <row r="56" spans="1:27" ht="26.25" x14ac:dyDescent="0.25">
      <c r="F56" s="20" t="s">
        <v>111</v>
      </c>
    </row>
    <row r="57" spans="1:27" ht="38.25" customHeight="1" x14ac:dyDescent="0.25">
      <c r="A57" s="11" t="str">
        <f>A2</f>
        <v>Aggregate Financial Analysis-Crab Fattening</v>
      </c>
      <c r="B57" s="32"/>
      <c r="C57" s="76"/>
      <c r="D57" s="77"/>
      <c r="E57" s="32"/>
      <c r="F57" s="32"/>
      <c r="G57" s="32"/>
      <c r="H57" s="32"/>
      <c r="I57" s="32"/>
      <c r="J57" s="32"/>
      <c r="K57" s="32"/>
      <c r="L57" s="32"/>
      <c r="M57" s="11"/>
    </row>
    <row r="59" spans="1:27" x14ac:dyDescent="0.25">
      <c r="A59" s="10" t="s">
        <v>22</v>
      </c>
      <c r="B59" s="28">
        <v>0</v>
      </c>
      <c r="C59" s="28">
        <v>1</v>
      </c>
      <c r="D59" s="28">
        <v>2</v>
      </c>
      <c r="E59" s="28">
        <v>3</v>
      </c>
      <c r="F59" s="28">
        <v>4</v>
      </c>
      <c r="G59" s="28">
        <v>5</v>
      </c>
      <c r="H59" s="28">
        <v>6</v>
      </c>
      <c r="I59" s="28">
        <v>7</v>
      </c>
      <c r="J59" s="28">
        <v>8</v>
      </c>
      <c r="K59" s="28">
        <v>9</v>
      </c>
      <c r="L59" s="28">
        <v>10</v>
      </c>
      <c r="M59" s="28">
        <v>11</v>
      </c>
      <c r="N59" s="28">
        <v>12</v>
      </c>
      <c r="O59" s="28">
        <v>13</v>
      </c>
      <c r="P59" s="28">
        <v>14</v>
      </c>
      <c r="Q59" s="28">
        <v>15</v>
      </c>
      <c r="R59" s="28">
        <v>16</v>
      </c>
      <c r="S59" s="28">
        <v>17</v>
      </c>
      <c r="T59" s="28">
        <v>18</v>
      </c>
      <c r="U59" s="28">
        <v>19</v>
      </c>
      <c r="V59" s="28">
        <v>20</v>
      </c>
      <c r="W59" s="28">
        <v>21</v>
      </c>
      <c r="X59" s="28">
        <v>22</v>
      </c>
      <c r="Y59" s="28">
        <v>23</v>
      </c>
      <c r="Z59" s="28">
        <v>24</v>
      </c>
      <c r="AA59" s="28">
        <v>25</v>
      </c>
    </row>
    <row r="60" spans="1:27" x14ac:dyDescent="0.25">
      <c r="A60" s="24" t="s">
        <v>23</v>
      </c>
    </row>
    <row r="61" spans="1:27" x14ac:dyDescent="0.25">
      <c r="A61" s="10" t="str">
        <f>A33</f>
        <v>Crab Sale ($)</v>
      </c>
      <c r="B61" s="33">
        <f>B6</f>
        <v>0</v>
      </c>
      <c r="C61" s="33">
        <f t="shared" ref="C61:AA62" si="9">C6</f>
        <v>1216923.75</v>
      </c>
      <c r="D61" s="33">
        <f t="shared" si="9"/>
        <v>4096976.625</v>
      </c>
      <c r="E61" s="33">
        <f t="shared" si="9"/>
        <v>4700810.5491197817</v>
      </c>
      <c r="F61" s="33">
        <f t="shared" si="9"/>
        <v>7940719.1248087501</v>
      </c>
      <c r="G61" s="33">
        <f t="shared" si="9"/>
        <v>8442238.22742825</v>
      </c>
      <c r="H61" s="33">
        <f t="shared" si="9"/>
        <v>5697940.9524337184</v>
      </c>
      <c r="I61" s="33">
        <f t="shared" si="9"/>
        <v>8611927.215799557</v>
      </c>
      <c r="J61" s="33">
        <f t="shared" si="9"/>
        <v>8698046.4879575539</v>
      </c>
      <c r="K61" s="33">
        <f t="shared" si="9"/>
        <v>5870594.2612334136</v>
      </c>
      <c r="L61" s="33">
        <f t="shared" si="9"/>
        <v>8872877.2223655023</v>
      </c>
      <c r="M61" s="33">
        <f t="shared" si="9"/>
        <v>8961605.9945891555</v>
      </c>
      <c r="N61" s="33">
        <f t="shared" si="9"/>
        <v>6048479.1379430452</v>
      </c>
      <c r="O61" s="33">
        <f t="shared" si="9"/>
        <v>9141734.2750803977</v>
      </c>
      <c r="P61" s="33">
        <f t="shared" si="9"/>
        <v>9233151.6178312041</v>
      </c>
      <c r="Q61" s="33">
        <f t="shared" si="9"/>
        <v>6231754.1043018578</v>
      </c>
      <c r="R61" s="33">
        <f t="shared" si="9"/>
        <v>9418737.9653496109</v>
      </c>
      <c r="S61" s="33">
        <f t="shared" si="9"/>
        <v>9512925.3450031076</v>
      </c>
      <c r="T61" s="33">
        <f t="shared" si="9"/>
        <v>6420582.4854163099</v>
      </c>
      <c r="U61" s="33">
        <f t="shared" si="9"/>
        <v>9704135.144437667</v>
      </c>
      <c r="V61" s="33">
        <f t="shared" si="9"/>
        <v>9801176.4958820455</v>
      </c>
      <c r="W61" s="33">
        <f t="shared" si="9"/>
        <v>5622862.6720108725</v>
      </c>
      <c r="X61" s="33">
        <f t="shared" si="9"/>
        <v>4999090.0717246383</v>
      </c>
      <c r="Y61" s="33">
        <f t="shared" si="9"/>
        <v>1514724.291732565</v>
      </c>
      <c r="Z61" s="33">
        <f t="shared" si="9"/>
        <v>340778.88434326323</v>
      </c>
      <c r="AA61" s="33">
        <f t="shared" si="9"/>
        <v>0</v>
      </c>
    </row>
    <row r="62" spans="1:27" s="13" customFormat="1" x14ac:dyDescent="0.25">
      <c r="A62" s="24" t="s">
        <v>58</v>
      </c>
      <c r="B62" s="41">
        <f>B7</f>
        <v>0</v>
      </c>
      <c r="C62" s="41">
        <f t="shared" si="9"/>
        <v>1216923.75</v>
      </c>
      <c r="D62" s="41">
        <f t="shared" si="9"/>
        <v>4096976.625</v>
      </c>
      <c r="E62" s="41">
        <f t="shared" si="9"/>
        <v>4700810.5491197817</v>
      </c>
      <c r="F62" s="41">
        <f t="shared" si="9"/>
        <v>7940719.1248087501</v>
      </c>
      <c r="G62" s="41">
        <f t="shared" si="9"/>
        <v>8442238.22742825</v>
      </c>
      <c r="H62" s="41">
        <f t="shared" si="9"/>
        <v>5697940.9524337184</v>
      </c>
      <c r="I62" s="41">
        <f t="shared" si="9"/>
        <v>8611927.215799557</v>
      </c>
      <c r="J62" s="41">
        <f t="shared" si="9"/>
        <v>8698046.4879575539</v>
      </c>
      <c r="K62" s="41">
        <f t="shared" si="9"/>
        <v>5870594.2612334136</v>
      </c>
      <c r="L62" s="41">
        <f t="shared" si="9"/>
        <v>8872877.2223655023</v>
      </c>
      <c r="M62" s="41">
        <f t="shared" si="9"/>
        <v>8961605.9945891555</v>
      </c>
      <c r="N62" s="41">
        <f t="shared" si="9"/>
        <v>6048479.1379430452</v>
      </c>
      <c r="O62" s="41">
        <f t="shared" si="9"/>
        <v>9141734.2750803977</v>
      </c>
      <c r="P62" s="41">
        <f t="shared" si="9"/>
        <v>9233151.6178312041</v>
      </c>
      <c r="Q62" s="41">
        <f t="shared" si="9"/>
        <v>6231754.1043018578</v>
      </c>
      <c r="R62" s="41">
        <f t="shared" si="9"/>
        <v>9418737.9653496109</v>
      </c>
      <c r="S62" s="41">
        <f t="shared" si="9"/>
        <v>9512925.3450031076</v>
      </c>
      <c r="T62" s="41">
        <f t="shared" si="9"/>
        <v>6420582.4854163099</v>
      </c>
      <c r="U62" s="41">
        <f t="shared" si="9"/>
        <v>9704135.144437667</v>
      </c>
      <c r="V62" s="41">
        <f t="shared" si="9"/>
        <v>9801176.4958820455</v>
      </c>
      <c r="W62" s="41">
        <f t="shared" si="9"/>
        <v>5622862.6720108725</v>
      </c>
      <c r="X62" s="41">
        <f t="shared" si="9"/>
        <v>4999090.0717246383</v>
      </c>
      <c r="Y62" s="41">
        <f t="shared" si="9"/>
        <v>1514724.291732565</v>
      </c>
      <c r="Z62" s="41">
        <f t="shared" si="9"/>
        <v>340778.88434326323</v>
      </c>
      <c r="AA62" s="41">
        <f t="shared" si="9"/>
        <v>0</v>
      </c>
    </row>
    <row r="63" spans="1:27" x14ac:dyDescent="0.25">
      <c r="A63" s="24"/>
      <c r="B63" s="44"/>
      <c r="C63" s="44"/>
      <c r="D63" s="44"/>
      <c r="E63" s="44"/>
      <c r="F63" s="44"/>
      <c r="G63" s="44"/>
      <c r="H63" s="44"/>
      <c r="I63" s="44"/>
      <c r="J63" s="44"/>
      <c r="K63" s="44"/>
    </row>
    <row r="64" spans="1:27" x14ac:dyDescent="0.25">
      <c r="A64" s="24" t="s">
        <v>24</v>
      </c>
    </row>
    <row r="65" spans="1:27" x14ac:dyDescent="0.25">
      <c r="A65" s="9" t="s">
        <v>49</v>
      </c>
      <c r="B65" s="35">
        <f t="shared" ref="B65:AA68" si="10">B10</f>
        <v>0</v>
      </c>
      <c r="C65" s="35">
        <f t="shared" si="10"/>
        <v>900000</v>
      </c>
      <c r="D65" s="35">
        <f t="shared" si="10"/>
        <v>2100000</v>
      </c>
      <c r="E65" s="35">
        <f t="shared" si="10"/>
        <v>2100000</v>
      </c>
      <c r="F65" s="35">
        <f t="shared" si="10"/>
        <v>600000</v>
      </c>
      <c r="G65" s="35">
        <f t="shared" si="10"/>
        <v>300000</v>
      </c>
      <c r="H65" s="35">
        <f t="shared" si="10"/>
        <v>0</v>
      </c>
      <c r="I65" s="35">
        <f t="shared" si="10"/>
        <v>0</v>
      </c>
      <c r="J65" s="35">
        <f t="shared" si="10"/>
        <v>0</v>
      </c>
      <c r="K65" s="35">
        <f t="shared" si="10"/>
        <v>0</v>
      </c>
      <c r="L65" s="35">
        <f t="shared" si="10"/>
        <v>0</v>
      </c>
      <c r="M65" s="35">
        <f t="shared" si="10"/>
        <v>0</v>
      </c>
      <c r="N65" s="35">
        <f t="shared" si="10"/>
        <v>0</v>
      </c>
      <c r="O65" s="35">
        <f t="shared" si="10"/>
        <v>0</v>
      </c>
      <c r="P65" s="35">
        <f t="shared" si="10"/>
        <v>0</v>
      </c>
      <c r="Q65" s="35">
        <f t="shared" si="10"/>
        <v>0</v>
      </c>
      <c r="R65" s="35">
        <f t="shared" si="10"/>
        <v>0</v>
      </c>
      <c r="S65" s="35">
        <f t="shared" si="10"/>
        <v>0</v>
      </c>
      <c r="T65" s="35">
        <f t="shared" si="10"/>
        <v>0</v>
      </c>
      <c r="U65" s="35">
        <f t="shared" si="10"/>
        <v>0</v>
      </c>
      <c r="V65" s="35">
        <f t="shared" si="10"/>
        <v>0</v>
      </c>
      <c r="W65" s="35">
        <f t="shared" si="10"/>
        <v>0</v>
      </c>
      <c r="X65" s="35">
        <f t="shared" si="10"/>
        <v>0</v>
      </c>
      <c r="Y65" s="35">
        <f t="shared" si="10"/>
        <v>0</v>
      </c>
      <c r="Z65" s="35">
        <f t="shared" si="10"/>
        <v>0</v>
      </c>
      <c r="AA65" s="35">
        <f t="shared" si="10"/>
        <v>0</v>
      </c>
    </row>
    <row r="66" spans="1:27" x14ac:dyDescent="0.25">
      <c r="A66" s="9" t="s">
        <v>128</v>
      </c>
      <c r="B66" s="35">
        <f t="shared" si="10"/>
        <v>0</v>
      </c>
      <c r="C66" s="35">
        <f t="shared" si="10"/>
        <v>118125.00000000001</v>
      </c>
      <c r="D66" s="35">
        <f t="shared" si="10"/>
        <v>393750.00000000006</v>
      </c>
      <c r="E66" s="35">
        <f t="shared" si="10"/>
        <v>669375.00000000012</v>
      </c>
      <c r="F66" s="35">
        <f t="shared" si="10"/>
        <v>748125.00000000012</v>
      </c>
      <c r="G66" s="35">
        <f t="shared" si="10"/>
        <v>787500.00000000012</v>
      </c>
      <c r="H66" s="35">
        <f t="shared" si="10"/>
        <v>787500.00000000012</v>
      </c>
      <c r="I66" s="35">
        <f t="shared" si="10"/>
        <v>787500.00000000012</v>
      </c>
      <c r="J66" s="35">
        <f t="shared" si="10"/>
        <v>787500.00000000012</v>
      </c>
      <c r="K66" s="35">
        <f t="shared" si="10"/>
        <v>787500.00000000012</v>
      </c>
      <c r="L66" s="35">
        <f t="shared" si="10"/>
        <v>787500.00000000012</v>
      </c>
      <c r="M66" s="35">
        <f t="shared" si="10"/>
        <v>787500.00000000012</v>
      </c>
      <c r="N66" s="35">
        <f t="shared" si="10"/>
        <v>787500.00000000012</v>
      </c>
      <c r="O66" s="35">
        <f t="shared" si="10"/>
        <v>787500.00000000012</v>
      </c>
      <c r="P66" s="35">
        <f t="shared" si="10"/>
        <v>787500.00000000012</v>
      </c>
      <c r="Q66" s="35">
        <f t="shared" si="10"/>
        <v>787500.00000000012</v>
      </c>
      <c r="R66" s="35">
        <f t="shared" si="10"/>
        <v>787500.00000000012</v>
      </c>
      <c r="S66" s="35">
        <f t="shared" si="10"/>
        <v>787500.00000000012</v>
      </c>
      <c r="T66" s="35">
        <f t="shared" si="10"/>
        <v>787500.00000000012</v>
      </c>
      <c r="U66" s="35">
        <f t="shared" si="10"/>
        <v>787500.00000000012</v>
      </c>
      <c r="V66" s="35">
        <f t="shared" si="10"/>
        <v>787500.00000000012</v>
      </c>
      <c r="W66" s="35">
        <f t="shared" si="10"/>
        <v>669375.00000000012</v>
      </c>
      <c r="X66" s="35">
        <f t="shared" si="10"/>
        <v>393750.00000000006</v>
      </c>
      <c r="Y66" s="35">
        <f t="shared" si="10"/>
        <v>118125.00000000001</v>
      </c>
      <c r="Z66" s="35">
        <f t="shared" si="10"/>
        <v>39375.000000000007</v>
      </c>
      <c r="AA66" s="35">
        <f t="shared" si="10"/>
        <v>0</v>
      </c>
    </row>
    <row r="67" spans="1:27" x14ac:dyDescent="0.25">
      <c r="A67" s="9" t="s">
        <v>53</v>
      </c>
      <c r="B67" s="35">
        <f t="shared" si="10"/>
        <v>0</v>
      </c>
      <c r="C67" s="35">
        <f t="shared" si="10"/>
        <v>420000</v>
      </c>
      <c r="D67" s="35">
        <f t="shared" si="10"/>
        <v>1400000</v>
      </c>
      <c r="E67" s="35">
        <f t="shared" si="10"/>
        <v>2464014</v>
      </c>
      <c r="F67" s="35">
        <f t="shared" si="10"/>
        <v>2660000</v>
      </c>
      <c r="G67" s="35">
        <f t="shared" si="10"/>
        <v>2800000</v>
      </c>
      <c r="H67" s="35">
        <f t="shared" si="10"/>
        <v>2898840</v>
      </c>
      <c r="I67" s="35">
        <f t="shared" si="10"/>
        <v>2800000</v>
      </c>
      <c r="J67" s="35">
        <f t="shared" si="10"/>
        <v>2800000</v>
      </c>
      <c r="K67" s="35">
        <f t="shared" si="10"/>
        <v>2898840</v>
      </c>
      <c r="L67" s="35">
        <f t="shared" si="10"/>
        <v>2800000</v>
      </c>
      <c r="M67" s="35">
        <f t="shared" si="10"/>
        <v>2800000</v>
      </c>
      <c r="N67" s="35">
        <f t="shared" si="10"/>
        <v>2898840</v>
      </c>
      <c r="O67" s="35">
        <f t="shared" si="10"/>
        <v>2800000</v>
      </c>
      <c r="P67" s="35">
        <f t="shared" si="10"/>
        <v>2800000</v>
      </c>
      <c r="Q67" s="35">
        <f t="shared" si="10"/>
        <v>2898840</v>
      </c>
      <c r="R67" s="35">
        <f t="shared" si="10"/>
        <v>2800000</v>
      </c>
      <c r="S67" s="35">
        <f t="shared" si="10"/>
        <v>2800000</v>
      </c>
      <c r="T67" s="35">
        <f t="shared" si="10"/>
        <v>2898840</v>
      </c>
      <c r="U67" s="35">
        <f t="shared" si="10"/>
        <v>2800000</v>
      </c>
      <c r="V67" s="35">
        <f t="shared" si="10"/>
        <v>2800000</v>
      </c>
      <c r="W67" s="35">
        <f t="shared" si="10"/>
        <v>2464014</v>
      </c>
      <c r="X67" s="35">
        <f t="shared" si="10"/>
        <v>1400000</v>
      </c>
      <c r="Y67" s="35">
        <f t="shared" si="10"/>
        <v>420000</v>
      </c>
      <c r="Z67" s="35">
        <f t="shared" si="10"/>
        <v>144942</v>
      </c>
      <c r="AA67" s="35">
        <f t="shared" si="10"/>
        <v>0</v>
      </c>
    </row>
    <row r="68" spans="1:27" x14ac:dyDescent="0.25">
      <c r="A68" s="9" t="s">
        <v>55</v>
      </c>
      <c r="B68" s="35">
        <f t="shared" si="10"/>
        <v>0</v>
      </c>
      <c r="C68" s="35">
        <f t="shared" si="10"/>
        <v>450000</v>
      </c>
      <c r="D68" s="35">
        <f t="shared" si="10"/>
        <v>1500000</v>
      </c>
      <c r="E68" s="35">
        <f t="shared" si="10"/>
        <v>2838150</v>
      </c>
      <c r="F68" s="35">
        <f t="shared" si="10"/>
        <v>2850000</v>
      </c>
      <c r="G68" s="35">
        <f t="shared" si="10"/>
        <v>3000000</v>
      </c>
      <c r="H68" s="35">
        <f t="shared" si="10"/>
        <v>3339000</v>
      </c>
      <c r="I68" s="35">
        <f t="shared" si="10"/>
        <v>3000000</v>
      </c>
      <c r="J68" s="35">
        <f t="shared" si="10"/>
        <v>3000000</v>
      </c>
      <c r="K68" s="35">
        <f t="shared" si="10"/>
        <v>3339000</v>
      </c>
      <c r="L68" s="35">
        <f t="shared" si="10"/>
        <v>3000000</v>
      </c>
      <c r="M68" s="35">
        <f t="shared" si="10"/>
        <v>3000000</v>
      </c>
      <c r="N68" s="35">
        <f t="shared" si="10"/>
        <v>3339000</v>
      </c>
      <c r="O68" s="35">
        <f t="shared" si="10"/>
        <v>3000000</v>
      </c>
      <c r="P68" s="35">
        <f t="shared" si="10"/>
        <v>3000000</v>
      </c>
      <c r="Q68" s="35">
        <f t="shared" si="10"/>
        <v>3339000</v>
      </c>
      <c r="R68" s="35">
        <f t="shared" si="10"/>
        <v>3000000</v>
      </c>
      <c r="S68" s="35">
        <f t="shared" si="10"/>
        <v>3000000</v>
      </c>
      <c r="T68" s="35">
        <f t="shared" si="10"/>
        <v>3339000</v>
      </c>
      <c r="U68" s="35">
        <f t="shared" si="10"/>
        <v>3000000</v>
      </c>
      <c r="V68" s="35">
        <f t="shared" si="10"/>
        <v>3000000</v>
      </c>
      <c r="W68" s="35">
        <f t="shared" si="10"/>
        <v>2838150</v>
      </c>
      <c r="X68" s="35">
        <f t="shared" si="10"/>
        <v>1500000</v>
      </c>
      <c r="Y68" s="35">
        <f t="shared" si="10"/>
        <v>450000</v>
      </c>
      <c r="Z68" s="35">
        <f t="shared" si="10"/>
        <v>166950</v>
      </c>
      <c r="AA68" s="35">
        <f t="shared" si="10"/>
        <v>0</v>
      </c>
    </row>
    <row r="69" spans="1:27" s="54" customFormat="1" x14ac:dyDescent="0.25">
      <c r="A69" s="56" t="s">
        <v>156</v>
      </c>
      <c r="B69" s="53">
        <f>B14*Assumption_Fattening!$C33</f>
        <v>0</v>
      </c>
      <c r="C69" s="53">
        <f>C14*Assumption_Fattening!$C33</f>
        <v>0</v>
      </c>
      <c r="D69" s="53">
        <f>D14*Assumption_Fattening!$C33</f>
        <v>0</v>
      </c>
      <c r="E69" s="53">
        <f>E14*Assumption_Fattening!$C33</f>
        <v>0</v>
      </c>
      <c r="F69" s="53">
        <f>F14*Assumption_Fattening!$C33</f>
        <v>0</v>
      </c>
      <c r="G69" s="53">
        <f>G14*Assumption_Fattening!$C33</f>
        <v>0</v>
      </c>
      <c r="H69" s="53">
        <f>H14*Assumption_Fattening!$C33</f>
        <v>0</v>
      </c>
      <c r="I69" s="53">
        <f>I14*Assumption_Fattening!$C33</f>
        <v>0</v>
      </c>
      <c r="J69" s="53">
        <f>J14*Assumption_Fattening!$C33</f>
        <v>0</v>
      </c>
      <c r="K69" s="53">
        <f>K14*Assumption_Fattening!$C33</f>
        <v>0</v>
      </c>
      <c r="L69" s="53">
        <f>L14*Assumption_Fattening!$C33</f>
        <v>0</v>
      </c>
      <c r="M69" s="53">
        <f>M14*Assumption_Fattening!$C33</f>
        <v>0</v>
      </c>
      <c r="N69" s="53">
        <f>N14*Assumption_Fattening!$C33</f>
        <v>0</v>
      </c>
      <c r="O69" s="53">
        <f>O14*Assumption_Fattening!$C33</f>
        <v>0</v>
      </c>
      <c r="P69" s="53">
        <f>P14*Assumption_Fattening!$C33</f>
        <v>0</v>
      </c>
      <c r="Q69" s="53">
        <f>Q14*Assumption_Fattening!$C33</f>
        <v>0</v>
      </c>
      <c r="R69" s="53">
        <f>R14*Assumption_Fattening!$C33</f>
        <v>0</v>
      </c>
      <c r="S69" s="53">
        <f>S14*Assumption_Fattening!$C33</f>
        <v>0</v>
      </c>
      <c r="T69" s="53">
        <f>T14*Assumption_Fattening!$C33</f>
        <v>0</v>
      </c>
      <c r="U69" s="53">
        <f>U14*Assumption_Fattening!$C33</f>
        <v>0</v>
      </c>
      <c r="V69" s="53">
        <f>V14*Assumption_Fattening!$C33</f>
        <v>0</v>
      </c>
      <c r="W69" s="53">
        <f>W14*Assumption_Fattening!$C33</f>
        <v>0</v>
      </c>
      <c r="X69" s="53">
        <f>X14*Assumption_Fattening!$C33</f>
        <v>0</v>
      </c>
      <c r="Y69" s="53">
        <f>Y14*Assumption_Fattening!$C33</f>
        <v>0</v>
      </c>
      <c r="Z69" s="53">
        <f>Z14*Assumption_Fattening!$C33</f>
        <v>0</v>
      </c>
      <c r="AA69" s="53">
        <f>AA14*Assumption_Fattening!$C33</f>
        <v>0</v>
      </c>
    </row>
    <row r="70" spans="1:27" x14ac:dyDescent="0.25">
      <c r="A70" s="127" t="s">
        <v>59</v>
      </c>
      <c r="B70" s="40">
        <f t="shared" ref="B70:AA70" si="11">SUM(B65:B69)</f>
        <v>0</v>
      </c>
      <c r="C70" s="40">
        <f t="shared" si="11"/>
        <v>1888125</v>
      </c>
      <c r="D70" s="40">
        <f t="shared" si="11"/>
        <v>5393750</v>
      </c>
      <c r="E70" s="40">
        <f t="shared" si="11"/>
        <v>8071539</v>
      </c>
      <c r="F70" s="40">
        <f t="shared" si="11"/>
        <v>6858125</v>
      </c>
      <c r="G70" s="40">
        <f t="shared" si="11"/>
        <v>6887500</v>
      </c>
      <c r="H70" s="40">
        <f t="shared" si="11"/>
        <v>7025340</v>
      </c>
      <c r="I70" s="40">
        <f t="shared" si="11"/>
        <v>6587500</v>
      </c>
      <c r="J70" s="40">
        <f t="shared" si="11"/>
        <v>6587500</v>
      </c>
      <c r="K70" s="40">
        <f t="shared" si="11"/>
        <v>7025340</v>
      </c>
      <c r="L70" s="40">
        <f t="shared" si="11"/>
        <v>6587500</v>
      </c>
      <c r="M70" s="40">
        <f t="shared" si="11"/>
        <v>6587500</v>
      </c>
      <c r="N70" s="40">
        <f t="shared" si="11"/>
        <v>7025340</v>
      </c>
      <c r="O70" s="40">
        <f t="shared" si="11"/>
        <v>6587500</v>
      </c>
      <c r="P70" s="40">
        <f t="shared" si="11"/>
        <v>6587500</v>
      </c>
      <c r="Q70" s="40">
        <f t="shared" si="11"/>
        <v>7025340</v>
      </c>
      <c r="R70" s="40">
        <f t="shared" si="11"/>
        <v>6587500</v>
      </c>
      <c r="S70" s="40">
        <f t="shared" si="11"/>
        <v>6587500</v>
      </c>
      <c r="T70" s="40">
        <f t="shared" si="11"/>
        <v>7025340</v>
      </c>
      <c r="U70" s="40">
        <f t="shared" si="11"/>
        <v>6587500</v>
      </c>
      <c r="V70" s="40">
        <f t="shared" si="11"/>
        <v>6587500</v>
      </c>
      <c r="W70" s="40">
        <f t="shared" si="11"/>
        <v>5971539</v>
      </c>
      <c r="X70" s="40">
        <f t="shared" si="11"/>
        <v>3293750</v>
      </c>
      <c r="Y70" s="40">
        <f t="shared" si="11"/>
        <v>988125</v>
      </c>
      <c r="Z70" s="40">
        <f t="shared" si="11"/>
        <v>351267</v>
      </c>
      <c r="AA70" s="40">
        <f t="shared" si="11"/>
        <v>0</v>
      </c>
    </row>
    <row r="71" spans="1:27" x14ac:dyDescent="0.25">
      <c r="B71" s="34"/>
      <c r="C71" s="34"/>
      <c r="D71" s="34"/>
      <c r="E71" s="34"/>
      <c r="F71" s="34"/>
      <c r="G71" s="34"/>
      <c r="H71" s="34"/>
      <c r="I71" s="34"/>
      <c r="J71" s="34"/>
      <c r="K71" s="34"/>
      <c r="L71" s="34"/>
    </row>
    <row r="72" spans="1:27" x14ac:dyDescent="0.25">
      <c r="A72" s="24" t="s">
        <v>60</v>
      </c>
      <c r="B72" s="36">
        <f t="shared" ref="B72:AA72" si="12">B62-B70</f>
        <v>0</v>
      </c>
      <c r="C72" s="36">
        <f t="shared" si="12"/>
        <v>-671201.25</v>
      </c>
      <c r="D72" s="36">
        <f t="shared" si="12"/>
        <v>-1296773.375</v>
      </c>
      <c r="E72" s="36">
        <f t="shared" si="12"/>
        <v>-3370728.4508802183</v>
      </c>
      <c r="F72" s="36">
        <f t="shared" si="12"/>
        <v>1082594.1248087501</v>
      </c>
      <c r="G72" s="36">
        <f t="shared" si="12"/>
        <v>1554738.22742825</v>
      </c>
      <c r="H72" s="36">
        <f t="shared" si="12"/>
        <v>-1327399.0475662816</v>
      </c>
      <c r="I72" s="36">
        <f t="shared" si="12"/>
        <v>2024427.215799557</v>
      </c>
      <c r="J72" s="36">
        <f t="shared" si="12"/>
        <v>2110546.4879575539</v>
      </c>
      <c r="K72" s="36">
        <f t="shared" si="12"/>
        <v>-1154745.7387665864</v>
      </c>
      <c r="L72" s="36">
        <f t="shared" si="12"/>
        <v>2285377.2223655023</v>
      </c>
      <c r="M72" s="36">
        <f t="shared" si="12"/>
        <v>2374105.9945891555</v>
      </c>
      <c r="N72" s="36">
        <f t="shared" si="12"/>
        <v>-976860.86205695476</v>
      </c>
      <c r="O72" s="36">
        <f t="shared" si="12"/>
        <v>2554234.2750803977</v>
      </c>
      <c r="P72" s="36">
        <f t="shared" si="12"/>
        <v>2645651.6178312041</v>
      </c>
      <c r="Q72" s="36">
        <f t="shared" si="12"/>
        <v>-793585.89569814224</v>
      </c>
      <c r="R72" s="36">
        <f t="shared" si="12"/>
        <v>2831237.9653496109</v>
      </c>
      <c r="S72" s="36">
        <f t="shared" si="12"/>
        <v>2925425.3450031076</v>
      </c>
      <c r="T72" s="36">
        <f t="shared" si="12"/>
        <v>-604757.51458369009</v>
      </c>
      <c r="U72" s="36">
        <f t="shared" si="12"/>
        <v>3116635.144437667</v>
      </c>
      <c r="V72" s="36">
        <f t="shared" si="12"/>
        <v>3213676.4958820455</v>
      </c>
      <c r="W72" s="36">
        <f t="shared" si="12"/>
        <v>-348676.32798912749</v>
      </c>
      <c r="X72" s="36">
        <f t="shared" si="12"/>
        <v>1705340.0717246383</v>
      </c>
      <c r="Y72" s="36">
        <f t="shared" si="12"/>
        <v>526599.29173256503</v>
      </c>
      <c r="Z72" s="36">
        <f t="shared" si="12"/>
        <v>-10488.115656736773</v>
      </c>
      <c r="AA72" s="36">
        <f t="shared" si="12"/>
        <v>0</v>
      </c>
    </row>
    <row r="73" spans="1:27" x14ac:dyDescent="0.25">
      <c r="B73" s="34"/>
      <c r="C73" s="34"/>
      <c r="D73" s="34"/>
      <c r="E73" s="34"/>
      <c r="F73" s="34"/>
      <c r="G73" s="34"/>
      <c r="H73" s="34"/>
      <c r="I73" s="34"/>
      <c r="J73" s="34"/>
      <c r="K73" s="34"/>
      <c r="L73" s="34"/>
    </row>
    <row r="74" spans="1:27" s="13" customFormat="1" x14ac:dyDescent="0.25">
      <c r="A74" s="24" t="s">
        <v>61</v>
      </c>
      <c r="B74" s="42">
        <f>B72/(1+Assumption_Hatchery!$C76)^B59</f>
        <v>0</v>
      </c>
      <c r="C74" s="42">
        <f>C72/(1+Assumption_Hatchery!$C76)^C59</f>
        <v>-615780.96330275224</v>
      </c>
      <c r="D74" s="42">
        <f>D72/(1+Assumption_Hatchery!$C76)^D59</f>
        <v>-1091468.2055382542</v>
      </c>
      <c r="E74" s="42">
        <f>E72/(1+Assumption_Hatchery!$C76)^E59</f>
        <v>-2602820.8255415265</v>
      </c>
      <c r="F74" s="42">
        <f>F72/(1+Assumption_Hatchery!$C76)^F59</f>
        <v>766936.97136558045</v>
      </c>
      <c r="G74" s="42">
        <f>G72/(1+Assumption_Hatchery!$C76)^G59</f>
        <v>1010473.1714834746</v>
      </c>
      <c r="H74" s="42">
        <f>H72/(1+Assumption_Hatchery!$C76)^H59</f>
        <v>-791484.68179436377</v>
      </c>
      <c r="I74" s="42">
        <f>I72/(1+Assumption_Hatchery!$C76)^I59</f>
        <v>1107431.0132351699</v>
      </c>
      <c r="J74" s="42">
        <f>J72/(1+Assumption_Hatchery!$C76)^J59</f>
        <v>1059212.1139876842</v>
      </c>
      <c r="K74" s="42">
        <f>K72/(1+Assumption_Hatchery!$C76)^K59</f>
        <v>-531677.01640620991</v>
      </c>
      <c r="L74" s="42">
        <f>L72/(1+Assumption_Hatchery!$C76)^L59</f>
        <v>965368.03656044009</v>
      </c>
      <c r="M74" s="42">
        <f>M72/(1+Assumption_Hatchery!$C76)^M59</f>
        <v>920044.06314706174</v>
      </c>
      <c r="N74" s="42">
        <f>N72/(1+Assumption_Hatchery!$C76)^N59</f>
        <v>-347307.9580559688</v>
      </c>
      <c r="O74" s="42">
        <f>O72/(1+Assumption_Hatchery!$C76)^O59</f>
        <v>833136.67967075307</v>
      </c>
      <c r="P74" s="42">
        <f>P72/(1+Assumption_Hatchery!$C76)^P59</f>
        <v>791701.8943403234</v>
      </c>
      <c r="Q74" s="42">
        <f>Q72/(1+Assumption_Hatchery!$C76)^Q59</f>
        <v>-217869.51741868415</v>
      </c>
      <c r="R74" s="42">
        <f>R72/(1+Assumption_Hatchery!$C76)^R59</f>
        <v>713103.23440221918</v>
      </c>
      <c r="S74" s="42">
        <f>S72/(1+Assumption_Hatchery!$C76)^S59</f>
        <v>675987.32785531937</v>
      </c>
      <c r="T74" s="42">
        <f>T72/(1+Assumption_Hatchery!$C76)^T59</f>
        <v>-128204.80740060299</v>
      </c>
      <c r="U74" s="42">
        <f>U72/(1+Assumption_Hatchery!$C76)^U59</f>
        <v>606153.34032407997</v>
      </c>
      <c r="V74" s="42">
        <f>V72/(1+Assumption_Hatchery!$C76)^V59</f>
        <v>573419.15663259139</v>
      </c>
      <c r="W74" s="42">
        <f>W72/(1+Assumption_Hatchery!$C76)^W59</f>
        <v>-57077.639861572097</v>
      </c>
      <c r="X74" s="42">
        <f>X72/(1+Assumption_Hatchery!$C76)^X59</f>
        <v>256110.888291543</v>
      </c>
      <c r="Y74" s="42">
        <f>Y72/(1+Assumption_Hatchery!$C76)^Y59</f>
        <v>72555.579977400645</v>
      </c>
      <c r="Z74" s="42">
        <f>Z72/(1+Assumption_Hatchery!$C76)^Z59</f>
        <v>-1325.7496382167149</v>
      </c>
      <c r="AA74" s="42">
        <f>AA72/(1+Assumption_Hatchery!$C76)^AA59</f>
        <v>0</v>
      </c>
    </row>
    <row r="75" spans="1:27" x14ac:dyDescent="0.25">
      <c r="B75" s="34"/>
      <c r="C75" s="34"/>
      <c r="D75" s="34"/>
      <c r="E75" s="34"/>
      <c r="F75" s="34"/>
      <c r="G75" s="34"/>
      <c r="H75" s="34"/>
      <c r="I75" s="34"/>
      <c r="J75" s="34"/>
      <c r="K75" s="34"/>
      <c r="L75" s="34"/>
    </row>
    <row r="76" spans="1:27" s="13" customFormat="1" x14ac:dyDescent="0.25">
      <c r="A76" s="26" t="s">
        <v>62</v>
      </c>
      <c r="B76" s="37">
        <f>NPV(Assumption_Hatchery!C76,C72:Z72)+B72</f>
        <v>3966616.1063154875</v>
      </c>
      <c r="C76" s="43"/>
      <c r="D76" s="43"/>
      <c r="E76" s="43"/>
      <c r="F76" s="43"/>
      <c r="G76" s="43"/>
      <c r="H76" s="43"/>
      <c r="I76" s="43"/>
      <c r="J76" s="43"/>
      <c r="K76" s="43"/>
      <c r="L76" s="43"/>
    </row>
    <row r="78" spans="1:27" s="13" customFormat="1" x14ac:dyDescent="0.25">
      <c r="A78" s="26" t="s">
        <v>25</v>
      </c>
      <c r="B78" s="38">
        <f>IRR(B72:Z72)</f>
        <v>0.17782784804133245</v>
      </c>
      <c r="C78" s="4"/>
      <c r="D78" s="4"/>
      <c r="E78" s="4"/>
      <c r="F78" s="4"/>
      <c r="G78" s="4"/>
      <c r="H78" s="4"/>
      <c r="I78" s="4"/>
      <c r="J78" s="4"/>
      <c r="K78" s="4"/>
      <c r="L78" s="4"/>
    </row>
    <row r="80" spans="1:27" s="13" customFormat="1" x14ac:dyDescent="0.25">
      <c r="A80" s="27" t="s">
        <v>63</v>
      </c>
      <c r="B80" s="39">
        <f>B74</f>
        <v>0</v>
      </c>
      <c r="C80" s="39">
        <f>B80+C74</f>
        <v>-615780.96330275224</v>
      </c>
      <c r="D80" s="39">
        <f t="shared" ref="D80:AA80" si="13">C80+D74</f>
        <v>-1707249.1688410065</v>
      </c>
      <c r="E80" s="39">
        <f t="shared" si="13"/>
        <v>-4310069.9943825332</v>
      </c>
      <c r="F80" s="39">
        <f t="shared" si="13"/>
        <v>-3543133.0230169529</v>
      </c>
      <c r="G80" s="39">
        <f t="shared" si="13"/>
        <v>-2532659.8515334781</v>
      </c>
      <c r="H80" s="39">
        <f t="shared" si="13"/>
        <v>-3324144.5333278421</v>
      </c>
      <c r="I80" s="39">
        <f t="shared" si="13"/>
        <v>-2216713.5200926722</v>
      </c>
      <c r="J80" s="39">
        <f t="shared" si="13"/>
        <v>-1157501.406104988</v>
      </c>
      <c r="K80" s="39">
        <f t="shared" si="13"/>
        <v>-1689178.4225111979</v>
      </c>
      <c r="L80" s="39">
        <f t="shared" si="13"/>
        <v>-723810.38595075777</v>
      </c>
      <c r="M80" s="39">
        <f t="shared" si="13"/>
        <v>196233.67719630396</v>
      </c>
      <c r="N80" s="39">
        <f t="shared" si="13"/>
        <v>-151074.28085966484</v>
      </c>
      <c r="O80" s="39">
        <f t="shared" si="13"/>
        <v>682062.39881108818</v>
      </c>
      <c r="P80" s="39">
        <f t="shared" si="13"/>
        <v>1473764.2931514117</v>
      </c>
      <c r="Q80" s="39">
        <f t="shared" si="13"/>
        <v>1255894.7757327275</v>
      </c>
      <c r="R80" s="39">
        <f t="shared" si="13"/>
        <v>1968998.0101349466</v>
      </c>
      <c r="S80" s="39">
        <f t="shared" si="13"/>
        <v>2644985.3379902658</v>
      </c>
      <c r="T80" s="39">
        <f t="shared" si="13"/>
        <v>2516780.530589663</v>
      </c>
      <c r="U80" s="39">
        <f t="shared" si="13"/>
        <v>3122933.870913743</v>
      </c>
      <c r="V80" s="39">
        <f t="shared" si="13"/>
        <v>3696353.0275463345</v>
      </c>
      <c r="W80" s="39">
        <f t="shared" si="13"/>
        <v>3639275.3876847625</v>
      </c>
      <c r="X80" s="39">
        <f t="shared" si="13"/>
        <v>3895386.2759763054</v>
      </c>
      <c r="Y80" s="39">
        <f t="shared" si="13"/>
        <v>3967941.855953706</v>
      </c>
      <c r="Z80" s="39">
        <f t="shared" si="13"/>
        <v>3966616.1063154894</v>
      </c>
      <c r="AA80" s="39">
        <f t="shared" si="13"/>
        <v>3966616.1063154894</v>
      </c>
    </row>
  </sheetData>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2:AA80"/>
  <sheetViews>
    <sheetView showGridLines="0" zoomScale="85" zoomScaleNormal="85" workbookViewId="0">
      <selection activeCell="O80" sqref="O80"/>
    </sheetView>
  </sheetViews>
  <sheetFormatPr defaultColWidth="9" defaultRowHeight="15" x14ac:dyDescent="0.25"/>
  <cols>
    <col min="1" max="1" width="40.7109375" style="10" customWidth="1"/>
    <col min="2" max="2" width="18.28515625" style="28" customWidth="1"/>
    <col min="3" max="3" width="13" style="28" customWidth="1"/>
    <col min="4" max="4" width="17" style="28" customWidth="1"/>
    <col min="5" max="5" width="14.7109375" style="28" customWidth="1"/>
    <col min="6" max="6" width="14.5703125" style="28" customWidth="1"/>
    <col min="7" max="7" width="14.28515625" style="28" customWidth="1"/>
    <col min="8" max="8" width="15.28515625" style="28" customWidth="1"/>
    <col min="9" max="9" width="14.28515625" style="28" customWidth="1"/>
    <col min="10" max="10" width="16.42578125" style="28" customWidth="1"/>
    <col min="11" max="11" width="15" style="28" customWidth="1"/>
    <col min="12" max="12" width="15.140625" style="28" customWidth="1"/>
    <col min="13" max="23" width="13.7109375" style="3" customWidth="1"/>
    <col min="24" max="24" width="15.7109375" style="3" customWidth="1"/>
    <col min="25" max="25" width="13.7109375" style="3" customWidth="1"/>
    <col min="26" max="26" width="15.42578125" style="3" customWidth="1"/>
    <col min="27" max="27" width="14.7109375" style="3" customWidth="1"/>
    <col min="28" max="16384" width="9" style="3"/>
  </cols>
  <sheetData>
    <row r="2" spans="1:27" ht="38.25" customHeight="1" x14ac:dyDescent="0.25">
      <c r="A2" s="11" t="s">
        <v>190</v>
      </c>
      <c r="B2" s="32"/>
      <c r="C2" s="76"/>
      <c r="D2" s="77"/>
      <c r="E2" s="32"/>
      <c r="F2" s="126" t="s">
        <v>106</v>
      </c>
      <c r="G2" s="32"/>
      <c r="H2" s="32"/>
      <c r="I2" s="32"/>
      <c r="J2" s="32"/>
      <c r="K2" s="32"/>
      <c r="L2" s="32"/>
      <c r="M2" s="11"/>
    </row>
    <row r="3" spans="1:27" ht="15" customHeight="1" x14ac:dyDescent="0.25">
      <c r="A3" s="23"/>
      <c r="B3" s="32"/>
      <c r="C3" s="32"/>
      <c r="D3" s="32"/>
      <c r="E3" s="32"/>
      <c r="F3" s="32"/>
      <c r="G3" s="32"/>
      <c r="H3" s="32"/>
      <c r="I3" s="32"/>
      <c r="J3" s="32"/>
      <c r="K3" s="32"/>
      <c r="L3" s="32"/>
      <c r="M3" s="11"/>
    </row>
    <row r="4" spans="1:27" x14ac:dyDescent="0.25">
      <c r="A4" s="10" t="s">
        <v>22</v>
      </c>
      <c r="B4" s="28">
        <v>0</v>
      </c>
      <c r="C4" s="28">
        <v>1</v>
      </c>
      <c r="D4" s="28">
        <v>2</v>
      </c>
      <c r="E4" s="28">
        <v>3</v>
      </c>
      <c r="F4" s="28">
        <v>4</v>
      </c>
      <c r="G4" s="28">
        <v>5</v>
      </c>
      <c r="H4" s="28">
        <v>6</v>
      </c>
      <c r="I4" s="28">
        <v>7</v>
      </c>
      <c r="J4" s="28">
        <v>8</v>
      </c>
      <c r="K4" s="28">
        <v>9</v>
      </c>
      <c r="L4" s="28">
        <v>10</v>
      </c>
      <c r="M4" s="28">
        <v>11</v>
      </c>
      <c r="N4" s="28">
        <v>12</v>
      </c>
      <c r="O4" s="28">
        <v>13</v>
      </c>
      <c r="P4" s="28">
        <v>14</v>
      </c>
      <c r="Q4" s="28">
        <v>15</v>
      </c>
      <c r="R4" s="28">
        <v>16</v>
      </c>
      <c r="S4" s="28">
        <v>17</v>
      </c>
      <c r="T4" s="28">
        <v>18</v>
      </c>
      <c r="U4" s="28">
        <v>19</v>
      </c>
      <c r="V4" s="28">
        <v>20</v>
      </c>
      <c r="W4" s="28">
        <v>21</v>
      </c>
      <c r="X4" s="28">
        <v>22</v>
      </c>
      <c r="Y4" s="28">
        <v>23</v>
      </c>
      <c r="Z4" s="28">
        <v>24</v>
      </c>
      <c r="AA4" s="28">
        <v>25</v>
      </c>
    </row>
    <row r="5" spans="1:27" x14ac:dyDescent="0.25">
      <c r="A5" s="24" t="s">
        <v>23</v>
      </c>
    </row>
    <row r="6" spans="1:27" x14ac:dyDescent="0.25">
      <c r="A6" s="10" t="s">
        <v>191</v>
      </c>
      <c r="B6" s="33">
        <f>Assumption_Fattening!D18*Assumption_Fattening!D147*Assumption_Fattening!D148*(1+Assumption_Fattening!D149)^Assumption_Fattening!D146</f>
        <v>0</v>
      </c>
      <c r="C6" s="33">
        <f>Assumption_Fattening!E18*Assumption_Fattening!E147*Assumption_Fattening!E148*(1+Assumption_Fattening!E149)^Assumption_Fattening!E146</f>
        <v>1216923.75</v>
      </c>
      <c r="D6" s="33">
        <f>Assumption_Fattening!F18*Assumption_Fattening!F147*Assumption_Fattening!F148*(1+Assumption_Fattening!F149)^Assumption_Fattening!F146</f>
        <v>4096976.625</v>
      </c>
      <c r="E6" s="174">
        <f>Assumption_Fattening!G18*Assumption_Fattening!G147*Assumption_Fattening!G148*(1+Assumption_Fattening!G149)^Assumption_Fattening!G146*(1+Assumption_Fattening!$X121)</f>
        <v>4497689.1056392966</v>
      </c>
      <c r="F6" s="33">
        <f>Assumption_Fattening!H18*Assumption_Fattening!H147*Assumption_Fattening!H148*(1+Assumption_Fattening!H149)^Assumption_Fattening!H146</f>
        <v>7940719.1248087501</v>
      </c>
      <c r="G6" s="33">
        <f>Assumption_Fattening!I18*Assumption_Fattening!I147*Assumption_Fattening!I148*(1+Assumption_Fattening!I149)^Assumption_Fattening!I146</f>
        <v>8442238.22742825</v>
      </c>
      <c r="H6" s="174">
        <f>Assumption_Fattening!J18*Assumption_Fattening!J147*Assumption_Fattening!J148*(1+Assumption_Fattening!J149)^Assumption_Fattening!J146*(1+Assumption_Fattening!$X121)</f>
        <v>5451733.6273285579</v>
      </c>
      <c r="I6" s="33">
        <f>Assumption_Fattening!K18*Assumption_Fattening!K147*Assumption_Fattening!K148*(1+Assumption_Fattening!K149)^Assumption_Fattening!K146</f>
        <v>8611927.215799557</v>
      </c>
      <c r="J6" s="33">
        <f>Assumption_Fattening!L18*Assumption_Fattening!L147*Assumption_Fattening!L148*(1+Assumption_Fattening!L149)^Assumption_Fattening!L146</f>
        <v>8698046.4879575539</v>
      </c>
      <c r="K6" s="174">
        <f>Assumption_Fattening!M18*Assumption_Fattening!M147*Assumption_Fattening!M148*(1+Assumption_Fattening!M149)^Assumption_Fattening!M146*(1+Assumption_Fattening!$X121)</f>
        <v>5616926.6079702405</v>
      </c>
      <c r="L6" s="33">
        <f>Assumption_Fattening!N18*Assumption_Fattening!N147*Assumption_Fattening!N148*(1+Assumption_Fattening!N149)^Assumption_Fattening!N146</f>
        <v>8872877.2223655023</v>
      </c>
      <c r="M6" s="33">
        <f>Assumption_Fattening!O18*Assumption_Fattening!O147*Assumption_Fattening!O148*(1+Assumption_Fattening!O149)^Assumption_Fattening!O146</f>
        <v>8961605.9945891555</v>
      </c>
      <c r="N6" s="174">
        <f>Assumption_Fattening!P18*Assumption_Fattening!P147*Assumption_Fattening!P148*(1+Assumption_Fattening!P149)^Assumption_Fattening!P146*(1+Assumption_Fattening!$X121)</f>
        <v>5787125.1011183457</v>
      </c>
      <c r="O6" s="33">
        <f>Assumption_Fattening!Q18*Assumption_Fattening!Q147*Assumption_Fattening!Q148*(1+Assumption_Fattening!Q149)^Assumption_Fattening!Q146</f>
        <v>9141734.2750803977</v>
      </c>
      <c r="P6" s="33">
        <f>Assumption_Fattening!R18*Assumption_Fattening!R147*Assumption_Fattening!R148*(1+Assumption_Fattening!R149)^Assumption_Fattening!R146</f>
        <v>9233151.6178312041</v>
      </c>
      <c r="Q6" s="174">
        <f>Assumption_Fattening!S18*Assumption_Fattening!S147*Assumption_Fattening!S148*(1+Assumption_Fattening!S149)^Assumption_Fattening!S146*(1+Assumption_Fattening!$X121)</f>
        <v>5962480.7788073327</v>
      </c>
      <c r="R6" s="33">
        <f>Assumption_Fattening!T18*Assumption_Fattening!T147*Assumption_Fattening!T148*(1+Assumption_Fattening!T149)^Assumption_Fattening!T146</f>
        <v>9418737.9653496109</v>
      </c>
      <c r="S6" s="33">
        <f>Assumption_Fattening!U18*Assumption_Fattening!U147*Assumption_Fattening!U148*(1+Assumption_Fattening!U149)^Assumption_Fattening!U146</f>
        <v>9512925.3450031076</v>
      </c>
      <c r="T6" s="174">
        <f>Assumption_Fattening!V18*Assumption_Fattening!V147*Assumption_Fattening!V148*(1+Assumption_Fattening!V149)^Assumption_Fattening!V146*(1+Assumption_Fattening!$X121)</f>
        <v>6143149.9088859754</v>
      </c>
      <c r="U6" s="33">
        <f>Assumption_Fattening!W18*Assumption_Fattening!W147*Assumption_Fattening!W148*(1+Assumption_Fattening!W149)^Assumption_Fattening!W146</f>
        <v>9704135.144437667</v>
      </c>
      <c r="V6" s="33">
        <f>Assumption_Fattening!X18*Assumption_Fattening!X147*Assumption_Fattening!X148*(1+Assumption_Fattening!X149)^Assumption_Fattening!X146</f>
        <v>9801176.4958820455</v>
      </c>
      <c r="W6" s="174">
        <f>Assumption_Fattening!Y18*Assumption_Fattening!Y147*Assumption_Fattening!Y148*(1+Assumption_Fattening!Y149)^Assumption_Fattening!Y146*(1+Assumption_Fattening!$X121)</f>
        <v>5379899.4701338587</v>
      </c>
      <c r="X6" s="33">
        <f>Assumption_Fattening!Z18*Assumption_Fattening!Z147*Assumption_Fattening!Z148*(1+Assumption_Fattening!Z149)^Assumption_Fattening!Z146</f>
        <v>4999090.0717246383</v>
      </c>
      <c r="Y6" s="33">
        <f>Assumption_Fattening!AA18*Assumption_Fattening!AA147*Assumption_Fattening!AA148*(1+Assumption_Fattening!AA149)^Assumption_Fattening!AA146</f>
        <v>1514724.291732565</v>
      </c>
      <c r="Z6" s="174">
        <f>Assumption_Fattening!AB18*Assumption_Fattening!AB147*Assumption_Fattening!AB148*(1+Assumption_Fattening!AB149)^Assumption_Fattening!AB146*(1+Assumption_Fattening!$X121)</f>
        <v>326053.87082225806</v>
      </c>
      <c r="AA6" s="33">
        <f>Assumption_Fattening!AC18*Assumption_Fattening!AC147*Assumption_Fattening!AC148*(1+Assumption_Fattening!AC149)^Assumption_Fattening!AC146</f>
        <v>0</v>
      </c>
    </row>
    <row r="7" spans="1:27" s="13" customFormat="1" x14ac:dyDescent="0.25">
      <c r="A7" s="24" t="s">
        <v>58</v>
      </c>
      <c r="B7" s="41">
        <f>B6</f>
        <v>0</v>
      </c>
      <c r="C7" s="41">
        <f t="shared" ref="C7:AA7" si="0">C6</f>
        <v>1216923.75</v>
      </c>
      <c r="D7" s="41">
        <f t="shared" si="0"/>
        <v>4096976.625</v>
      </c>
      <c r="E7" s="41">
        <f t="shared" si="0"/>
        <v>4497689.1056392966</v>
      </c>
      <c r="F7" s="41">
        <f t="shared" si="0"/>
        <v>7940719.1248087501</v>
      </c>
      <c r="G7" s="41">
        <f t="shared" si="0"/>
        <v>8442238.22742825</v>
      </c>
      <c r="H7" s="41">
        <f t="shared" si="0"/>
        <v>5451733.6273285579</v>
      </c>
      <c r="I7" s="41">
        <f t="shared" si="0"/>
        <v>8611927.215799557</v>
      </c>
      <c r="J7" s="41">
        <f t="shared" si="0"/>
        <v>8698046.4879575539</v>
      </c>
      <c r="K7" s="41">
        <f t="shared" si="0"/>
        <v>5616926.6079702405</v>
      </c>
      <c r="L7" s="41">
        <f t="shared" si="0"/>
        <v>8872877.2223655023</v>
      </c>
      <c r="M7" s="41">
        <f t="shared" si="0"/>
        <v>8961605.9945891555</v>
      </c>
      <c r="N7" s="41">
        <f t="shared" si="0"/>
        <v>5787125.1011183457</v>
      </c>
      <c r="O7" s="41">
        <f t="shared" si="0"/>
        <v>9141734.2750803977</v>
      </c>
      <c r="P7" s="41">
        <f t="shared" si="0"/>
        <v>9233151.6178312041</v>
      </c>
      <c r="Q7" s="41">
        <f t="shared" si="0"/>
        <v>5962480.7788073327</v>
      </c>
      <c r="R7" s="41">
        <f t="shared" si="0"/>
        <v>9418737.9653496109</v>
      </c>
      <c r="S7" s="41">
        <f t="shared" si="0"/>
        <v>9512925.3450031076</v>
      </c>
      <c r="T7" s="41">
        <f t="shared" si="0"/>
        <v>6143149.9088859754</v>
      </c>
      <c r="U7" s="41">
        <f t="shared" si="0"/>
        <v>9704135.144437667</v>
      </c>
      <c r="V7" s="41">
        <f t="shared" si="0"/>
        <v>9801176.4958820455</v>
      </c>
      <c r="W7" s="41">
        <f t="shared" si="0"/>
        <v>5379899.4701338587</v>
      </c>
      <c r="X7" s="41">
        <f t="shared" si="0"/>
        <v>4999090.0717246383</v>
      </c>
      <c r="Y7" s="41">
        <f t="shared" si="0"/>
        <v>1514724.291732565</v>
      </c>
      <c r="Z7" s="41">
        <f t="shared" si="0"/>
        <v>326053.87082225806</v>
      </c>
      <c r="AA7" s="41">
        <f t="shared" si="0"/>
        <v>0</v>
      </c>
    </row>
    <row r="8" spans="1:27" x14ac:dyDescent="0.25">
      <c r="A8" s="24"/>
      <c r="B8" s="44"/>
      <c r="C8" s="44"/>
      <c r="D8" s="44"/>
      <c r="E8" s="44"/>
      <c r="F8" s="44"/>
      <c r="G8" s="44"/>
      <c r="H8" s="44"/>
      <c r="I8" s="44"/>
      <c r="J8" s="44"/>
      <c r="K8" s="44"/>
    </row>
    <row r="9" spans="1:27" x14ac:dyDescent="0.25">
      <c r="A9" s="24" t="s">
        <v>24</v>
      </c>
    </row>
    <row r="10" spans="1:27" x14ac:dyDescent="0.25">
      <c r="A10" s="9" t="str">
        <f>Assumption_Fattening!B153</f>
        <v>Crab Farm Establishment</v>
      </c>
      <c r="B10" s="35">
        <f>Assumption_Fattening!D153*Assumption_Fattening!D16</f>
        <v>0</v>
      </c>
      <c r="C10" s="35">
        <f>Assumption_Fattening!E153*Assumption_Fattening!E16</f>
        <v>900000</v>
      </c>
      <c r="D10" s="35">
        <f>Assumption_Fattening!F153*Assumption_Fattening!F16</f>
        <v>2100000</v>
      </c>
      <c r="E10" s="35">
        <f>Assumption_Fattening!G153*Assumption_Fattening!G16</f>
        <v>2100000</v>
      </c>
      <c r="F10" s="35">
        <f>Assumption_Fattening!H153*Assumption_Fattening!H16</f>
        <v>600000</v>
      </c>
      <c r="G10" s="35">
        <f>Assumption_Fattening!I153*Assumption_Fattening!I16</f>
        <v>300000</v>
      </c>
      <c r="H10" s="35">
        <f>Assumption_Fattening!J153*Assumption_Fattening!J16</f>
        <v>0</v>
      </c>
      <c r="I10" s="35">
        <f>Assumption_Fattening!K153*Assumption_Fattening!K16</f>
        <v>0</v>
      </c>
      <c r="J10" s="35">
        <f>Assumption_Fattening!L153*Assumption_Fattening!L16</f>
        <v>0</v>
      </c>
      <c r="K10" s="35">
        <f>Assumption_Fattening!M153*Assumption_Fattening!M16</f>
        <v>0</v>
      </c>
      <c r="L10" s="35">
        <f>Assumption_Fattening!N153*Assumption_Fattening!N16</f>
        <v>0</v>
      </c>
      <c r="M10" s="35">
        <f>Assumption_Fattening!O153*Assumption_Fattening!O16</f>
        <v>0</v>
      </c>
      <c r="N10" s="35">
        <f>Assumption_Fattening!P153*Assumption_Fattening!P16</f>
        <v>0</v>
      </c>
      <c r="O10" s="35">
        <f>Assumption_Fattening!Q153*Assumption_Fattening!Q16</f>
        <v>0</v>
      </c>
      <c r="P10" s="35">
        <f>Assumption_Fattening!R153*Assumption_Fattening!R16</f>
        <v>0</v>
      </c>
      <c r="Q10" s="35">
        <f>Assumption_Fattening!S153*Assumption_Fattening!S16</f>
        <v>0</v>
      </c>
      <c r="R10" s="35">
        <f>Assumption_Fattening!T153*Assumption_Fattening!T16</f>
        <v>0</v>
      </c>
      <c r="S10" s="35">
        <f>Assumption_Fattening!U153*Assumption_Fattening!U16</f>
        <v>0</v>
      </c>
      <c r="T10" s="35">
        <f>Assumption_Fattening!V153*Assumption_Fattening!V16</f>
        <v>0</v>
      </c>
      <c r="U10" s="35">
        <f>Assumption_Fattening!W153*Assumption_Fattening!W16</f>
        <v>0</v>
      </c>
      <c r="V10" s="35">
        <f>Assumption_Fattening!X153*Assumption_Fattening!X16</f>
        <v>0</v>
      </c>
      <c r="W10" s="35">
        <f>Assumption_Fattening!Y153*Assumption_Fattening!Y16</f>
        <v>0</v>
      </c>
      <c r="X10" s="35">
        <f>Assumption_Fattening!Z153*Assumption_Fattening!Z16</f>
        <v>0</v>
      </c>
      <c r="Y10" s="35">
        <f>Assumption_Fattening!AA153*Assumption_Fattening!AA16</f>
        <v>0</v>
      </c>
      <c r="Z10" s="35">
        <f>Assumption_Fattening!AB153*Assumption_Fattening!AB16</f>
        <v>0</v>
      </c>
      <c r="AA10" s="35">
        <f>Assumption_Fattening!AC153*Assumption_Fattening!AC16</f>
        <v>0</v>
      </c>
    </row>
    <row r="11" spans="1:27" x14ac:dyDescent="0.25">
      <c r="A11" s="9" t="str">
        <f>Assumption_Fattening!B154</f>
        <v>Operation Cost (Small crab purchase)</v>
      </c>
      <c r="B11" s="35">
        <f>Assumption_Fattening!D18*Assumption_Fattening!D154</f>
        <v>0</v>
      </c>
      <c r="C11" s="35">
        <f>Assumption_Fattening!E18*Assumption_Fattening!E154</f>
        <v>118125.00000000001</v>
      </c>
      <c r="D11" s="35">
        <f>Assumption_Fattening!F18*Assumption_Fattening!F154</f>
        <v>393750.00000000006</v>
      </c>
      <c r="E11" s="35">
        <f>Assumption_Fattening!G18*Assumption_Fattening!G154</f>
        <v>669375.00000000012</v>
      </c>
      <c r="F11" s="35">
        <f>Assumption_Fattening!H18*Assumption_Fattening!H154</f>
        <v>748125.00000000012</v>
      </c>
      <c r="G11" s="35">
        <f>Assumption_Fattening!I18*Assumption_Fattening!I154</f>
        <v>787500.00000000012</v>
      </c>
      <c r="H11" s="35">
        <f>Assumption_Fattening!J18*Assumption_Fattening!J154</f>
        <v>787500.00000000012</v>
      </c>
      <c r="I11" s="35">
        <f>Assumption_Fattening!K18*Assumption_Fattening!K154</f>
        <v>787500.00000000012</v>
      </c>
      <c r="J11" s="35">
        <f>Assumption_Fattening!L18*Assumption_Fattening!L154</f>
        <v>787500.00000000012</v>
      </c>
      <c r="K11" s="35">
        <f>Assumption_Fattening!M18*Assumption_Fattening!M154</f>
        <v>787500.00000000012</v>
      </c>
      <c r="L11" s="35">
        <f>Assumption_Fattening!N18*Assumption_Fattening!N154</f>
        <v>787500.00000000012</v>
      </c>
      <c r="M11" s="35">
        <f>Assumption_Fattening!O18*Assumption_Fattening!O154</f>
        <v>787500.00000000012</v>
      </c>
      <c r="N11" s="35">
        <f>Assumption_Fattening!P18*Assumption_Fattening!P154</f>
        <v>787500.00000000012</v>
      </c>
      <c r="O11" s="35">
        <f>Assumption_Fattening!Q18*Assumption_Fattening!Q154</f>
        <v>787500.00000000012</v>
      </c>
      <c r="P11" s="35">
        <f>Assumption_Fattening!R18*Assumption_Fattening!R154</f>
        <v>787500.00000000012</v>
      </c>
      <c r="Q11" s="35">
        <f>Assumption_Fattening!S18*Assumption_Fattening!S154</f>
        <v>787500.00000000012</v>
      </c>
      <c r="R11" s="35">
        <f>Assumption_Fattening!T18*Assumption_Fattening!T154</f>
        <v>787500.00000000012</v>
      </c>
      <c r="S11" s="35">
        <f>Assumption_Fattening!U18*Assumption_Fattening!U154</f>
        <v>787500.00000000012</v>
      </c>
      <c r="T11" s="35">
        <f>Assumption_Fattening!V18*Assumption_Fattening!V154</f>
        <v>787500.00000000012</v>
      </c>
      <c r="U11" s="35">
        <f>Assumption_Fattening!W18*Assumption_Fattening!W154</f>
        <v>787500.00000000012</v>
      </c>
      <c r="V11" s="35">
        <f>Assumption_Fattening!X18*Assumption_Fattening!X154</f>
        <v>787500.00000000012</v>
      </c>
      <c r="W11" s="35">
        <f>Assumption_Fattening!Y18*Assumption_Fattening!Y154</f>
        <v>669375.00000000012</v>
      </c>
      <c r="X11" s="35">
        <f>Assumption_Fattening!Z18*Assumption_Fattening!Z154</f>
        <v>393750.00000000006</v>
      </c>
      <c r="Y11" s="35">
        <f>Assumption_Fattening!AA18*Assumption_Fattening!AA154</f>
        <v>118125.00000000001</v>
      </c>
      <c r="Z11" s="35">
        <f>Assumption_Fattening!AB18*Assumption_Fattening!AB154</f>
        <v>39375.000000000007</v>
      </c>
      <c r="AA11" s="35">
        <f>Assumption_Fattening!AC18*Assumption_Fattening!AC154</f>
        <v>0</v>
      </c>
    </row>
    <row r="12" spans="1:27" x14ac:dyDescent="0.25">
      <c r="A12" s="9" t="str">
        <f>Assumption_Fattening!B155</f>
        <v>Maintenance</v>
      </c>
      <c r="B12" s="35">
        <f>Assumption_Fattening!D18*Assumption_Fattening!D155</f>
        <v>0</v>
      </c>
      <c r="C12" s="35">
        <f>Assumption_Fattening!E18*Assumption_Fattening!E155</f>
        <v>420000</v>
      </c>
      <c r="D12" s="35">
        <f>Assumption_Fattening!F18*Assumption_Fattening!F155</f>
        <v>1400000</v>
      </c>
      <c r="E12" s="175">
        <f>Assumption_Fattening!G18*Assumption_Fattening!G155*(1+Assumption_Fattening!$X129)</f>
        <v>2512328</v>
      </c>
      <c r="F12" s="35">
        <f>Assumption_Fattening!H18*Assumption_Fattening!H155</f>
        <v>2660000</v>
      </c>
      <c r="G12" s="35">
        <f>Assumption_Fattening!I18*Assumption_Fattening!I155</f>
        <v>2800000</v>
      </c>
      <c r="H12" s="175">
        <f>Assumption_Fattening!J18*Assumption_Fattening!J155*(1+Assumption_Fattening!$X129)</f>
        <v>2955680</v>
      </c>
      <c r="I12" s="35">
        <f>Assumption_Fattening!K18*Assumption_Fattening!K155</f>
        <v>2800000</v>
      </c>
      <c r="J12" s="35">
        <f>Assumption_Fattening!L18*Assumption_Fattening!L155</f>
        <v>2800000</v>
      </c>
      <c r="K12" s="175">
        <f>Assumption_Fattening!M18*Assumption_Fattening!M155*(1+Assumption_Fattening!$X129)</f>
        <v>2955680</v>
      </c>
      <c r="L12" s="35">
        <f>Assumption_Fattening!N18*Assumption_Fattening!N155</f>
        <v>2800000</v>
      </c>
      <c r="M12" s="35">
        <f>Assumption_Fattening!O18*Assumption_Fattening!O155</f>
        <v>2800000</v>
      </c>
      <c r="N12" s="175">
        <f>Assumption_Fattening!P18*Assumption_Fattening!P155*(1+Assumption_Fattening!$X129)</f>
        <v>2955680</v>
      </c>
      <c r="O12" s="35">
        <f>Assumption_Fattening!Q18*Assumption_Fattening!Q155</f>
        <v>2800000</v>
      </c>
      <c r="P12" s="35">
        <f>Assumption_Fattening!R18*Assumption_Fattening!R155</f>
        <v>2800000</v>
      </c>
      <c r="Q12" s="175">
        <f>Assumption_Fattening!S18*Assumption_Fattening!S155*(1+Assumption_Fattening!$X129)</f>
        <v>2955680</v>
      </c>
      <c r="R12" s="35">
        <f>Assumption_Fattening!T18*Assumption_Fattening!T155</f>
        <v>2800000</v>
      </c>
      <c r="S12" s="35">
        <f>Assumption_Fattening!U18*Assumption_Fattening!U155</f>
        <v>2800000</v>
      </c>
      <c r="T12" s="175">
        <f>Assumption_Fattening!V18*Assumption_Fattening!V155*(1+Assumption_Fattening!$X129)</f>
        <v>2955680</v>
      </c>
      <c r="U12" s="35">
        <f>Assumption_Fattening!W18*Assumption_Fattening!W155</f>
        <v>2800000</v>
      </c>
      <c r="V12" s="35">
        <f>Assumption_Fattening!X18*Assumption_Fattening!X155</f>
        <v>2800000</v>
      </c>
      <c r="W12" s="175">
        <f>Assumption_Fattening!Y18*Assumption_Fattening!Y155*(1+Assumption_Fattening!$X129)</f>
        <v>2512328</v>
      </c>
      <c r="X12" s="35">
        <f>Assumption_Fattening!Z18*Assumption_Fattening!Z155</f>
        <v>1400000</v>
      </c>
      <c r="Y12" s="35">
        <f>Assumption_Fattening!AA18*Assumption_Fattening!AA155</f>
        <v>420000</v>
      </c>
      <c r="Z12" s="175">
        <f>Assumption_Fattening!AB18*Assumption_Fattening!AB155*(1+Assumption_Fattening!$X129)</f>
        <v>147784</v>
      </c>
      <c r="AA12" s="35">
        <f>Assumption_Fattening!AC18*Assumption_Fattening!AC155</f>
        <v>0</v>
      </c>
    </row>
    <row r="13" spans="1:27" x14ac:dyDescent="0.25">
      <c r="A13" s="9" t="str">
        <f>Assumption_Fattening!B156</f>
        <v>Feed</v>
      </c>
      <c r="B13" s="35">
        <f>Assumption_Fattening!D18*Assumption_Fattening!D156</f>
        <v>0</v>
      </c>
      <c r="C13" s="35">
        <f>Assumption_Fattening!E18*Assumption_Fattening!E156</f>
        <v>450000</v>
      </c>
      <c r="D13" s="35">
        <f>Assumption_Fattening!F18*Assumption_Fattening!F156</f>
        <v>1500000</v>
      </c>
      <c r="E13" s="175">
        <f>Assumption_Fattening!G18*Assumption_Fattening!G156*(1+Assumption_Fattening!$X130)</f>
        <v>2878312.5</v>
      </c>
      <c r="F13" s="35">
        <f>Assumption_Fattening!H18*Assumption_Fattening!H156</f>
        <v>2850000</v>
      </c>
      <c r="G13" s="35">
        <f>Assumption_Fattening!I18*Assumption_Fattening!I156</f>
        <v>3000000</v>
      </c>
      <c r="H13" s="175">
        <f>Assumption_Fattening!J18*Assumption_Fattening!J156*(1+Assumption_Fattening!$X130)</f>
        <v>3386250</v>
      </c>
      <c r="I13" s="35">
        <f>Assumption_Fattening!K18*Assumption_Fattening!K156</f>
        <v>3000000</v>
      </c>
      <c r="J13" s="35">
        <f>Assumption_Fattening!L18*Assumption_Fattening!L156</f>
        <v>3000000</v>
      </c>
      <c r="K13" s="175">
        <f>Assumption_Fattening!M18*Assumption_Fattening!M156*(1+Assumption_Fattening!$X130)</f>
        <v>3386250</v>
      </c>
      <c r="L13" s="35">
        <f>Assumption_Fattening!N18*Assumption_Fattening!N156</f>
        <v>3000000</v>
      </c>
      <c r="M13" s="35">
        <f>Assumption_Fattening!O18*Assumption_Fattening!O156</f>
        <v>3000000</v>
      </c>
      <c r="N13" s="175">
        <f>Assumption_Fattening!P18*Assumption_Fattening!P156*(1+Assumption_Fattening!$X130)</f>
        <v>3386250</v>
      </c>
      <c r="O13" s="35">
        <f>Assumption_Fattening!Q18*Assumption_Fattening!Q156</f>
        <v>3000000</v>
      </c>
      <c r="P13" s="35">
        <f>Assumption_Fattening!R18*Assumption_Fattening!R156</f>
        <v>3000000</v>
      </c>
      <c r="Q13" s="175">
        <f>Assumption_Fattening!S18*Assumption_Fattening!S156*(1+Assumption_Fattening!$X130)</f>
        <v>3386250</v>
      </c>
      <c r="R13" s="35">
        <f>Assumption_Fattening!T18*Assumption_Fattening!T156</f>
        <v>3000000</v>
      </c>
      <c r="S13" s="35">
        <f>Assumption_Fattening!U18*Assumption_Fattening!U156</f>
        <v>3000000</v>
      </c>
      <c r="T13" s="175">
        <f>Assumption_Fattening!V18*Assumption_Fattening!V156*(1+Assumption_Fattening!$X130)</f>
        <v>3386250</v>
      </c>
      <c r="U13" s="35">
        <f>Assumption_Fattening!W18*Assumption_Fattening!W156</f>
        <v>3000000</v>
      </c>
      <c r="V13" s="35">
        <f>Assumption_Fattening!X18*Assumption_Fattening!X156</f>
        <v>3000000</v>
      </c>
      <c r="W13" s="175">
        <f>Assumption_Fattening!Y18*Assumption_Fattening!Y156*(1+Assumption_Fattening!$X130)</f>
        <v>2878312.5</v>
      </c>
      <c r="X13" s="35">
        <f>Assumption_Fattening!Z18*Assumption_Fattening!Z156</f>
        <v>1500000</v>
      </c>
      <c r="Y13" s="35">
        <f>Assumption_Fattening!AA18*Assumption_Fattening!AA156</f>
        <v>450000</v>
      </c>
      <c r="Z13" s="175">
        <f>Assumption_Fattening!AB18*Assumption_Fattening!AB156*(1+Assumption_Fattening!$X130)</f>
        <v>169312.5</v>
      </c>
      <c r="AA13" s="35">
        <f>Assumption_Fattening!AC18*Assumption_Fattening!AC156</f>
        <v>0</v>
      </c>
    </row>
    <row r="14" spans="1:27" s="54" customFormat="1" x14ac:dyDescent="0.25">
      <c r="A14" s="56" t="s">
        <v>156</v>
      </c>
      <c r="B14" s="53">
        <f>Assumption_Fattening!D43</f>
        <v>0</v>
      </c>
      <c r="C14" s="53">
        <f>Assumption_Fattening!E43</f>
        <v>1692600</v>
      </c>
      <c r="D14" s="53">
        <f>Assumption_Fattening!F43</f>
        <v>3949400</v>
      </c>
      <c r="E14" s="53">
        <f>Assumption_Fattening!G43</f>
        <v>3949400</v>
      </c>
      <c r="F14" s="53">
        <f>Assumption_Fattening!H43</f>
        <v>1128400</v>
      </c>
      <c r="G14" s="53">
        <f>Assumption_Fattening!I43</f>
        <v>564200</v>
      </c>
      <c r="H14" s="53">
        <f>Assumption_Fattening!J43</f>
        <v>0</v>
      </c>
      <c r="I14" s="53">
        <f>Assumption_Fattening!K43</f>
        <v>0</v>
      </c>
      <c r="J14" s="53">
        <f>Assumption_Fattening!L43</f>
        <v>0</v>
      </c>
      <c r="K14" s="53">
        <f>Assumption_Fattening!M43</f>
        <v>0</v>
      </c>
      <c r="L14" s="53">
        <f>Assumption_Fattening!N43</f>
        <v>0</v>
      </c>
      <c r="M14" s="53">
        <f>Assumption_Fattening!O43</f>
        <v>0</v>
      </c>
      <c r="N14" s="53">
        <f>Assumption_Fattening!P43</f>
        <v>0</v>
      </c>
      <c r="O14" s="53">
        <f>Assumption_Fattening!Q43</f>
        <v>0</v>
      </c>
      <c r="P14" s="53">
        <f>Assumption_Fattening!R43</f>
        <v>0</v>
      </c>
      <c r="Q14" s="53">
        <f>Assumption_Fattening!S43</f>
        <v>0</v>
      </c>
      <c r="R14" s="53">
        <f>Assumption_Fattening!T43</f>
        <v>0</v>
      </c>
      <c r="S14" s="53">
        <f>Assumption_Fattening!U43</f>
        <v>0</v>
      </c>
      <c r="T14" s="53">
        <f>Assumption_Fattening!V43</f>
        <v>0</v>
      </c>
      <c r="U14" s="53">
        <f>Assumption_Fattening!W43</f>
        <v>0</v>
      </c>
      <c r="V14" s="53">
        <f>Assumption_Fattening!X43</f>
        <v>0</v>
      </c>
      <c r="W14" s="53">
        <f>Assumption_Fattening!Y43</f>
        <v>0</v>
      </c>
      <c r="X14" s="53">
        <f>Assumption_Fattening!Z43</f>
        <v>0</v>
      </c>
      <c r="Y14" s="53">
        <f>Assumption_Fattening!AA43</f>
        <v>0</v>
      </c>
      <c r="Z14" s="53">
        <f>Assumption_Fattening!AB43</f>
        <v>0</v>
      </c>
      <c r="AA14" s="53">
        <f>Assumption_Fattening!AC43</f>
        <v>0</v>
      </c>
    </row>
    <row r="15" spans="1:27" x14ac:dyDescent="0.25">
      <c r="A15" s="127" t="s">
        <v>59</v>
      </c>
      <c r="B15" s="40">
        <f t="shared" ref="B15:AA15" si="1">SUM(B10:B14)</f>
        <v>0</v>
      </c>
      <c r="C15" s="40">
        <f t="shared" si="1"/>
        <v>3580725</v>
      </c>
      <c r="D15" s="40">
        <f t="shared" si="1"/>
        <v>9343150</v>
      </c>
      <c r="E15" s="40">
        <f t="shared" si="1"/>
        <v>12109415.5</v>
      </c>
      <c r="F15" s="40">
        <f t="shared" si="1"/>
        <v>7986525</v>
      </c>
      <c r="G15" s="40">
        <f t="shared" si="1"/>
        <v>7451700</v>
      </c>
      <c r="H15" s="40">
        <f t="shared" si="1"/>
        <v>7129430</v>
      </c>
      <c r="I15" s="40">
        <f t="shared" si="1"/>
        <v>6587500</v>
      </c>
      <c r="J15" s="40">
        <f t="shared" si="1"/>
        <v>6587500</v>
      </c>
      <c r="K15" s="40">
        <f t="shared" si="1"/>
        <v>7129430</v>
      </c>
      <c r="L15" s="40">
        <f t="shared" si="1"/>
        <v>6587500</v>
      </c>
      <c r="M15" s="40">
        <f t="shared" si="1"/>
        <v>6587500</v>
      </c>
      <c r="N15" s="40">
        <f t="shared" si="1"/>
        <v>7129430</v>
      </c>
      <c r="O15" s="40">
        <f t="shared" si="1"/>
        <v>6587500</v>
      </c>
      <c r="P15" s="40">
        <f t="shared" si="1"/>
        <v>6587500</v>
      </c>
      <c r="Q15" s="40">
        <f t="shared" si="1"/>
        <v>7129430</v>
      </c>
      <c r="R15" s="40">
        <f t="shared" si="1"/>
        <v>6587500</v>
      </c>
      <c r="S15" s="40">
        <f t="shared" si="1"/>
        <v>6587500</v>
      </c>
      <c r="T15" s="40">
        <f t="shared" si="1"/>
        <v>7129430</v>
      </c>
      <c r="U15" s="40">
        <f t="shared" si="1"/>
        <v>6587500</v>
      </c>
      <c r="V15" s="40">
        <f t="shared" si="1"/>
        <v>6587500</v>
      </c>
      <c r="W15" s="40">
        <f t="shared" si="1"/>
        <v>6060015.5</v>
      </c>
      <c r="X15" s="40">
        <f t="shared" si="1"/>
        <v>3293750</v>
      </c>
      <c r="Y15" s="40">
        <f t="shared" si="1"/>
        <v>988125</v>
      </c>
      <c r="Z15" s="40">
        <f t="shared" si="1"/>
        <v>356471.5</v>
      </c>
      <c r="AA15" s="40">
        <f t="shared" si="1"/>
        <v>0</v>
      </c>
    </row>
    <row r="16" spans="1:27" x14ac:dyDescent="0.25">
      <c r="B16" s="34"/>
      <c r="C16" s="34"/>
      <c r="D16" s="34"/>
      <c r="E16" s="34"/>
      <c r="F16" s="34"/>
      <c r="G16" s="34"/>
      <c r="H16" s="34"/>
      <c r="I16" s="34"/>
      <c r="J16" s="34"/>
      <c r="K16" s="34"/>
      <c r="L16" s="34"/>
    </row>
    <row r="17" spans="1:27" x14ac:dyDescent="0.25">
      <c r="A17" s="24" t="s">
        <v>60</v>
      </c>
      <c r="B17" s="36">
        <f t="shared" ref="B17:AA17" si="2">B7-B15</f>
        <v>0</v>
      </c>
      <c r="C17" s="36">
        <f t="shared" si="2"/>
        <v>-2363801.25</v>
      </c>
      <c r="D17" s="36">
        <f t="shared" si="2"/>
        <v>-5246173.375</v>
      </c>
      <c r="E17" s="36">
        <f t="shared" si="2"/>
        <v>-7611726.3943607034</v>
      </c>
      <c r="F17" s="36">
        <f t="shared" si="2"/>
        <v>-45805.875191249885</v>
      </c>
      <c r="G17" s="36">
        <f t="shared" si="2"/>
        <v>990538.22742825001</v>
      </c>
      <c r="H17" s="36">
        <f t="shared" si="2"/>
        <v>-1677696.3726714421</v>
      </c>
      <c r="I17" s="36">
        <f t="shared" si="2"/>
        <v>2024427.215799557</v>
      </c>
      <c r="J17" s="36">
        <f t="shared" si="2"/>
        <v>2110546.4879575539</v>
      </c>
      <c r="K17" s="36">
        <f t="shared" si="2"/>
        <v>-1512503.3920297595</v>
      </c>
      <c r="L17" s="36">
        <f t="shared" si="2"/>
        <v>2285377.2223655023</v>
      </c>
      <c r="M17" s="36">
        <f t="shared" si="2"/>
        <v>2374105.9945891555</v>
      </c>
      <c r="N17" s="36">
        <f t="shared" si="2"/>
        <v>-1342304.8988816543</v>
      </c>
      <c r="O17" s="36">
        <f t="shared" si="2"/>
        <v>2554234.2750803977</v>
      </c>
      <c r="P17" s="36">
        <f t="shared" si="2"/>
        <v>2645651.6178312041</v>
      </c>
      <c r="Q17" s="36">
        <f t="shared" si="2"/>
        <v>-1166949.2211926673</v>
      </c>
      <c r="R17" s="36">
        <f t="shared" si="2"/>
        <v>2831237.9653496109</v>
      </c>
      <c r="S17" s="36">
        <f t="shared" si="2"/>
        <v>2925425.3450031076</v>
      </c>
      <c r="T17" s="36">
        <f t="shared" si="2"/>
        <v>-986280.09111402463</v>
      </c>
      <c r="U17" s="36">
        <f t="shared" si="2"/>
        <v>3116635.144437667</v>
      </c>
      <c r="V17" s="36">
        <f t="shared" si="2"/>
        <v>3213676.4958820455</v>
      </c>
      <c r="W17" s="36">
        <f t="shared" si="2"/>
        <v>-680116.02986614127</v>
      </c>
      <c r="X17" s="36">
        <f t="shared" si="2"/>
        <v>1705340.0717246383</v>
      </c>
      <c r="Y17" s="36">
        <f t="shared" si="2"/>
        <v>526599.29173256503</v>
      </c>
      <c r="Z17" s="36">
        <f t="shared" si="2"/>
        <v>-30417.629177741939</v>
      </c>
      <c r="AA17" s="36">
        <f t="shared" si="2"/>
        <v>0</v>
      </c>
    </row>
    <row r="18" spans="1:27" x14ac:dyDescent="0.25">
      <c r="B18" s="34"/>
      <c r="C18" s="34"/>
      <c r="D18" s="34"/>
      <c r="E18" s="34"/>
      <c r="F18" s="34"/>
      <c r="G18" s="34"/>
      <c r="H18" s="34"/>
      <c r="I18" s="34"/>
      <c r="J18" s="34"/>
      <c r="K18" s="34"/>
      <c r="L18" s="34"/>
    </row>
    <row r="19" spans="1:27" s="13" customFormat="1" x14ac:dyDescent="0.25">
      <c r="A19" s="24" t="s">
        <v>61</v>
      </c>
      <c r="B19" s="42">
        <f>B17/(1+Assumption_Hatchery!$C76)^B4</f>
        <v>0</v>
      </c>
      <c r="C19" s="42">
        <f>C17/(1+Assumption_Hatchery!$C76)^C4</f>
        <v>-2168625</v>
      </c>
      <c r="D19" s="42">
        <f>D17/(1+Assumption_Hatchery!$C76)^D4</f>
        <v>-4415599.1709452057</v>
      </c>
      <c r="E19" s="42">
        <f>E17/(1+Assumption_Hatchery!$C76)^E4</f>
        <v>-5877649.3764701039</v>
      </c>
      <c r="F19" s="42">
        <f>F17/(1+Assumption_Hatchery!$C76)^F4</f>
        <v>-32450.036800387246</v>
      </c>
      <c r="G19" s="42">
        <f>G17/(1+Assumption_Hatchery!$C76)^G4</f>
        <v>643781.88333394821</v>
      </c>
      <c r="H19" s="42">
        <f>H17/(1+Assumption_Hatchery!$C76)^H4</f>
        <v>-1000355.5314477575</v>
      </c>
      <c r="I19" s="42">
        <f>I17/(1+Assumption_Hatchery!$C76)^I4</f>
        <v>1107431.0132351699</v>
      </c>
      <c r="J19" s="42">
        <f>J17/(1+Assumption_Hatchery!$C76)^J4</f>
        <v>1059212.1139876842</v>
      </c>
      <c r="K19" s="42">
        <f>K17/(1+Assumption_Hatchery!$C76)^K4</f>
        <v>-696398.57830313547</v>
      </c>
      <c r="L19" s="42">
        <f>L17/(1+Assumption_Hatchery!$C76)^L4</f>
        <v>965368.03656044009</v>
      </c>
      <c r="M19" s="42">
        <f>M17/(1+Assumption_Hatchery!$C76)^M4</f>
        <v>920044.06314706174</v>
      </c>
      <c r="N19" s="42">
        <f>N17/(1+Assumption_Hatchery!$C76)^N4</f>
        <v>-477236.00322921952</v>
      </c>
      <c r="O19" s="42">
        <f>O17/(1+Assumption_Hatchery!$C76)^O4</f>
        <v>833136.67967075307</v>
      </c>
      <c r="P19" s="42">
        <f>P17/(1+Assumption_Hatchery!$C76)^P4</f>
        <v>791701.8943403234</v>
      </c>
      <c r="Q19" s="42">
        <f>Q17/(1+Assumption_Hatchery!$C76)^Q4</f>
        <v>-320371.95349810307</v>
      </c>
      <c r="R19" s="42">
        <f>R17/(1+Assumption_Hatchery!$C76)^R4</f>
        <v>713103.23440221918</v>
      </c>
      <c r="S19" s="42">
        <f>S17/(1+Assumption_Hatchery!$C76)^S4</f>
        <v>675987.32785531937</v>
      </c>
      <c r="T19" s="42">
        <f>T17/(1+Assumption_Hatchery!$C76)^T4</f>
        <v>-209085.20535105205</v>
      </c>
      <c r="U19" s="42">
        <f>U17/(1+Assumption_Hatchery!$C76)^U4</f>
        <v>606153.34032407997</v>
      </c>
      <c r="V19" s="42">
        <f>V17/(1+Assumption_Hatchery!$C76)^V4</f>
        <v>573419.15663259139</v>
      </c>
      <c r="W19" s="42">
        <f>W17/(1+Assumption_Hatchery!$C76)^W4</f>
        <v>-111333.67739834722</v>
      </c>
      <c r="X19" s="42">
        <f>X17/(1+Assumption_Hatchery!$C76)^X4</f>
        <v>256110.888291543</v>
      </c>
      <c r="Y19" s="42">
        <f>Y17/(1+Assumption_Hatchery!$C76)^Y4</f>
        <v>72555.579977400645</v>
      </c>
      <c r="Z19" s="42">
        <f>Z17/(1+Assumption_Hatchery!$C76)^Z4</f>
        <v>-3844.9386141064419</v>
      </c>
      <c r="AA19" s="42">
        <f>AA17/(1+Assumption_Hatchery!$C76)^AA4</f>
        <v>0</v>
      </c>
    </row>
    <row r="20" spans="1:27" x14ac:dyDescent="0.25">
      <c r="B20" s="34"/>
      <c r="C20" s="34"/>
      <c r="D20" s="34"/>
      <c r="E20" s="34"/>
      <c r="F20" s="34"/>
      <c r="G20" s="34"/>
      <c r="H20" s="34"/>
      <c r="I20" s="34"/>
      <c r="J20" s="34"/>
      <c r="K20" s="34"/>
      <c r="L20" s="34"/>
    </row>
    <row r="21" spans="1:27" s="13" customFormat="1" x14ac:dyDescent="0.25">
      <c r="A21" s="26" t="s">
        <v>62</v>
      </c>
      <c r="B21" s="37">
        <f>NPV(Assumption_Hatchery!C76,C17:Z17)+B17</f>
        <v>-6094944.2602988854</v>
      </c>
      <c r="C21" s="43"/>
      <c r="D21" s="43"/>
      <c r="E21" s="43"/>
      <c r="F21" s="43"/>
      <c r="G21" s="43"/>
      <c r="H21" s="43"/>
      <c r="I21" s="43"/>
      <c r="J21" s="43"/>
      <c r="K21" s="43"/>
      <c r="L21" s="43"/>
    </row>
    <row r="23" spans="1:27" s="13" customFormat="1" x14ac:dyDescent="0.25">
      <c r="A23" s="26" t="s">
        <v>25</v>
      </c>
      <c r="B23" s="38">
        <f>IRR(B17:Z17)</f>
        <v>2.9154210083468746E-2</v>
      </c>
      <c r="C23" s="4"/>
      <c r="D23" s="4"/>
      <c r="E23" s="4"/>
      <c r="F23" s="4"/>
      <c r="G23" s="4"/>
      <c r="H23" s="4"/>
      <c r="I23" s="4"/>
      <c r="J23" s="4"/>
      <c r="K23" s="4"/>
      <c r="L23" s="4"/>
    </row>
    <row r="25" spans="1:27" s="13" customFormat="1" x14ac:dyDescent="0.25">
      <c r="A25" s="27" t="s">
        <v>63</v>
      </c>
      <c r="B25" s="39">
        <f>B19</f>
        <v>0</v>
      </c>
      <c r="C25" s="39">
        <f>B25+C19</f>
        <v>-2168625</v>
      </c>
      <c r="D25" s="39">
        <f t="shared" ref="D25:AA25" si="3">C25+D19</f>
        <v>-6584224.1709452057</v>
      </c>
      <c r="E25" s="39">
        <f t="shared" si="3"/>
        <v>-12461873.547415309</v>
      </c>
      <c r="F25" s="39">
        <f t="shared" si="3"/>
        <v>-12494323.584215695</v>
      </c>
      <c r="G25" s="39">
        <f t="shared" si="3"/>
        <v>-11850541.700881748</v>
      </c>
      <c r="H25" s="39">
        <f t="shared" si="3"/>
        <v>-12850897.232329505</v>
      </c>
      <c r="I25" s="39">
        <f t="shared" si="3"/>
        <v>-11743466.219094334</v>
      </c>
      <c r="J25" s="39">
        <f t="shared" si="3"/>
        <v>-10684254.10510665</v>
      </c>
      <c r="K25" s="39">
        <f t="shared" si="3"/>
        <v>-11380652.683409786</v>
      </c>
      <c r="L25" s="39">
        <f t="shared" si="3"/>
        <v>-10415284.646849345</v>
      </c>
      <c r="M25" s="39">
        <f t="shared" si="3"/>
        <v>-9495240.583702283</v>
      </c>
      <c r="N25" s="39">
        <f t="shared" si="3"/>
        <v>-9972476.5869315024</v>
      </c>
      <c r="O25" s="39">
        <f t="shared" si="3"/>
        <v>-9139339.9072607495</v>
      </c>
      <c r="P25" s="39">
        <f t="shared" si="3"/>
        <v>-8347638.0129204262</v>
      </c>
      <c r="Q25" s="39">
        <f t="shared" si="3"/>
        <v>-8668009.9664185289</v>
      </c>
      <c r="R25" s="39">
        <f t="shared" si="3"/>
        <v>-7954906.7320163101</v>
      </c>
      <c r="S25" s="39">
        <f t="shared" si="3"/>
        <v>-7278919.4041609904</v>
      </c>
      <c r="T25" s="39">
        <f t="shared" si="3"/>
        <v>-7488004.6095120423</v>
      </c>
      <c r="U25" s="39">
        <f t="shared" si="3"/>
        <v>-6881851.2691879626</v>
      </c>
      <c r="V25" s="39">
        <f t="shared" si="3"/>
        <v>-6308432.1125553716</v>
      </c>
      <c r="W25" s="39">
        <f t="shared" si="3"/>
        <v>-6419765.7899537189</v>
      </c>
      <c r="X25" s="39">
        <f t="shared" si="3"/>
        <v>-6163654.9016621755</v>
      </c>
      <c r="Y25" s="39">
        <f t="shared" si="3"/>
        <v>-6091099.3216847749</v>
      </c>
      <c r="Z25" s="39">
        <f t="shared" si="3"/>
        <v>-6094944.2602988817</v>
      </c>
      <c r="AA25" s="39">
        <f t="shared" si="3"/>
        <v>-6094944.2602988817</v>
      </c>
    </row>
    <row r="27" spans="1:27" s="1" customFormat="1" x14ac:dyDescent="0.25">
      <c r="A27" s="25"/>
      <c r="B27" s="45"/>
      <c r="C27" s="45"/>
      <c r="D27" s="45"/>
      <c r="E27" s="45"/>
      <c r="F27" s="45"/>
      <c r="G27" s="45"/>
      <c r="H27" s="45"/>
      <c r="I27" s="45"/>
      <c r="J27" s="45"/>
      <c r="K27" s="45"/>
      <c r="L27" s="45"/>
    </row>
    <row r="29" spans="1:27" ht="38.25" customHeight="1" x14ac:dyDescent="0.25">
      <c r="A29" s="11" t="str">
        <f>A2</f>
        <v>Aggregate Financial Analysis-Crab Fattening</v>
      </c>
      <c r="B29" s="32"/>
      <c r="C29" s="76"/>
      <c r="D29" s="77"/>
      <c r="E29" s="32"/>
      <c r="F29" s="126" t="s">
        <v>105</v>
      </c>
      <c r="G29" s="32"/>
      <c r="H29" s="32"/>
      <c r="I29" s="32"/>
      <c r="J29" s="32"/>
      <c r="K29" s="32"/>
      <c r="L29" s="32"/>
      <c r="M29" s="11"/>
    </row>
    <row r="30" spans="1:27" ht="38.25" customHeight="1" x14ac:dyDescent="0.25">
      <c r="A30" s="11"/>
      <c r="B30" s="32"/>
      <c r="C30" s="76"/>
      <c r="D30" s="77"/>
      <c r="E30" s="32"/>
      <c r="F30" s="126"/>
      <c r="G30" s="32"/>
      <c r="H30" s="32"/>
      <c r="I30" s="32"/>
      <c r="J30" s="32"/>
      <c r="K30" s="32"/>
      <c r="L30" s="32"/>
      <c r="M30" s="11"/>
    </row>
    <row r="31" spans="1:27" x14ac:dyDescent="0.25">
      <c r="A31" s="10" t="s">
        <v>22</v>
      </c>
      <c r="B31" s="28">
        <v>0</v>
      </c>
      <c r="C31" s="28">
        <v>1</v>
      </c>
      <c r="D31" s="28">
        <v>2</v>
      </c>
      <c r="E31" s="28">
        <v>3</v>
      </c>
      <c r="F31" s="28">
        <v>4</v>
      </c>
      <c r="G31" s="28">
        <v>5</v>
      </c>
      <c r="H31" s="28">
        <v>6</v>
      </c>
      <c r="I31" s="28">
        <v>7</v>
      </c>
      <c r="J31" s="28">
        <v>8</v>
      </c>
      <c r="K31" s="28">
        <v>9</v>
      </c>
      <c r="L31" s="28">
        <v>10</v>
      </c>
      <c r="M31" s="28">
        <v>11</v>
      </c>
      <c r="N31" s="28">
        <v>12</v>
      </c>
      <c r="O31" s="28">
        <v>13</v>
      </c>
      <c r="P31" s="28">
        <v>14</v>
      </c>
      <c r="Q31" s="28">
        <v>15</v>
      </c>
      <c r="R31" s="28">
        <v>16</v>
      </c>
      <c r="S31" s="28">
        <v>17</v>
      </c>
      <c r="T31" s="28">
        <v>18</v>
      </c>
      <c r="U31" s="28">
        <v>19</v>
      </c>
      <c r="V31" s="28">
        <v>20</v>
      </c>
      <c r="W31" s="28">
        <v>21</v>
      </c>
      <c r="X31" s="28">
        <v>22</v>
      </c>
      <c r="Y31" s="28">
        <v>23</v>
      </c>
      <c r="Z31" s="28">
        <v>24</v>
      </c>
      <c r="AA31" s="28">
        <v>25</v>
      </c>
    </row>
    <row r="32" spans="1:27" x14ac:dyDescent="0.25">
      <c r="A32" s="24" t="s">
        <v>23</v>
      </c>
    </row>
    <row r="33" spans="1:27" x14ac:dyDescent="0.25">
      <c r="A33" s="10" t="str">
        <f t="shared" ref="A33:AA34" si="4">A6</f>
        <v>Crab Sale ($)</v>
      </c>
      <c r="B33" s="33">
        <f t="shared" si="4"/>
        <v>0</v>
      </c>
      <c r="C33" s="33">
        <f t="shared" si="4"/>
        <v>1216923.75</v>
      </c>
      <c r="D33" s="33">
        <f t="shared" si="4"/>
        <v>4096976.625</v>
      </c>
      <c r="E33" s="33">
        <f t="shared" si="4"/>
        <v>4497689.1056392966</v>
      </c>
      <c r="F33" s="33">
        <f t="shared" si="4"/>
        <v>7940719.1248087501</v>
      </c>
      <c r="G33" s="33">
        <f t="shared" si="4"/>
        <v>8442238.22742825</v>
      </c>
      <c r="H33" s="33">
        <f t="shared" si="4"/>
        <v>5451733.6273285579</v>
      </c>
      <c r="I33" s="33">
        <f t="shared" si="4"/>
        <v>8611927.215799557</v>
      </c>
      <c r="J33" s="33">
        <f t="shared" si="4"/>
        <v>8698046.4879575539</v>
      </c>
      <c r="K33" s="33">
        <f t="shared" si="4"/>
        <v>5616926.6079702405</v>
      </c>
      <c r="L33" s="33">
        <f t="shared" si="4"/>
        <v>8872877.2223655023</v>
      </c>
      <c r="M33" s="33">
        <f t="shared" si="4"/>
        <v>8961605.9945891555</v>
      </c>
      <c r="N33" s="33">
        <f t="shared" si="4"/>
        <v>5787125.1011183457</v>
      </c>
      <c r="O33" s="33">
        <f t="shared" si="4"/>
        <v>9141734.2750803977</v>
      </c>
      <c r="P33" s="33">
        <f t="shared" si="4"/>
        <v>9233151.6178312041</v>
      </c>
      <c r="Q33" s="33">
        <f t="shared" si="4"/>
        <v>5962480.7788073327</v>
      </c>
      <c r="R33" s="33">
        <f t="shared" si="4"/>
        <v>9418737.9653496109</v>
      </c>
      <c r="S33" s="33">
        <f t="shared" si="4"/>
        <v>9512925.3450031076</v>
      </c>
      <c r="T33" s="33">
        <f t="shared" si="4"/>
        <v>6143149.9088859754</v>
      </c>
      <c r="U33" s="33">
        <f t="shared" si="4"/>
        <v>9704135.144437667</v>
      </c>
      <c r="V33" s="33">
        <f t="shared" si="4"/>
        <v>9801176.4958820455</v>
      </c>
      <c r="W33" s="33">
        <f t="shared" si="4"/>
        <v>5379899.4701338587</v>
      </c>
      <c r="X33" s="33">
        <f t="shared" si="4"/>
        <v>4999090.0717246383</v>
      </c>
      <c r="Y33" s="33">
        <f t="shared" si="4"/>
        <v>1514724.291732565</v>
      </c>
      <c r="Z33" s="33">
        <f t="shared" si="4"/>
        <v>326053.87082225806</v>
      </c>
      <c r="AA33" s="33">
        <f t="shared" si="4"/>
        <v>0</v>
      </c>
    </row>
    <row r="34" spans="1:27" s="13" customFormat="1" x14ac:dyDescent="0.25">
      <c r="A34" s="24" t="s">
        <v>58</v>
      </c>
      <c r="B34" s="41">
        <f>B7</f>
        <v>0</v>
      </c>
      <c r="C34" s="41">
        <f t="shared" si="4"/>
        <v>1216923.75</v>
      </c>
      <c r="D34" s="41">
        <f t="shared" si="4"/>
        <v>4096976.625</v>
      </c>
      <c r="E34" s="41">
        <f t="shared" si="4"/>
        <v>4497689.1056392966</v>
      </c>
      <c r="F34" s="41">
        <f t="shared" si="4"/>
        <v>7940719.1248087501</v>
      </c>
      <c r="G34" s="41">
        <f t="shared" si="4"/>
        <v>8442238.22742825</v>
      </c>
      <c r="H34" s="41">
        <f t="shared" si="4"/>
        <v>5451733.6273285579</v>
      </c>
      <c r="I34" s="41">
        <f t="shared" si="4"/>
        <v>8611927.215799557</v>
      </c>
      <c r="J34" s="41">
        <f t="shared" si="4"/>
        <v>8698046.4879575539</v>
      </c>
      <c r="K34" s="41">
        <f t="shared" si="4"/>
        <v>5616926.6079702405</v>
      </c>
      <c r="L34" s="41">
        <f t="shared" si="4"/>
        <v>8872877.2223655023</v>
      </c>
      <c r="M34" s="41">
        <f t="shared" si="4"/>
        <v>8961605.9945891555</v>
      </c>
      <c r="N34" s="41">
        <f t="shared" si="4"/>
        <v>5787125.1011183457</v>
      </c>
      <c r="O34" s="41">
        <f t="shared" si="4"/>
        <v>9141734.2750803977</v>
      </c>
      <c r="P34" s="41">
        <f t="shared" si="4"/>
        <v>9233151.6178312041</v>
      </c>
      <c r="Q34" s="41">
        <f t="shared" si="4"/>
        <v>5962480.7788073327</v>
      </c>
      <c r="R34" s="41">
        <f t="shared" si="4"/>
        <v>9418737.9653496109</v>
      </c>
      <c r="S34" s="41">
        <f t="shared" si="4"/>
        <v>9512925.3450031076</v>
      </c>
      <c r="T34" s="41">
        <f t="shared" si="4"/>
        <v>6143149.9088859754</v>
      </c>
      <c r="U34" s="41">
        <f t="shared" si="4"/>
        <v>9704135.144437667</v>
      </c>
      <c r="V34" s="41">
        <f t="shared" si="4"/>
        <v>9801176.4958820455</v>
      </c>
      <c r="W34" s="41">
        <f t="shared" si="4"/>
        <v>5379899.4701338587</v>
      </c>
      <c r="X34" s="41">
        <f t="shared" si="4"/>
        <v>4999090.0717246383</v>
      </c>
      <c r="Y34" s="41">
        <f t="shared" si="4"/>
        <v>1514724.291732565</v>
      </c>
      <c r="Z34" s="41">
        <f t="shared" si="4"/>
        <v>326053.87082225806</v>
      </c>
      <c r="AA34" s="41">
        <f t="shared" si="4"/>
        <v>0</v>
      </c>
    </row>
    <row r="35" spans="1:27" x14ac:dyDescent="0.25">
      <c r="A35" s="24"/>
      <c r="B35" s="44"/>
      <c r="C35" s="44"/>
      <c r="D35" s="44"/>
      <c r="E35" s="44"/>
      <c r="F35" s="44"/>
      <c r="G35" s="44"/>
      <c r="H35" s="44"/>
      <c r="I35" s="44"/>
      <c r="J35" s="44"/>
      <c r="K35" s="44"/>
    </row>
    <row r="36" spans="1:27" x14ac:dyDescent="0.25">
      <c r="A36" s="24" t="s">
        <v>24</v>
      </c>
    </row>
    <row r="37" spans="1:27" x14ac:dyDescent="0.25">
      <c r="A37" s="9" t="str">
        <f t="shared" ref="A37:AA41" si="5">A10</f>
        <v>Crab Farm Establishment</v>
      </c>
      <c r="B37" s="35">
        <f t="shared" si="5"/>
        <v>0</v>
      </c>
      <c r="C37" s="35">
        <f t="shared" si="5"/>
        <v>900000</v>
      </c>
      <c r="D37" s="35">
        <f t="shared" si="5"/>
        <v>2100000</v>
      </c>
      <c r="E37" s="35">
        <f t="shared" si="5"/>
        <v>2100000</v>
      </c>
      <c r="F37" s="35">
        <f t="shared" si="5"/>
        <v>600000</v>
      </c>
      <c r="G37" s="35">
        <f t="shared" si="5"/>
        <v>300000</v>
      </c>
      <c r="H37" s="35">
        <f t="shared" si="5"/>
        <v>0</v>
      </c>
      <c r="I37" s="35">
        <f t="shared" si="5"/>
        <v>0</v>
      </c>
      <c r="J37" s="35">
        <f t="shared" si="5"/>
        <v>0</v>
      </c>
      <c r="K37" s="35">
        <f t="shared" si="5"/>
        <v>0</v>
      </c>
      <c r="L37" s="35">
        <f t="shared" si="5"/>
        <v>0</v>
      </c>
      <c r="M37" s="35">
        <f t="shared" si="5"/>
        <v>0</v>
      </c>
      <c r="N37" s="35">
        <f t="shared" si="5"/>
        <v>0</v>
      </c>
      <c r="O37" s="35">
        <f t="shared" si="5"/>
        <v>0</v>
      </c>
      <c r="P37" s="35">
        <f t="shared" si="5"/>
        <v>0</v>
      </c>
      <c r="Q37" s="35">
        <f t="shared" si="5"/>
        <v>0</v>
      </c>
      <c r="R37" s="35">
        <f t="shared" si="5"/>
        <v>0</v>
      </c>
      <c r="S37" s="35">
        <f t="shared" si="5"/>
        <v>0</v>
      </c>
      <c r="T37" s="35">
        <f t="shared" si="5"/>
        <v>0</v>
      </c>
      <c r="U37" s="35">
        <f t="shared" si="5"/>
        <v>0</v>
      </c>
      <c r="V37" s="35">
        <f t="shared" si="5"/>
        <v>0</v>
      </c>
      <c r="W37" s="35">
        <f t="shared" si="5"/>
        <v>0</v>
      </c>
      <c r="X37" s="35">
        <f t="shared" si="5"/>
        <v>0</v>
      </c>
      <c r="Y37" s="35">
        <f t="shared" si="5"/>
        <v>0</v>
      </c>
      <c r="Z37" s="35">
        <f t="shared" si="5"/>
        <v>0</v>
      </c>
      <c r="AA37" s="35">
        <f t="shared" si="5"/>
        <v>0</v>
      </c>
    </row>
    <row r="38" spans="1:27" x14ac:dyDescent="0.25">
      <c r="A38" s="9" t="str">
        <f t="shared" si="5"/>
        <v>Operation Cost (Small crab purchase)</v>
      </c>
      <c r="B38" s="35">
        <f t="shared" si="5"/>
        <v>0</v>
      </c>
      <c r="C38" s="35">
        <f t="shared" si="5"/>
        <v>118125.00000000001</v>
      </c>
      <c r="D38" s="35">
        <f t="shared" si="5"/>
        <v>393750.00000000006</v>
      </c>
      <c r="E38" s="35">
        <f t="shared" si="5"/>
        <v>669375.00000000012</v>
      </c>
      <c r="F38" s="35">
        <f t="shared" si="5"/>
        <v>748125.00000000012</v>
      </c>
      <c r="G38" s="35">
        <f t="shared" si="5"/>
        <v>787500.00000000012</v>
      </c>
      <c r="H38" s="35">
        <f t="shared" si="5"/>
        <v>787500.00000000012</v>
      </c>
      <c r="I38" s="35">
        <f t="shared" si="5"/>
        <v>787500.00000000012</v>
      </c>
      <c r="J38" s="35">
        <f t="shared" si="5"/>
        <v>787500.00000000012</v>
      </c>
      <c r="K38" s="35">
        <f t="shared" si="5"/>
        <v>787500.00000000012</v>
      </c>
      <c r="L38" s="35">
        <f t="shared" si="5"/>
        <v>787500.00000000012</v>
      </c>
      <c r="M38" s="35">
        <f t="shared" si="5"/>
        <v>787500.00000000012</v>
      </c>
      <c r="N38" s="35">
        <f t="shared" si="5"/>
        <v>787500.00000000012</v>
      </c>
      <c r="O38" s="35">
        <f t="shared" si="5"/>
        <v>787500.00000000012</v>
      </c>
      <c r="P38" s="35">
        <f t="shared" si="5"/>
        <v>787500.00000000012</v>
      </c>
      <c r="Q38" s="35">
        <f t="shared" si="5"/>
        <v>787500.00000000012</v>
      </c>
      <c r="R38" s="35">
        <f t="shared" si="5"/>
        <v>787500.00000000012</v>
      </c>
      <c r="S38" s="35">
        <f t="shared" si="5"/>
        <v>787500.00000000012</v>
      </c>
      <c r="T38" s="35">
        <f t="shared" si="5"/>
        <v>787500.00000000012</v>
      </c>
      <c r="U38" s="35">
        <f t="shared" si="5"/>
        <v>787500.00000000012</v>
      </c>
      <c r="V38" s="35">
        <f t="shared" si="5"/>
        <v>787500.00000000012</v>
      </c>
      <c r="W38" s="35">
        <f t="shared" si="5"/>
        <v>669375.00000000012</v>
      </c>
      <c r="X38" s="35">
        <f t="shared" si="5"/>
        <v>393750.00000000006</v>
      </c>
      <c r="Y38" s="35">
        <f t="shared" si="5"/>
        <v>118125.00000000001</v>
      </c>
      <c r="Z38" s="35">
        <f t="shared" si="5"/>
        <v>39375.000000000007</v>
      </c>
      <c r="AA38" s="35">
        <f t="shared" si="5"/>
        <v>0</v>
      </c>
    </row>
    <row r="39" spans="1:27" x14ac:dyDescent="0.25">
      <c r="A39" s="9" t="str">
        <f t="shared" si="5"/>
        <v>Maintenance</v>
      </c>
      <c r="B39" s="35">
        <f t="shared" si="5"/>
        <v>0</v>
      </c>
      <c r="C39" s="35">
        <f t="shared" si="5"/>
        <v>420000</v>
      </c>
      <c r="D39" s="35">
        <f t="shared" si="5"/>
        <v>1400000</v>
      </c>
      <c r="E39" s="35">
        <f t="shared" si="5"/>
        <v>2512328</v>
      </c>
      <c r="F39" s="35">
        <f t="shared" si="5"/>
        <v>2660000</v>
      </c>
      <c r="G39" s="35">
        <f t="shared" si="5"/>
        <v>2800000</v>
      </c>
      <c r="H39" s="35">
        <f t="shared" si="5"/>
        <v>2955680</v>
      </c>
      <c r="I39" s="35">
        <f t="shared" si="5"/>
        <v>2800000</v>
      </c>
      <c r="J39" s="35">
        <f t="shared" si="5"/>
        <v>2800000</v>
      </c>
      <c r="K39" s="35">
        <f t="shared" si="5"/>
        <v>2955680</v>
      </c>
      <c r="L39" s="35">
        <f t="shared" si="5"/>
        <v>2800000</v>
      </c>
      <c r="M39" s="35">
        <f t="shared" si="5"/>
        <v>2800000</v>
      </c>
      <c r="N39" s="35">
        <f t="shared" si="5"/>
        <v>2955680</v>
      </c>
      <c r="O39" s="35">
        <f t="shared" si="5"/>
        <v>2800000</v>
      </c>
      <c r="P39" s="35">
        <f t="shared" si="5"/>
        <v>2800000</v>
      </c>
      <c r="Q39" s="35">
        <f t="shared" si="5"/>
        <v>2955680</v>
      </c>
      <c r="R39" s="35">
        <f t="shared" si="5"/>
        <v>2800000</v>
      </c>
      <c r="S39" s="35">
        <f t="shared" si="5"/>
        <v>2800000</v>
      </c>
      <c r="T39" s="35">
        <f t="shared" si="5"/>
        <v>2955680</v>
      </c>
      <c r="U39" s="35">
        <f t="shared" si="5"/>
        <v>2800000</v>
      </c>
      <c r="V39" s="35">
        <f t="shared" si="5"/>
        <v>2800000</v>
      </c>
      <c r="W39" s="35">
        <f t="shared" si="5"/>
        <v>2512328</v>
      </c>
      <c r="X39" s="35">
        <f t="shared" si="5"/>
        <v>1400000</v>
      </c>
      <c r="Y39" s="35">
        <f t="shared" si="5"/>
        <v>420000</v>
      </c>
      <c r="Z39" s="35">
        <f t="shared" si="5"/>
        <v>147784</v>
      </c>
      <c r="AA39" s="35">
        <f t="shared" si="5"/>
        <v>0</v>
      </c>
    </row>
    <row r="40" spans="1:27" x14ac:dyDescent="0.25">
      <c r="A40" s="9" t="str">
        <f t="shared" si="5"/>
        <v>Feed</v>
      </c>
      <c r="B40" s="35">
        <f t="shared" si="5"/>
        <v>0</v>
      </c>
      <c r="C40" s="35">
        <f t="shared" si="5"/>
        <v>450000</v>
      </c>
      <c r="D40" s="35">
        <f t="shared" si="5"/>
        <v>1500000</v>
      </c>
      <c r="E40" s="35">
        <f t="shared" si="5"/>
        <v>2878312.5</v>
      </c>
      <c r="F40" s="35">
        <f t="shared" si="5"/>
        <v>2850000</v>
      </c>
      <c r="G40" s="35">
        <f t="shared" si="5"/>
        <v>3000000</v>
      </c>
      <c r="H40" s="35">
        <f t="shared" si="5"/>
        <v>3386250</v>
      </c>
      <c r="I40" s="35">
        <f t="shared" si="5"/>
        <v>3000000</v>
      </c>
      <c r="J40" s="35">
        <f t="shared" si="5"/>
        <v>3000000</v>
      </c>
      <c r="K40" s="35">
        <f t="shared" si="5"/>
        <v>3386250</v>
      </c>
      <c r="L40" s="35">
        <f t="shared" si="5"/>
        <v>3000000</v>
      </c>
      <c r="M40" s="35">
        <f t="shared" si="5"/>
        <v>3000000</v>
      </c>
      <c r="N40" s="35">
        <f t="shared" si="5"/>
        <v>3386250</v>
      </c>
      <c r="O40" s="35">
        <f t="shared" si="5"/>
        <v>3000000</v>
      </c>
      <c r="P40" s="35">
        <f t="shared" si="5"/>
        <v>3000000</v>
      </c>
      <c r="Q40" s="35">
        <f t="shared" si="5"/>
        <v>3386250</v>
      </c>
      <c r="R40" s="35">
        <f t="shared" si="5"/>
        <v>3000000</v>
      </c>
      <c r="S40" s="35">
        <f t="shared" si="5"/>
        <v>3000000</v>
      </c>
      <c r="T40" s="35">
        <f t="shared" si="5"/>
        <v>3386250</v>
      </c>
      <c r="U40" s="35">
        <f t="shared" si="5"/>
        <v>3000000</v>
      </c>
      <c r="V40" s="35">
        <f t="shared" si="5"/>
        <v>3000000</v>
      </c>
      <c r="W40" s="35">
        <f t="shared" si="5"/>
        <v>2878312.5</v>
      </c>
      <c r="X40" s="35">
        <f t="shared" si="5"/>
        <v>1500000</v>
      </c>
      <c r="Y40" s="35">
        <f t="shared" si="5"/>
        <v>450000</v>
      </c>
      <c r="Z40" s="35">
        <f t="shared" si="5"/>
        <v>169312.5</v>
      </c>
      <c r="AA40" s="35">
        <f t="shared" si="5"/>
        <v>0</v>
      </c>
    </row>
    <row r="41" spans="1:27" s="54" customFormat="1" x14ac:dyDescent="0.25">
      <c r="A41" s="56" t="str">
        <f t="shared" si="5"/>
        <v>Debt Service</v>
      </c>
      <c r="B41" s="53">
        <f>Assumption_Fattening!D53</f>
        <v>0</v>
      </c>
      <c r="C41" s="53">
        <f>Assumption_Fattening!E53</f>
        <v>576600</v>
      </c>
      <c r="D41" s="53">
        <f>Assumption_Fattening!F53</f>
        <v>1345400</v>
      </c>
      <c r="E41" s="53">
        <f>Assumption_Fattening!G53</f>
        <v>1345400</v>
      </c>
      <c r="F41" s="53">
        <f>Assumption_Fattening!H53</f>
        <v>384400</v>
      </c>
      <c r="G41" s="53">
        <f>Assumption_Fattening!I53</f>
        <v>192200</v>
      </c>
      <c r="H41" s="53">
        <f>Assumption_Fattening!J53</f>
        <v>0</v>
      </c>
      <c r="I41" s="53">
        <f>Assumption_Fattening!K53</f>
        <v>0</v>
      </c>
      <c r="J41" s="53">
        <f>Assumption_Fattening!L53</f>
        <v>0</v>
      </c>
      <c r="K41" s="53">
        <f>Assumption_Fattening!M53</f>
        <v>0</v>
      </c>
      <c r="L41" s="53">
        <f>Assumption_Fattening!N53</f>
        <v>0</v>
      </c>
      <c r="M41" s="53">
        <f>Assumption_Fattening!O53</f>
        <v>0</v>
      </c>
      <c r="N41" s="53">
        <f>Assumption_Fattening!P53</f>
        <v>0</v>
      </c>
      <c r="O41" s="53">
        <f>Assumption_Fattening!Q53</f>
        <v>0</v>
      </c>
      <c r="P41" s="53">
        <f>Assumption_Fattening!R53</f>
        <v>0</v>
      </c>
      <c r="Q41" s="53">
        <f>Assumption_Fattening!S53</f>
        <v>0</v>
      </c>
      <c r="R41" s="53">
        <f>Assumption_Fattening!T53</f>
        <v>0</v>
      </c>
      <c r="S41" s="53">
        <f>Assumption_Fattening!U53</f>
        <v>0</v>
      </c>
      <c r="T41" s="53">
        <f>Assumption_Fattening!V53</f>
        <v>0</v>
      </c>
      <c r="U41" s="53">
        <f>Assumption_Fattening!W53</f>
        <v>0</v>
      </c>
      <c r="V41" s="53">
        <f>Assumption_Fattening!X53</f>
        <v>0</v>
      </c>
      <c r="W41" s="53">
        <f>Assumption_Fattening!Y53</f>
        <v>0</v>
      </c>
      <c r="X41" s="53">
        <f>Assumption_Fattening!Z53</f>
        <v>0</v>
      </c>
      <c r="Y41" s="53">
        <f>Assumption_Fattening!AA53</f>
        <v>0</v>
      </c>
      <c r="Z41" s="53">
        <f>Assumption_Fattening!AB53</f>
        <v>0</v>
      </c>
      <c r="AA41" s="53">
        <f>Assumption_Fattening!AC53</f>
        <v>0</v>
      </c>
    </row>
    <row r="42" spans="1:27" x14ac:dyDescent="0.25">
      <c r="A42" s="127" t="s">
        <v>59</v>
      </c>
      <c r="B42" s="40">
        <f t="shared" ref="B42:AA42" si="6">SUM(B37:B41)</f>
        <v>0</v>
      </c>
      <c r="C42" s="40">
        <f t="shared" si="6"/>
        <v>2464725</v>
      </c>
      <c r="D42" s="40">
        <f t="shared" si="6"/>
        <v>6739150</v>
      </c>
      <c r="E42" s="40">
        <f t="shared" si="6"/>
        <v>9505415.5</v>
      </c>
      <c r="F42" s="40">
        <f t="shared" si="6"/>
        <v>7242525</v>
      </c>
      <c r="G42" s="40">
        <f t="shared" si="6"/>
        <v>7079700</v>
      </c>
      <c r="H42" s="40">
        <f t="shared" si="6"/>
        <v>7129430</v>
      </c>
      <c r="I42" s="40">
        <f t="shared" si="6"/>
        <v>6587500</v>
      </c>
      <c r="J42" s="40">
        <f t="shared" si="6"/>
        <v>6587500</v>
      </c>
      <c r="K42" s="40">
        <f t="shared" si="6"/>
        <v>7129430</v>
      </c>
      <c r="L42" s="40">
        <f t="shared" si="6"/>
        <v>6587500</v>
      </c>
      <c r="M42" s="40">
        <f t="shared" si="6"/>
        <v>6587500</v>
      </c>
      <c r="N42" s="40">
        <f t="shared" si="6"/>
        <v>7129430</v>
      </c>
      <c r="O42" s="40">
        <f t="shared" si="6"/>
        <v>6587500</v>
      </c>
      <c r="P42" s="40">
        <f t="shared" si="6"/>
        <v>6587500</v>
      </c>
      <c r="Q42" s="40">
        <f t="shared" si="6"/>
        <v>7129430</v>
      </c>
      <c r="R42" s="40">
        <f t="shared" si="6"/>
        <v>6587500</v>
      </c>
      <c r="S42" s="40">
        <f t="shared" si="6"/>
        <v>6587500</v>
      </c>
      <c r="T42" s="40">
        <f t="shared" si="6"/>
        <v>7129430</v>
      </c>
      <c r="U42" s="40">
        <f t="shared" si="6"/>
        <v>6587500</v>
      </c>
      <c r="V42" s="40">
        <f t="shared" si="6"/>
        <v>6587500</v>
      </c>
      <c r="W42" s="40">
        <f t="shared" si="6"/>
        <v>6060015.5</v>
      </c>
      <c r="X42" s="40">
        <f t="shared" si="6"/>
        <v>3293750</v>
      </c>
      <c r="Y42" s="40">
        <f t="shared" si="6"/>
        <v>988125</v>
      </c>
      <c r="Z42" s="40">
        <f t="shared" si="6"/>
        <v>356471.5</v>
      </c>
      <c r="AA42" s="40">
        <f t="shared" si="6"/>
        <v>0</v>
      </c>
    </row>
    <row r="43" spans="1:27" x14ac:dyDescent="0.25">
      <c r="B43" s="34"/>
      <c r="C43" s="34"/>
      <c r="D43" s="34"/>
      <c r="E43" s="34"/>
      <c r="F43" s="34"/>
      <c r="G43" s="34"/>
      <c r="H43" s="34"/>
      <c r="I43" s="34"/>
      <c r="J43" s="34"/>
      <c r="K43" s="34"/>
      <c r="L43" s="34"/>
    </row>
    <row r="44" spans="1:27" x14ac:dyDescent="0.25">
      <c r="A44" s="24" t="s">
        <v>60</v>
      </c>
      <c r="B44" s="36">
        <f t="shared" ref="B44:AA44" si="7">B34-B42</f>
        <v>0</v>
      </c>
      <c r="C44" s="36">
        <f t="shared" si="7"/>
        <v>-1247801.25</v>
      </c>
      <c r="D44" s="36">
        <f t="shared" si="7"/>
        <v>-2642173.375</v>
      </c>
      <c r="E44" s="36">
        <f t="shared" si="7"/>
        <v>-5007726.3943607034</v>
      </c>
      <c r="F44" s="36">
        <f t="shared" si="7"/>
        <v>698194.12480875012</v>
      </c>
      <c r="G44" s="36">
        <f t="shared" si="7"/>
        <v>1362538.22742825</v>
      </c>
      <c r="H44" s="36">
        <f t="shared" si="7"/>
        <v>-1677696.3726714421</v>
      </c>
      <c r="I44" s="36">
        <f t="shared" si="7"/>
        <v>2024427.215799557</v>
      </c>
      <c r="J44" s="36">
        <f t="shared" si="7"/>
        <v>2110546.4879575539</v>
      </c>
      <c r="K44" s="36">
        <f t="shared" si="7"/>
        <v>-1512503.3920297595</v>
      </c>
      <c r="L44" s="36">
        <f t="shared" si="7"/>
        <v>2285377.2223655023</v>
      </c>
      <c r="M44" s="36">
        <f t="shared" si="7"/>
        <v>2374105.9945891555</v>
      </c>
      <c r="N44" s="36">
        <f t="shared" si="7"/>
        <v>-1342304.8988816543</v>
      </c>
      <c r="O44" s="36">
        <f t="shared" si="7"/>
        <v>2554234.2750803977</v>
      </c>
      <c r="P44" s="36">
        <f t="shared" si="7"/>
        <v>2645651.6178312041</v>
      </c>
      <c r="Q44" s="36">
        <f t="shared" si="7"/>
        <v>-1166949.2211926673</v>
      </c>
      <c r="R44" s="36">
        <f t="shared" si="7"/>
        <v>2831237.9653496109</v>
      </c>
      <c r="S44" s="36">
        <f t="shared" si="7"/>
        <v>2925425.3450031076</v>
      </c>
      <c r="T44" s="36">
        <f t="shared" si="7"/>
        <v>-986280.09111402463</v>
      </c>
      <c r="U44" s="36">
        <f t="shared" si="7"/>
        <v>3116635.144437667</v>
      </c>
      <c r="V44" s="36">
        <f t="shared" si="7"/>
        <v>3213676.4958820455</v>
      </c>
      <c r="W44" s="36">
        <f t="shared" si="7"/>
        <v>-680116.02986614127</v>
      </c>
      <c r="X44" s="36">
        <f t="shared" si="7"/>
        <v>1705340.0717246383</v>
      </c>
      <c r="Y44" s="36">
        <f t="shared" si="7"/>
        <v>526599.29173256503</v>
      </c>
      <c r="Z44" s="36">
        <f t="shared" si="7"/>
        <v>-30417.629177741939</v>
      </c>
      <c r="AA44" s="36">
        <f t="shared" si="7"/>
        <v>0</v>
      </c>
    </row>
    <row r="45" spans="1:27" x14ac:dyDescent="0.25">
      <c r="B45" s="34"/>
      <c r="C45" s="34"/>
      <c r="D45" s="34"/>
      <c r="E45" s="34"/>
      <c r="F45" s="34"/>
      <c r="G45" s="34"/>
      <c r="H45" s="34"/>
      <c r="I45" s="34"/>
      <c r="J45" s="34"/>
      <c r="K45" s="34"/>
      <c r="L45" s="34"/>
    </row>
    <row r="46" spans="1:27" s="13" customFormat="1" x14ac:dyDescent="0.25">
      <c r="A46" s="24" t="s">
        <v>61</v>
      </c>
      <c r="B46" s="42">
        <f>B44/(1+Assumption_Hatchery!$C76)^B31</f>
        <v>0</v>
      </c>
      <c r="C46" s="42">
        <f>C44/(1+Assumption_Hatchery!$C76)^C31</f>
        <v>-1144771.7889908256</v>
      </c>
      <c r="D46" s="42">
        <f>D44/(1+Assumption_Hatchery!$C76)^D31</f>
        <v>-2223864.4684790839</v>
      </c>
      <c r="E46" s="42">
        <f>E44/(1+Assumption_Hatchery!$C76)^E31</f>
        <v>-3866883.5943910927</v>
      </c>
      <c r="F46" s="42">
        <f>F44/(1+Assumption_Hatchery!$C76)^F31</f>
        <v>494618.32023211889</v>
      </c>
      <c r="G46" s="42">
        <f>G44/(1+Assumption_Hatchery!$C76)^G31</f>
        <v>885556.35903693258</v>
      </c>
      <c r="H46" s="42">
        <f>H44/(1+Assumption_Hatchery!$C76)^H31</f>
        <v>-1000355.5314477575</v>
      </c>
      <c r="I46" s="42">
        <f>I44/(1+Assumption_Hatchery!$C76)^I31</f>
        <v>1107431.0132351699</v>
      </c>
      <c r="J46" s="42">
        <f>J44/(1+Assumption_Hatchery!$C76)^J31</f>
        <v>1059212.1139876842</v>
      </c>
      <c r="K46" s="42">
        <f>K44/(1+Assumption_Hatchery!$C76)^K31</f>
        <v>-696398.57830313547</v>
      </c>
      <c r="L46" s="42">
        <f>L44/(1+Assumption_Hatchery!$C76)^L31</f>
        <v>965368.03656044009</v>
      </c>
      <c r="M46" s="42">
        <f>M44/(1+Assumption_Hatchery!$C76)^M31</f>
        <v>920044.06314706174</v>
      </c>
      <c r="N46" s="42">
        <f>N44/(1+Assumption_Hatchery!$C76)^N31</f>
        <v>-477236.00322921952</v>
      </c>
      <c r="O46" s="42">
        <f>O44/(1+Assumption_Hatchery!$C76)^O31</f>
        <v>833136.67967075307</v>
      </c>
      <c r="P46" s="42">
        <f>P44/(1+Assumption_Hatchery!$C76)^P31</f>
        <v>791701.8943403234</v>
      </c>
      <c r="Q46" s="42">
        <f>Q44/(1+Assumption_Hatchery!$C76)^Q31</f>
        <v>-320371.95349810307</v>
      </c>
      <c r="R46" s="42">
        <f>R44/(1+Assumption_Hatchery!$C76)^R31</f>
        <v>713103.23440221918</v>
      </c>
      <c r="S46" s="42">
        <f>S44/(1+Assumption_Hatchery!$C76)^S31</f>
        <v>675987.32785531937</v>
      </c>
      <c r="T46" s="42">
        <f>T44/(1+Assumption_Hatchery!$C76)^T31</f>
        <v>-209085.20535105205</v>
      </c>
      <c r="U46" s="42">
        <f>U44/(1+Assumption_Hatchery!$C76)^U31</f>
        <v>606153.34032407997</v>
      </c>
      <c r="V46" s="42">
        <f>V44/(1+Assumption_Hatchery!$C76)^V31</f>
        <v>573419.15663259139</v>
      </c>
      <c r="W46" s="42">
        <f>W44/(1+Assumption_Hatchery!$C76)^W31</f>
        <v>-111333.67739834722</v>
      </c>
      <c r="X46" s="42">
        <f>X44/(1+Assumption_Hatchery!$C76)^X31</f>
        <v>256110.888291543</v>
      </c>
      <c r="Y46" s="42">
        <f>Y44/(1+Assumption_Hatchery!$C76)^Y31</f>
        <v>72555.579977400645</v>
      </c>
      <c r="Z46" s="42">
        <f>Z44/(1+Assumption_Hatchery!$C76)^Z31</f>
        <v>-3844.9386141064419</v>
      </c>
      <c r="AA46" s="42">
        <f>AA44/(1+Assumption_Hatchery!$C76)^AA31</f>
        <v>0</v>
      </c>
    </row>
    <row r="47" spans="1:27" x14ac:dyDescent="0.25">
      <c r="B47" s="34"/>
      <c r="C47" s="34"/>
      <c r="D47" s="34"/>
      <c r="E47" s="34"/>
      <c r="F47" s="34"/>
      <c r="G47" s="34"/>
      <c r="H47" s="34"/>
      <c r="I47" s="34"/>
      <c r="J47" s="34"/>
      <c r="K47" s="34"/>
      <c r="L47" s="34"/>
    </row>
    <row r="48" spans="1:27" s="13" customFormat="1" x14ac:dyDescent="0.25">
      <c r="A48" s="26" t="s">
        <v>62</v>
      </c>
      <c r="B48" s="37">
        <f>NPV(Assumption_Hatchery!C76,C44:Z44)+B44</f>
        <v>-99747.732009089013</v>
      </c>
      <c r="C48" s="43"/>
      <c r="D48" s="43"/>
      <c r="E48" s="43"/>
      <c r="F48" s="43"/>
      <c r="G48" s="43"/>
      <c r="H48" s="43"/>
      <c r="I48" s="43"/>
      <c r="J48" s="43"/>
      <c r="K48" s="43"/>
      <c r="L48" s="43"/>
    </row>
    <row r="50" spans="1:27" s="13" customFormat="1" x14ac:dyDescent="0.25">
      <c r="A50" s="26" t="s">
        <v>25</v>
      </c>
      <c r="B50" s="38">
        <f>IRR(B44:Z44)</f>
        <v>8.8494943334344711E-2</v>
      </c>
      <c r="C50" s="4"/>
      <c r="D50" s="4"/>
      <c r="E50" s="4"/>
      <c r="F50" s="4"/>
      <c r="G50" s="4"/>
      <c r="H50" s="4"/>
      <c r="I50" s="4"/>
      <c r="J50" s="4"/>
      <c r="K50" s="4"/>
      <c r="L50" s="4"/>
    </row>
    <row r="52" spans="1:27" s="13" customFormat="1" x14ac:dyDescent="0.25">
      <c r="A52" s="27" t="s">
        <v>63</v>
      </c>
      <c r="B52" s="39">
        <f>B46</f>
        <v>0</v>
      </c>
      <c r="C52" s="39">
        <f>B52+C46</f>
        <v>-1144771.7889908256</v>
      </c>
      <c r="D52" s="39">
        <f t="shared" ref="D52:Z52" si="8">C52+D46</f>
        <v>-3368636.2574699093</v>
      </c>
      <c r="E52" s="39">
        <f t="shared" si="8"/>
        <v>-7235519.8518610019</v>
      </c>
      <c r="F52" s="39">
        <f t="shared" si="8"/>
        <v>-6740901.5316288834</v>
      </c>
      <c r="G52" s="39">
        <f t="shared" si="8"/>
        <v>-5855345.1725919507</v>
      </c>
      <c r="H52" s="39">
        <f t="shared" si="8"/>
        <v>-6855700.7040397078</v>
      </c>
      <c r="I52" s="39">
        <f t="shared" si="8"/>
        <v>-5748269.6908045374</v>
      </c>
      <c r="J52" s="39">
        <f t="shared" si="8"/>
        <v>-4689057.5768168531</v>
      </c>
      <c r="K52" s="39">
        <f t="shared" si="8"/>
        <v>-5385456.1551199891</v>
      </c>
      <c r="L52" s="39">
        <f t="shared" si="8"/>
        <v>-4420088.1185595486</v>
      </c>
      <c r="M52" s="39">
        <f t="shared" si="8"/>
        <v>-3500044.0554124871</v>
      </c>
      <c r="N52" s="39">
        <f t="shared" si="8"/>
        <v>-3977280.0586417066</v>
      </c>
      <c r="O52" s="39">
        <f t="shared" si="8"/>
        <v>-3144143.3789709536</v>
      </c>
      <c r="P52" s="39">
        <f t="shared" si="8"/>
        <v>-2352441.4846306304</v>
      </c>
      <c r="Q52" s="39">
        <f t="shared" si="8"/>
        <v>-2672813.4381287335</v>
      </c>
      <c r="R52" s="39">
        <f t="shared" si="8"/>
        <v>-1959710.2037265142</v>
      </c>
      <c r="S52" s="39">
        <f t="shared" si="8"/>
        <v>-1283722.875871195</v>
      </c>
      <c r="T52" s="39">
        <f t="shared" si="8"/>
        <v>-1492808.0812222471</v>
      </c>
      <c r="U52" s="39">
        <f t="shared" si="8"/>
        <v>-886654.74089816713</v>
      </c>
      <c r="V52" s="39">
        <f t="shared" si="8"/>
        <v>-313235.58426557574</v>
      </c>
      <c r="W52" s="39">
        <f t="shared" si="8"/>
        <v>-424569.26166392298</v>
      </c>
      <c r="X52" s="39">
        <f t="shared" si="8"/>
        <v>-168458.37337237998</v>
      </c>
      <c r="Y52" s="39">
        <f t="shared" si="8"/>
        <v>-95902.793394979337</v>
      </c>
      <c r="Z52" s="39">
        <f t="shared" si="8"/>
        <v>-99747.732009085783</v>
      </c>
    </row>
    <row r="53" spans="1:27" ht="38.25" customHeight="1" x14ac:dyDescent="0.25">
      <c r="A53" s="11"/>
      <c r="B53" s="32"/>
      <c r="C53" s="76"/>
      <c r="D53" s="77"/>
      <c r="E53" s="32"/>
      <c r="F53" s="126"/>
      <c r="G53" s="32"/>
      <c r="H53" s="32"/>
      <c r="I53" s="32"/>
      <c r="J53" s="32"/>
      <c r="K53" s="32"/>
      <c r="L53" s="32"/>
      <c r="M53" s="11"/>
    </row>
    <row r="54" spans="1:27" s="1" customFormat="1" x14ac:dyDescent="0.25">
      <c r="A54" s="25"/>
      <c r="B54" s="45"/>
      <c r="C54" s="45"/>
      <c r="D54" s="45"/>
      <c r="E54" s="45"/>
      <c r="F54" s="45"/>
      <c r="G54" s="45"/>
      <c r="H54" s="45"/>
      <c r="I54" s="45"/>
      <c r="J54" s="45"/>
      <c r="K54" s="45"/>
      <c r="L54" s="45"/>
    </row>
    <row r="56" spans="1:27" ht="26.25" x14ac:dyDescent="0.25">
      <c r="F56" s="20" t="s">
        <v>111</v>
      </c>
    </row>
    <row r="57" spans="1:27" ht="38.25" customHeight="1" x14ac:dyDescent="0.25">
      <c r="A57" s="11" t="str">
        <f>A2</f>
        <v>Aggregate Financial Analysis-Crab Fattening</v>
      </c>
      <c r="B57" s="32"/>
      <c r="C57" s="76"/>
      <c r="D57" s="77"/>
      <c r="E57" s="32"/>
      <c r="F57" s="32"/>
      <c r="G57" s="32"/>
      <c r="H57" s="32"/>
      <c r="I57" s="32"/>
      <c r="J57" s="32"/>
      <c r="K57" s="32"/>
      <c r="L57" s="32"/>
      <c r="M57" s="11"/>
    </row>
    <row r="59" spans="1:27" x14ac:dyDescent="0.25">
      <c r="A59" s="10" t="s">
        <v>22</v>
      </c>
      <c r="B59" s="28">
        <v>0</v>
      </c>
      <c r="C59" s="28">
        <v>1</v>
      </c>
      <c r="D59" s="28">
        <v>2</v>
      </c>
      <c r="E59" s="28">
        <v>3</v>
      </c>
      <c r="F59" s="28">
        <v>4</v>
      </c>
      <c r="G59" s="28">
        <v>5</v>
      </c>
      <c r="H59" s="28">
        <v>6</v>
      </c>
      <c r="I59" s="28">
        <v>7</v>
      </c>
      <c r="J59" s="28">
        <v>8</v>
      </c>
      <c r="K59" s="28">
        <v>9</v>
      </c>
      <c r="L59" s="28">
        <v>10</v>
      </c>
      <c r="M59" s="28">
        <v>11</v>
      </c>
      <c r="N59" s="28">
        <v>12</v>
      </c>
      <c r="O59" s="28">
        <v>13</v>
      </c>
      <c r="P59" s="28">
        <v>14</v>
      </c>
      <c r="Q59" s="28">
        <v>15</v>
      </c>
      <c r="R59" s="28">
        <v>16</v>
      </c>
      <c r="S59" s="28">
        <v>17</v>
      </c>
      <c r="T59" s="28">
        <v>18</v>
      </c>
      <c r="U59" s="28">
        <v>19</v>
      </c>
      <c r="V59" s="28">
        <v>20</v>
      </c>
      <c r="W59" s="28">
        <v>21</v>
      </c>
      <c r="X59" s="28">
        <v>22</v>
      </c>
      <c r="Y59" s="28">
        <v>23</v>
      </c>
      <c r="Z59" s="28">
        <v>24</v>
      </c>
      <c r="AA59" s="28">
        <v>25</v>
      </c>
    </row>
    <row r="60" spans="1:27" x14ac:dyDescent="0.25">
      <c r="A60" s="24" t="s">
        <v>23</v>
      </c>
    </row>
    <row r="61" spans="1:27" x14ac:dyDescent="0.25">
      <c r="A61" s="10" t="str">
        <f>A33</f>
        <v>Crab Sale ($)</v>
      </c>
      <c r="B61" s="33">
        <f>B6</f>
        <v>0</v>
      </c>
      <c r="C61" s="33">
        <f t="shared" ref="C61:AA62" si="9">C6</f>
        <v>1216923.75</v>
      </c>
      <c r="D61" s="33">
        <f t="shared" si="9"/>
        <v>4096976.625</v>
      </c>
      <c r="E61" s="33">
        <f t="shared" si="9"/>
        <v>4497689.1056392966</v>
      </c>
      <c r="F61" s="33">
        <f t="shared" si="9"/>
        <v>7940719.1248087501</v>
      </c>
      <c r="G61" s="33">
        <f t="shared" si="9"/>
        <v>8442238.22742825</v>
      </c>
      <c r="H61" s="33">
        <f t="shared" si="9"/>
        <v>5451733.6273285579</v>
      </c>
      <c r="I61" s="33">
        <f t="shared" si="9"/>
        <v>8611927.215799557</v>
      </c>
      <c r="J61" s="33">
        <f t="shared" si="9"/>
        <v>8698046.4879575539</v>
      </c>
      <c r="K61" s="33">
        <f t="shared" si="9"/>
        <v>5616926.6079702405</v>
      </c>
      <c r="L61" s="33">
        <f t="shared" si="9"/>
        <v>8872877.2223655023</v>
      </c>
      <c r="M61" s="33">
        <f t="shared" si="9"/>
        <v>8961605.9945891555</v>
      </c>
      <c r="N61" s="33">
        <f t="shared" si="9"/>
        <v>5787125.1011183457</v>
      </c>
      <c r="O61" s="33">
        <f t="shared" si="9"/>
        <v>9141734.2750803977</v>
      </c>
      <c r="P61" s="33">
        <f t="shared" si="9"/>
        <v>9233151.6178312041</v>
      </c>
      <c r="Q61" s="33">
        <f t="shared" si="9"/>
        <v>5962480.7788073327</v>
      </c>
      <c r="R61" s="33">
        <f t="shared" si="9"/>
        <v>9418737.9653496109</v>
      </c>
      <c r="S61" s="33">
        <f t="shared" si="9"/>
        <v>9512925.3450031076</v>
      </c>
      <c r="T61" s="33">
        <f t="shared" si="9"/>
        <v>6143149.9088859754</v>
      </c>
      <c r="U61" s="33">
        <f t="shared" si="9"/>
        <v>9704135.144437667</v>
      </c>
      <c r="V61" s="33">
        <f t="shared" si="9"/>
        <v>9801176.4958820455</v>
      </c>
      <c r="W61" s="33">
        <f t="shared" si="9"/>
        <v>5379899.4701338587</v>
      </c>
      <c r="X61" s="33">
        <f t="shared" si="9"/>
        <v>4999090.0717246383</v>
      </c>
      <c r="Y61" s="33">
        <f t="shared" si="9"/>
        <v>1514724.291732565</v>
      </c>
      <c r="Z61" s="33">
        <f t="shared" si="9"/>
        <v>326053.87082225806</v>
      </c>
      <c r="AA61" s="33">
        <f t="shared" si="9"/>
        <v>0</v>
      </c>
    </row>
    <row r="62" spans="1:27" s="13" customFormat="1" x14ac:dyDescent="0.25">
      <c r="A62" s="24" t="s">
        <v>58</v>
      </c>
      <c r="B62" s="41">
        <f>B7</f>
        <v>0</v>
      </c>
      <c r="C62" s="41">
        <f t="shared" si="9"/>
        <v>1216923.75</v>
      </c>
      <c r="D62" s="41">
        <f t="shared" si="9"/>
        <v>4096976.625</v>
      </c>
      <c r="E62" s="41">
        <f t="shared" si="9"/>
        <v>4497689.1056392966</v>
      </c>
      <c r="F62" s="41">
        <f t="shared" si="9"/>
        <v>7940719.1248087501</v>
      </c>
      <c r="G62" s="41">
        <f t="shared" si="9"/>
        <v>8442238.22742825</v>
      </c>
      <c r="H62" s="41">
        <f t="shared" si="9"/>
        <v>5451733.6273285579</v>
      </c>
      <c r="I62" s="41">
        <f t="shared" si="9"/>
        <v>8611927.215799557</v>
      </c>
      <c r="J62" s="41">
        <f t="shared" si="9"/>
        <v>8698046.4879575539</v>
      </c>
      <c r="K62" s="41">
        <f t="shared" si="9"/>
        <v>5616926.6079702405</v>
      </c>
      <c r="L62" s="41">
        <f t="shared" si="9"/>
        <v>8872877.2223655023</v>
      </c>
      <c r="M62" s="41">
        <f t="shared" si="9"/>
        <v>8961605.9945891555</v>
      </c>
      <c r="N62" s="41">
        <f t="shared" si="9"/>
        <v>5787125.1011183457</v>
      </c>
      <c r="O62" s="41">
        <f t="shared" si="9"/>
        <v>9141734.2750803977</v>
      </c>
      <c r="P62" s="41">
        <f t="shared" si="9"/>
        <v>9233151.6178312041</v>
      </c>
      <c r="Q62" s="41">
        <f t="shared" si="9"/>
        <v>5962480.7788073327</v>
      </c>
      <c r="R62" s="41">
        <f t="shared" si="9"/>
        <v>9418737.9653496109</v>
      </c>
      <c r="S62" s="41">
        <f t="shared" si="9"/>
        <v>9512925.3450031076</v>
      </c>
      <c r="T62" s="41">
        <f t="shared" si="9"/>
        <v>6143149.9088859754</v>
      </c>
      <c r="U62" s="41">
        <f t="shared" si="9"/>
        <v>9704135.144437667</v>
      </c>
      <c r="V62" s="41">
        <f t="shared" si="9"/>
        <v>9801176.4958820455</v>
      </c>
      <c r="W62" s="41">
        <f t="shared" si="9"/>
        <v>5379899.4701338587</v>
      </c>
      <c r="X62" s="41">
        <f t="shared" si="9"/>
        <v>4999090.0717246383</v>
      </c>
      <c r="Y62" s="41">
        <f t="shared" si="9"/>
        <v>1514724.291732565</v>
      </c>
      <c r="Z62" s="41">
        <f t="shared" si="9"/>
        <v>326053.87082225806</v>
      </c>
      <c r="AA62" s="41">
        <f t="shared" si="9"/>
        <v>0</v>
      </c>
    </row>
    <row r="63" spans="1:27" x14ac:dyDescent="0.25">
      <c r="A63" s="24"/>
      <c r="B63" s="44"/>
      <c r="C63" s="44"/>
      <c r="D63" s="44"/>
      <c r="E63" s="44"/>
      <c r="F63" s="44"/>
      <c r="G63" s="44"/>
      <c r="H63" s="44"/>
      <c r="I63" s="44"/>
      <c r="J63" s="44"/>
      <c r="K63" s="44"/>
    </row>
    <row r="64" spans="1:27" x14ac:dyDescent="0.25">
      <c r="A64" s="24" t="s">
        <v>24</v>
      </c>
    </row>
    <row r="65" spans="1:27" x14ac:dyDescent="0.25">
      <c r="A65" s="9" t="s">
        <v>49</v>
      </c>
      <c r="B65" s="35">
        <f t="shared" ref="B65:AA68" si="10">B10</f>
        <v>0</v>
      </c>
      <c r="C65" s="35">
        <f t="shared" si="10"/>
        <v>900000</v>
      </c>
      <c r="D65" s="35">
        <f t="shared" si="10"/>
        <v>2100000</v>
      </c>
      <c r="E65" s="35">
        <f t="shared" si="10"/>
        <v>2100000</v>
      </c>
      <c r="F65" s="35">
        <f t="shared" si="10"/>
        <v>600000</v>
      </c>
      <c r="G65" s="35">
        <f t="shared" si="10"/>
        <v>300000</v>
      </c>
      <c r="H65" s="35">
        <f t="shared" si="10"/>
        <v>0</v>
      </c>
      <c r="I65" s="35">
        <f t="shared" si="10"/>
        <v>0</v>
      </c>
      <c r="J65" s="35">
        <f t="shared" si="10"/>
        <v>0</v>
      </c>
      <c r="K65" s="35">
        <f t="shared" si="10"/>
        <v>0</v>
      </c>
      <c r="L65" s="35">
        <f t="shared" si="10"/>
        <v>0</v>
      </c>
      <c r="M65" s="35">
        <f t="shared" si="10"/>
        <v>0</v>
      </c>
      <c r="N65" s="35">
        <f t="shared" si="10"/>
        <v>0</v>
      </c>
      <c r="O65" s="35">
        <f t="shared" si="10"/>
        <v>0</v>
      </c>
      <c r="P65" s="35">
        <f t="shared" si="10"/>
        <v>0</v>
      </c>
      <c r="Q65" s="35">
        <f t="shared" si="10"/>
        <v>0</v>
      </c>
      <c r="R65" s="35">
        <f t="shared" si="10"/>
        <v>0</v>
      </c>
      <c r="S65" s="35">
        <f t="shared" si="10"/>
        <v>0</v>
      </c>
      <c r="T65" s="35">
        <f t="shared" si="10"/>
        <v>0</v>
      </c>
      <c r="U65" s="35">
        <f t="shared" si="10"/>
        <v>0</v>
      </c>
      <c r="V65" s="35">
        <f t="shared" si="10"/>
        <v>0</v>
      </c>
      <c r="W65" s="35">
        <f t="shared" si="10"/>
        <v>0</v>
      </c>
      <c r="X65" s="35">
        <f t="shared" si="10"/>
        <v>0</v>
      </c>
      <c r="Y65" s="35">
        <f t="shared" si="10"/>
        <v>0</v>
      </c>
      <c r="Z65" s="35">
        <f t="shared" si="10"/>
        <v>0</v>
      </c>
      <c r="AA65" s="35">
        <f t="shared" si="10"/>
        <v>0</v>
      </c>
    </row>
    <row r="66" spans="1:27" x14ac:dyDescent="0.25">
      <c r="A66" s="9" t="s">
        <v>128</v>
      </c>
      <c r="B66" s="35">
        <f t="shared" si="10"/>
        <v>0</v>
      </c>
      <c r="C66" s="35">
        <f t="shared" si="10"/>
        <v>118125.00000000001</v>
      </c>
      <c r="D66" s="35">
        <f t="shared" si="10"/>
        <v>393750.00000000006</v>
      </c>
      <c r="E66" s="35">
        <f t="shared" si="10"/>
        <v>669375.00000000012</v>
      </c>
      <c r="F66" s="35">
        <f t="shared" si="10"/>
        <v>748125.00000000012</v>
      </c>
      <c r="G66" s="35">
        <f t="shared" si="10"/>
        <v>787500.00000000012</v>
      </c>
      <c r="H66" s="35">
        <f t="shared" si="10"/>
        <v>787500.00000000012</v>
      </c>
      <c r="I66" s="35">
        <f t="shared" si="10"/>
        <v>787500.00000000012</v>
      </c>
      <c r="J66" s="35">
        <f t="shared" si="10"/>
        <v>787500.00000000012</v>
      </c>
      <c r="K66" s="35">
        <f t="shared" si="10"/>
        <v>787500.00000000012</v>
      </c>
      <c r="L66" s="35">
        <f t="shared" si="10"/>
        <v>787500.00000000012</v>
      </c>
      <c r="M66" s="35">
        <f t="shared" si="10"/>
        <v>787500.00000000012</v>
      </c>
      <c r="N66" s="35">
        <f t="shared" si="10"/>
        <v>787500.00000000012</v>
      </c>
      <c r="O66" s="35">
        <f t="shared" si="10"/>
        <v>787500.00000000012</v>
      </c>
      <c r="P66" s="35">
        <f t="shared" si="10"/>
        <v>787500.00000000012</v>
      </c>
      <c r="Q66" s="35">
        <f t="shared" si="10"/>
        <v>787500.00000000012</v>
      </c>
      <c r="R66" s="35">
        <f t="shared" si="10"/>
        <v>787500.00000000012</v>
      </c>
      <c r="S66" s="35">
        <f t="shared" si="10"/>
        <v>787500.00000000012</v>
      </c>
      <c r="T66" s="35">
        <f t="shared" si="10"/>
        <v>787500.00000000012</v>
      </c>
      <c r="U66" s="35">
        <f t="shared" si="10"/>
        <v>787500.00000000012</v>
      </c>
      <c r="V66" s="35">
        <f t="shared" si="10"/>
        <v>787500.00000000012</v>
      </c>
      <c r="W66" s="35">
        <f t="shared" si="10"/>
        <v>669375.00000000012</v>
      </c>
      <c r="X66" s="35">
        <f t="shared" si="10"/>
        <v>393750.00000000006</v>
      </c>
      <c r="Y66" s="35">
        <f t="shared" si="10"/>
        <v>118125.00000000001</v>
      </c>
      <c r="Z66" s="35">
        <f t="shared" si="10"/>
        <v>39375.000000000007</v>
      </c>
      <c r="AA66" s="35">
        <f t="shared" si="10"/>
        <v>0</v>
      </c>
    </row>
    <row r="67" spans="1:27" x14ac:dyDescent="0.25">
      <c r="A67" s="9" t="s">
        <v>53</v>
      </c>
      <c r="B67" s="35">
        <f t="shared" si="10"/>
        <v>0</v>
      </c>
      <c r="C67" s="35">
        <f t="shared" si="10"/>
        <v>420000</v>
      </c>
      <c r="D67" s="35">
        <f t="shared" si="10"/>
        <v>1400000</v>
      </c>
      <c r="E67" s="35">
        <f t="shared" si="10"/>
        <v>2512328</v>
      </c>
      <c r="F67" s="35">
        <f t="shared" si="10"/>
        <v>2660000</v>
      </c>
      <c r="G67" s="35">
        <f t="shared" si="10"/>
        <v>2800000</v>
      </c>
      <c r="H67" s="35">
        <f t="shared" si="10"/>
        <v>2955680</v>
      </c>
      <c r="I67" s="35">
        <f t="shared" si="10"/>
        <v>2800000</v>
      </c>
      <c r="J67" s="35">
        <f t="shared" si="10"/>
        <v>2800000</v>
      </c>
      <c r="K67" s="35">
        <f t="shared" si="10"/>
        <v>2955680</v>
      </c>
      <c r="L67" s="35">
        <f t="shared" si="10"/>
        <v>2800000</v>
      </c>
      <c r="M67" s="35">
        <f t="shared" si="10"/>
        <v>2800000</v>
      </c>
      <c r="N67" s="35">
        <f t="shared" si="10"/>
        <v>2955680</v>
      </c>
      <c r="O67" s="35">
        <f t="shared" si="10"/>
        <v>2800000</v>
      </c>
      <c r="P67" s="35">
        <f t="shared" si="10"/>
        <v>2800000</v>
      </c>
      <c r="Q67" s="35">
        <f t="shared" si="10"/>
        <v>2955680</v>
      </c>
      <c r="R67" s="35">
        <f t="shared" si="10"/>
        <v>2800000</v>
      </c>
      <c r="S67" s="35">
        <f t="shared" si="10"/>
        <v>2800000</v>
      </c>
      <c r="T67" s="35">
        <f t="shared" si="10"/>
        <v>2955680</v>
      </c>
      <c r="U67" s="35">
        <f t="shared" si="10"/>
        <v>2800000</v>
      </c>
      <c r="V67" s="35">
        <f t="shared" si="10"/>
        <v>2800000</v>
      </c>
      <c r="W67" s="35">
        <f t="shared" si="10"/>
        <v>2512328</v>
      </c>
      <c r="X67" s="35">
        <f t="shared" si="10"/>
        <v>1400000</v>
      </c>
      <c r="Y67" s="35">
        <f t="shared" si="10"/>
        <v>420000</v>
      </c>
      <c r="Z67" s="35">
        <f t="shared" si="10"/>
        <v>147784</v>
      </c>
      <c r="AA67" s="35">
        <f t="shared" si="10"/>
        <v>0</v>
      </c>
    </row>
    <row r="68" spans="1:27" x14ac:dyDescent="0.25">
      <c r="A68" s="9" t="s">
        <v>55</v>
      </c>
      <c r="B68" s="35">
        <f t="shared" si="10"/>
        <v>0</v>
      </c>
      <c r="C68" s="35">
        <f t="shared" si="10"/>
        <v>450000</v>
      </c>
      <c r="D68" s="35">
        <f t="shared" si="10"/>
        <v>1500000</v>
      </c>
      <c r="E68" s="35">
        <f t="shared" si="10"/>
        <v>2878312.5</v>
      </c>
      <c r="F68" s="35">
        <f t="shared" si="10"/>
        <v>2850000</v>
      </c>
      <c r="G68" s="35">
        <f t="shared" si="10"/>
        <v>3000000</v>
      </c>
      <c r="H68" s="35">
        <f t="shared" si="10"/>
        <v>3386250</v>
      </c>
      <c r="I68" s="35">
        <f t="shared" si="10"/>
        <v>3000000</v>
      </c>
      <c r="J68" s="35">
        <f t="shared" si="10"/>
        <v>3000000</v>
      </c>
      <c r="K68" s="35">
        <f t="shared" si="10"/>
        <v>3386250</v>
      </c>
      <c r="L68" s="35">
        <f t="shared" si="10"/>
        <v>3000000</v>
      </c>
      <c r="M68" s="35">
        <f t="shared" si="10"/>
        <v>3000000</v>
      </c>
      <c r="N68" s="35">
        <f t="shared" si="10"/>
        <v>3386250</v>
      </c>
      <c r="O68" s="35">
        <f t="shared" si="10"/>
        <v>3000000</v>
      </c>
      <c r="P68" s="35">
        <f t="shared" si="10"/>
        <v>3000000</v>
      </c>
      <c r="Q68" s="35">
        <f t="shared" si="10"/>
        <v>3386250</v>
      </c>
      <c r="R68" s="35">
        <f t="shared" si="10"/>
        <v>3000000</v>
      </c>
      <c r="S68" s="35">
        <f t="shared" si="10"/>
        <v>3000000</v>
      </c>
      <c r="T68" s="35">
        <f t="shared" si="10"/>
        <v>3386250</v>
      </c>
      <c r="U68" s="35">
        <f t="shared" si="10"/>
        <v>3000000</v>
      </c>
      <c r="V68" s="35">
        <f t="shared" si="10"/>
        <v>3000000</v>
      </c>
      <c r="W68" s="35">
        <f t="shared" si="10"/>
        <v>2878312.5</v>
      </c>
      <c r="X68" s="35">
        <f t="shared" si="10"/>
        <v>1500000</v>
      </c>
      <c r="Y68" s="35">
        <f t="shared" si="10"/>
        <v>450000</v>
      </c>
      <c r="Z68" s="35">
        <f t="shared" si="10"/>
        <v>169312.5</v>
      </c>
      <c r="AA68" s="35">
        <f t="shared" si="10"/>
        <v>0</v>
      </c>
    </row>
    <row r="69" spans="1:27" s="54" customFormat="1" x14ac:dyDescent="0.25">
      <c r="A69" s="56" t="s">
        <v>156</v>
      </c>
      <c r="B69" s="53">
        <f>B14*Assumption_Fattening!$C33</f>
        <v>0</v>
      </c>
      <c r="C69" s="53">
        <f>C14*Assumption_Fattening!$C33</f>
        <v>0</v>
      </c>
      <c r="D69" s="53">
        <f>D14*Assumption_Fattening!$C33</f>
        <v>0</v>
      </c>
      <c r="E69" s="53">
        <f>E14*Assumption_Fattening!$C33</f>
        <v>0</v>
      </c>
      <c r="F69" s="53">
        <f>F14*Assumption_Fattening!$C33</f>
        <v>0</v>
      </c>
      <c r="G69" s="53">
        <f>G14*Assumption_Fattening!$C33</f>
        <v>0</v>
      </c>
      <c r="H69" s="53">
        <f>H14*Assumption_Fattening!$C33</f>
        <v>0</v>
      </c>
      <c r="I69" s="53">
        <f>I14*Assumption_Fattening!$C33</f>
        <v>0</v>
      </c>
      <c r="J69" s="53">
        <f>J14*Assumption_Fattening!$C33</f>
        <v>0</v>
      </c>
      <c r="K69" s="53">
        <f>K14*Assumption_Fattening!$C33</f>
        <v>0</v>
      </c>
      <c r="L69" s="53">
        <f>L14*Assumption_Fattening!$C33</f>
        <v>0</v>
      </c>
      <c r="M69" s="53">
        <f>M14*Assumption_Fattening!$C33</f>
        <v>0</v>
      </c>
      <c r="N69" s="53">
        <f>N14*Assumption_Fattening!$C33</f>
        <v>0</v>
      </c>
      <c r="O69" s="53">
        <f>O14*Assumption_Fattening!$C33</f>
        <v>0</v>
      </c>
      <c r="P69" s="53">
        <f>P14*Assumption_Fattening!$C33</f>
        <v>0</v>
      </c>
      <c r="Q69" s="53">
        <f>Q14*Assumption_Fattening!$C33</f>
        <v>0</v>
      </c>
      <c r="R69" s="53">
        <f>R14*Assumption_Fattening!$C33</f>
        <v>0</v>
      </c>
      <c r="S69" s="53">
        <f>S14*Assumption_Fattening!$C33</f>
        <v>0</v>
      </c>
      <c r="T69" s="53">
        <f>T14*Assumption_Fattening!$C33</f>
        <v>0</v>
      </c>
      <c r="U69" s="53">
        <f>U14*Assumption_Fattening!$C33</f>
        <v>0</v>
      </c>
      <c r="V69" s="53">
        <f>V14*Assumption_Fattening!$C33</f>
        <v>0</v>
      </c>
      <c r="W69" s="53">
        <f>W14*Assumption_Fattening!$C33</f>
        <v>0</v>
      </c>
      <c r="X69" s="53">
        <f>X14*Assumption_Fattening!$C33</f>
        <v>0</v>
      </c>
      <c r="Y69" s="53">
        <f>Y14*Assumption_Fattening!$C33</f>
        <v>0</v>
      </c>
      <c r="Z69" s="53">
        <f>Z14*Assumption_Fattening!$C33</f>
        <v>0</v>
      </c>
      <c r="AA69" s="53">
        <f>AA14*Assumption_Fattening!$C33</f>
        <v>0</v>
      </c>
    </row>
    <row r="70" spans="1:27" x14ac:dyDescent="0.25">
      <c r="A70" s="127" t="s">
        <v>59</v>
      </c>
      <c r="B70" s="40">
        <f t="shared" ref="B70:AA70" si="11">SUM(B65:B69)</f>
        <v>0</v>
      </c>
      <c r="C70" s="40">
        <f t="shared" si="11"/>
        <v>1888125</v>
      </c>
      <c r="D70" s="40">
        <f t="shared" si="11"/>
        <v>5393750</v>
      </c>
      <c r="E70" s="40">
        <f t="shared" si="11"/>
        <v>8160015.5</v>
      </c>
      <c r="F70" s="40">
        <f t="shared" si="11"/>
        <v>6858125</v>
      </c>
      <c r="G70" s="40">
        <f t="shared" si="11"/>
        <v>6887500</v>
      </c>
      <c r="H70" s="40">
        <f t="shared" si="11"/>
        <v>7129430</v>
      </c>
      <c r="I70" s="40">
        <f t="shared" si="11"/>
        <v>6587500</v>
      </c>
      <c r="J70" s="40">
        <f t="shared" si="11"/>
        <v>6587500</v>
      </c>
      <c r="K70" s="40">
        <f t="shared" si="11"/>
        <v>7129430</v>
      </c>
      <c r="L70" s="40">
        <f t="shared" si="11"/>
        <v>6587500</v>
      </c>
      <c r="M70" s="40">
        <f t="shared" si="11"/>
        <v>6587500</v>
      </c>
      <c r="N70" s="40">
        <f t="shared" si="11"/>
        <v>7129430</v>
      </c>
      <c r="O70" s="40">
        <f t="shared" si="11"/>
        <v>6587500</v>
      </c>
      <c r="P70" s="40">
        <f t="shared" si="11"/>
        <v>6587500</v>
      </c>
      <c r="Q70" s="40">
        <f t="shared" si="11"/>
        <v>7129430</v>
      </c>
      <c r="R70" s="40">
        <f t="shared" si="11"/>
        <v>6587500</v>
      </c>
      <c r="S70" s="40">
        <f t="shared" si="11"/>
        <v>6587500</v>
      </c>
      <c r="T70" s="40">
        <f t="shared" si="11"/>
        <v>7129430</v>
      </c>
      <c r="U70" s="40">
        <f t="shared" si="11"/>
        <v>6587500</v>
      </c>
      <c r="V70" s="40">
        <f t="shared" si="11"/>
        <v>6587500</v>
      </c>
      <c r="W70" s="40">
        <f t="shared" si="11"/>
        <v>6060015.5</v>
      </c>
      <c r="X70" s="40">
        <f t="shared" si="11"/>
        <v>3293750</v>
      </c>
      <c r="Y70" s="40">
        <f t="shared" si="11"/>
        <v>988125</v>
      </c>
      <c r="Z70" s="40">
        <f t="shared" si="11"/>
        <v>356471.5</v>
      </c>
      <c r="AA70" s="40">
        <f t="shared" si="11"/>
        <v>0</v>
      </c>
    </row>
    <row r="71" spans="1:27" x14ac:dyDescent="0.25">
      <c r="B71" s="34"/>
      <c r="C71" s="34"/>
      <c r="D71" s="34"/>
      <c r="E71" s="34"/>
      <c r="F71" s="34"/>
      <c r="G71" s="34"/>
      <c r="H71" s="34"/>
      <c r="I71" s="34"/>
      <c r="J71" s="34"/>
      <c r="K71" s="34"/>
      <c r="L71" s="34"/>
    </row>
    <row r="72" spans="1:27" x14ac:dyDescent="0.25">
      <c r="A72" s="24" t="s">
        <v>60</v>
      </c>
      <c r="B72" s="36">
        <f t="shared" ref="B72:AA72" si="12">B62-B70</f>
        <v>0</v>
      </c>
      <c r="C72" s="36">
        <f t="shared" si="12"/>
        <v>-671201.25</v>
      </c>
      <c r="D72" s="36">
        <f t="shared" si="12"/>
        <v>-1296773.375</v>
      </c>
      <c r="E72" s="36">
        <f t="shared" si="12"/>
        <v>-3662326.3943607034</v>
      </c>
      <c r="F72" s="36">
        <f t="shared" si="12"/>
        <v>1082594.1248087501</v>
      </c>
      <c r="G72" s="36">
        <f t="shared" si="12"/>
        <v>1554738.22742825</v>
      </c>
      <c r="H72" s="36">
        <f t="shared" si="12"/>
        <v>-1677696.3726714421</v>
      </c>
      <c r="I72" s="36">
        <f t="shared" si="12"/>
        <v>2024427.215799557</v>
      </c>
      <c r="J72" s="36">
        <f t="shared" si="12"/>
        <v>2110546.4879575539</v>
      </c>
      <c r="K72" s="36">
        <f t="shared" si="12"/>
        <v>-1512503.3920297595</v>
      </c>
      <c r="L72" s="36">
        <f t="shared" si="12"/>
        <v>2285377.2223655023</v>
      </c>
      <c r="M72" s="36">
        <f t="shared" si="12"/>
        <v>2374105.9945891555</v>
      </c>
      <c r="N72" s="36">
        <f t="shared" si="12"/>
        <v>-1342304.8988816543</v>
      </c>
      <c r="O72" s="36">
        <f t="shared" si="12"/>
        <v>2554234.2750803977</v>
      </c>
      <c r="P72" s="36">
        <f t="shared" si="12"/>
        <v>2645651.6178312041</v>
      </c>
      <c r="Q72" s="36">
        <f t="shared" si="12"/>
        <v>-1166949.2211926673</v>
      </c>
      <c r="R72" s="36">
        <f t="shared" si="12"/>
        <v>2831237.9653496109</v>
      </c>
      <c r="S72" s="36">
        <f t="shared" si="12"/>
        <v>2925425.3450031076</v>
      </c>
      <c r="T72" s="36">
        <f t="shared" si="12"/>
        <v>-986280.09111402463</v>
      </c>
      <c r="U72" s="36">
        <f t="shared" si="12"/>
        <v>3116635.144437667</v>
      </c>
      <c r="V72" s="36">
        <f t="shared" si="12"/>
        <v>3213676.4958820455</v>
      </c>
      <c r="W72" s="36">
        <f t="shared" si="12"/>
        <v>-680116.02986614127</v>
      </c>
      <c r="X72" s="36">
        <f t="shared" si="12"/>
        <v>1705340.0717246383</v>
      </c>
      <c r="Y72" s="36">
        <f t="shared" si="12"/>
        <v>526599.29173256503</v>
      </c>
      <c r="Z72" s="36">
        <f t="shared" si="12"/>
        <v>-30417.629177741939</v>
      </c>
      <c r="AA72" s="36">
        <f t="shared" si="12"/>
        <v>0</v>
      </c>
    </row>
    <row r="73" spans="1:27" x14ac:dyDescent="0.25">
      <c r="B73" s="34"/>
      <c r="C73" s="34"/>
      <c r="D73" s="34"/>
      <c r="E73" s="34"/>
      <c r="F73" s="34"/>
      <c r="G73" s="34"/>
      <c r="H73" s="34"/>
      <c r="I73" s="34"/>
      <c r="J73" s="34"/>
      <c r="K73" s="34"/>
      <c r="L73" s="34"/>
    </row>
    <row r="74" spans="1:27" s="13" customFormat="1" x14ac:dyDescent="0.25">
      <c r="A74" s="24" t="s">
        <v>61</v>
      </c>
      <c r="B74" s="42">
        <f>B72/(1+Assumption_Hatchery!$C76)^B59</f>
        <v>0</v>
      </c>
      <c r="C74" s="42">
        <f>C72/(1+Assumption_Hatchery!$C76)^C59</f>
        <v>-615780.96330275224</v>
      </c>
      <c r="D74" s="42">
        <f>D72/(1+Assumption_Hatchery!$C76)^D59</f>
        <v>-1091468.2055382542</v>
      </c>
      <c r="E74" s="42">
        <f>E72/(1+Assumption_Hatchery!$C76)^E59</f>
        <v>-2827987.9403169374</v>
      </c>
      <c r="F74" s="42">
        <f>F72/(1+Assumption_Hatchery!$C76)^F59</f>
        <v>766936.97136558045</v>
      </c>
      <c r="G74" s="42">
        <f>G72/(1+Assumption_Hatchery!$C76)^G59</f>
        <v>1010473.1714834746</v>
      </c>
      <c r="H74" s="42">
        <f>H72/(1+Assumption_Hatchery!$C76)^H59</f>
        <v>-1000355.5314477575</v>
      </c>
      <c r="I74" s="42">
        <f>I72/(1+Assumption_Hatchery!$C76)^I59</f>
        <v>1107431.0132351699</v>
      </c>
      <c r="J74" s="42">
        <f>J72/(1+Assumption_Hatchery!$C76)^J59</f>
        <v>1059212.1139876842</v>
      </c>
      <c r="K74" s="42">
        <f>K72/(1+Assumption_Hatchery!$C76)^K59</f>
        <v>-696398.57830313547</v>
      </c>
      <c r="L74" s="42">
        <f>L72/(1+Assumption_Hatchery!$C76)^L59</f>
        <v>965368.03656044009</v>
      </c>
      <c r="M74" s="42">
        <f>M72/(1+Assumption_Hatchery!$C76)^M59</f>
        <v>920044.06314706174</v>
      </c>
      <c r="N74" s="42">
        <f>N72/(1+Assumption_Hatchery!$C76)^N59</f>
        <v>-477236.00322921952</v>
      </c>
      <c r="O74" s="42">
        <f>O72/(1+Assumption_Hatchery!$C76)^O59</f>
        <v>833136.67967075307</v>
      </c>
      <c r="P74" s="42">
        <f>P72/(1+Assumption_Hatchery!$C76)^P59</f>
        <v>791701.8943403234</v>
      </c>
      <c r="Q74" s="42">
        <f>Q72/(1+Assumption_Hatchery!$C76)^Q59</f>
        <v>-320371.95349810307</v>
      </c>
      <c r="R74" s="42">
        <f>R72/(1+Assumption_Hatchery!$C76)^R59</f>
        <v>713103.23440221918</v>
      </c>
      <c r="S74" s="42">
        <f>S72/(1+Assumption_Hatchery!$C76)^S59</f>
        <v>675987.32785531937</v>
      </c>
      <c r="T74" s="42">
        <f>T72/(1+Assumption_Hatchery!$C76)^T59</f>
        <v>-209085.20535105205</v>
      </c>
      <c r="U74" s="42">
        <f>U72/(1+Assumption_Hatchery!$C76)^U59</f>
        <v>606153.34032407997</v>
      </c>
      <c r="V74" s="42">
        <f>V72/(1+Assumption_Hatchery!$C76)^V59</f>
        <v>573419.15663259139</v>
      </c>
      <c r="W74" s="42">
        <f>W72/(1+Assumption_Hatchery!$C76)^W59</f>
        <v>-111333.67739834722</v>
      </c>
      <c r="X74" s="42">
        <f>X72/(1+Assumption_Hatchery!$C76)^X59</f>
        <v>256110.888291543</v>
      </c>
      <c r="Y74" s="42">
        <f>Y72/(1+Assumption_Hatchery!$C76)^Y59</f>
        <v>72555.579977400645</v>
      </c>
      <c r="Z74" s="42">
        <f>Z72/(1+Assumption_Hatchery!$C76)^Z59</f>
        <v>-3844.9386141064419</v>
      </c>
      <c r="AA74" s="42">
        <f>AA72/(1+Assumption_Hatchery!$C76)^AA59</f>
        <v>0</v>
      </c>
    </row>
    <row r="75" spans="1:27" x14ac:dyDescent="0.25">
      <c r="B75" s="34"/>
      <c r="C75" s="34"/>
      <c r="D75" s="34"/>
      <c r="E75" s="34"/>
      <c r="F75" s="34"/>
      <c r="G75" s="34"/>
      <c r="H75" s="34"/>
      <c r="I75" s="34"/>
      <c r="J75" s="34"/>
      <c r="K75" s="34"/>
      <c r="L75" s="34"/>
    </row>
    <row r="76" spans="1:27" s="13" customFormat="1" x14ac:dyDescent="0.25">
      <c r="A76" s="26" t="s">
        <v>62</v>
      </c>
      <c r="B76" s="37">
        <f>NPV(Assumption_Hatchery!C76,C72:Z72)+B72</f>
        <v>2997770.474273975</v>
      </c>
      <c r="C76" s="43"/>
      <c r="D76" s="43"/>
      <c r="E76" s="43"/>
      <c r="F76" s="43"/>
      <c r="G76" s="43"/>
      <c r="H76" s="43"/>
      <c r="I76" s="43"/>
      <c r="J76" s="43"/>
      <c r="K76" s="43"/>
      <c r="L76" s="43"/>
    </row>
    <row r="78" spans="1:27" s="13" customFormat="1" x14ac:dyDescent="0.25">
      <c r="A78" s="26" t="s">
        <v>25</v>
      </c>
      <c r="B78" s="38">
        <f>IRR(B72:Z72)</f>
        <v>0.15566538695963783</v>
      </c>
      <c r="C78" s="4"/>
      <c r="D78" s="4"/>
      <c r="E78" s="4"/>
      <c r="F78" s="4"/>
      <c r="G78" s="4"/>
      <c r="H78" s="4"/>
      <c r="I78" s="4"/>
      <c r="J78" s="4"/>
      <c r="K78" s="4"/>
      <c r="L78" s="4"/>
    </row>
    <row r="80" spans="1:27" s="13" customFormat="1" x14ac:dyDescent="0.25">
      <c r="A80" s="27" t="s">
        <v>63</v>
      </c>
      <c r="B80" s="39">
        <f>B74</f>
        <v>0</v>
      </c>
      <c r="C80" s="39">
        <f>B80+C74</f>
        <v>-615780.96330275224</v>
      </c>
      <c r="D80" s="39">
        <f t="shared" ref="D80:AA80" si="13">C80+D74</f>
        <v>-1707249.1688410065</v>
      </c>
      <c r="E80" s="39">
        <f t="shared" si="13"/>
        <v>-4535237.1091579441</v>
      </c>
      <c r="F80" s="39">
        <f t="shared" si="13"/>
        <v>-3768300.1377923638</v>
      </c>
      <c r="G80" s="39">
        <f t="shared" si="13"/>
        <v>-2757826.966308889</v>
      </c>
      <c r="H80" s="39">
        <f t="shared" si="13"/>
        <v>-3758182.4977566465</v>
      </c>
      <c r="I80" s="39">
        <f t="shared" si="13"/>
        <v>-2650751.4845214766</v>
      </c>
      <c r="J80" s="39">
        <f t="shared" si="13"/>
        <v>-1591539.3705337923</v>
      </c>
      <c r="K80" s="39">
        <f t="shared" si="13"/>
        <v>-2287937.9488369278</v>
      </c>
      <c r="L80" s="39">
        <f t="shared" si="13"/>
        <v>-1322569.9122764878</v>
      </c>
      <c r="M80" s="39">
        <f t="shared" si="13"/>
        <v>-402525.84912942606</v>
      </c>
      <c r="N80" s="39">
        <f t="shared" si="13"/>
        <v>-879761.85235864553</v>
      </c>
      <c r="O80" s="39">
        <f t="shared" si="13"/>
        <v>-46625.172687892453</v>
      </c>
      <c r="P80" s="39">
        <f t="shared" si="13"/>
        <v>745076.72165243095</v>
      </c>
      <c r="Q80" s="39">
        <f t="shared" si="13"/>
        <v>424704.76815432787</v>
      </c>
      <c r="R80" s="39">
        <f t="shared" si="13"/>
        <v>1137808.0025565471</v>
      </c>
      <c r="S80" s="39">
        <f t="shared" si="13"/>
        <v>1813795.3304118663</v>
      </c>
      <c r="T80" s="39">
        <f t="shared" si="13"/>
        <v>1604710.1250608142</v>
      </c>
      <c r="U80" s="39">
        <f t="shared" si="13"/>
        <v>2210863.4653848941</v>
      </c>
      <c r="V80" s="39">
        <f t="shared" si="13"/>
        <v>2784282.6220174856</v>
      </c>
      <c r="W80" s="39">
        <f t="shared" si="13"/>
        <v>2672948.9446191383</v>
      </c>
      <c r="X80" s="39">
        <f t="shared" si="13"/>
        <v>2929059.8329106811</v>
      </c>
      <c r="Y80" s="39">
        <f t="shared" si="13"/>
        <v>3001615.4128880817</v>
      </c>
      <c r="Z80" s="39">
        <f t="shared" si="13"/>
        <v>2997770.4742739755</v>
      </c>
      <c r="AA80" s="39">
        <f t="shared" si="13"/>
        <v>2997770.4742739755</v>
      </c>
    </row>
  </sheetData>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2:P89"/>
  <sheetViews>
    <sheetView showGridLines="0" topLeftCell="A28" zoomScale="70" zoomScaleNormal="70" workbookViewId="0">
      <selection activeCell="D39" sqref="D39"/>
    </sheetView>
  </sheetViews>
  <sheetFormatPr defaultColWidth="9" defaultRowHeight="15" x14ac:dyDescent="0.25"/>
  <cols>
    <col min="1" max="1" width="40.7109375" style="10" customWidth="1"/>
    <col min="2" max="2" width="16.28515625" style="28" customWidth="1"/>
    <col min="3" max="3" width="16.140625" style="28" customWidth="1"/>
    <col min="4" max="4" width="17" style="28" customWidth="1"/>
    <col min="5" max="5" width="17.140625" style="28" customWidth="1"/>
    <col min="6" max="6" width="18" style="28" customWidth="1"/>
    <col min="7" max="7" width="18.5703125" style="28" customWidth="1"/>
    <col min="8" max="8" width="18.7109375" style="28" customWidth="1"/>
    <col min="9" max="9" width="16.5703125" style="28" customWidth="1"/>
    <col min="10" max="10" width="18.7109375" style="28" customWidth="1"/>
    <col min="11" max="11" width="16.28515625" style="28" customWidth="1"/>
    <col min="12" max="12" width="16.7109375" style="28" customWidth="1"/>
    <col min="13" max="13" width="16.140625" style="3" customWidth="1"/>
    <col min="14" max="14" width="16.28515625" style="3" customWidth="1"/>
    <col min="15" max="15" width="15.85546875" style="3" customWidth="1"/>
    <col min="16" max="16" width="16.5703125" style="3" customWidth="1"/>
    <col min="17" max="16384" width="9" style="3"/>
  </cols>
  <sheetData>
    <row r="2" spans="1:16" ht="38.25" customHeight="1" x14ac:dyDescent="0.25">
      <c r="A2" s="11" t="s">
        <v>203</v>
      </c>
      <c r="B2" s="32"/>
      <c r="C2" s="76"/>
      <c r="D2" s="77"/>
      <c r="E2" s="32"/>
      <c r="F2" s="126" t="s">
        <v>106</v>
      </c>
      <c r="G2" s="32"/>
      <c r="H2" s="32"/>
      <c r="I2" s="32"/>
      <c r="J2" s="32"/>
      <c r="K2" s="32"/>
      <c r="L2" s="32"/>
      <c r="M2" s="11"/>
    </row>
    <row r="3" spans="1:16" ht="15" customHeight="1" x14ac:dyDescent="0.25">
      <c r="A3" s="23"/>
      <c r="B3" s="32"/>
      <c r="C3" s="32"/>
      <c r="D3" s="32"/>
      <c r="E3" s="32"/>
      <c r="F3" s="32"/>
      <c r="G3" s="32"/>
      <c r="H3" s="32"/>
      <c r="I3" s="32"/>
      <c r="J3" s="32"/>
      <c r="K3" s="32"/>
      <c r="L3" s="32"/>
      <c r="M3" s="11"/>
    </row>
    <row r="4" spans="1:16" x14ac:dyDescent="0.25">
      <c r="A4" s="10" t="s">
        <v>22</v>
      </c>
      <c r="B4" s="28">
        <v>0</v>
      </c>
      <c r="C4" s="28">
        <v>1</v>
      </c>
      <c r="D4" s="28">
        <v>2</v>
      </c>
      <c r="E4" s="28">
        <v>3</v>
      </c>
      <c r="F4" s="28">
        <v>4</v>
      </c>
      <c r="G4" s="28">
        <v>5</v>
      </c>
      <c r="H4" s="28">
        <v>6</v>
      </c>
      <c r="I4" s="28">
        <v>7</v>
      </c>
      <c r="J4" s="28">
        <v>8</v>
      </c>
      <c r="K4" s="28">
        <v>9</v>
      </c>
      <c r="L4" s="28">
        <v>10</v>
      </c>
      <c r="M4" s="28">
        <v>11</v>
      </c>
      <c r="N4" s="28">
        <v>12</v>
      </c>
      <c r="O4" s="28">
        <v>13</v>
      </c>
      <c r="P4" s="28">
        <v>14</v>
      </c>
    </row>
    <row r="5" spans="1:16" x14ac:dyDescent="0.25">
      <c r="A5" s="24" t="s">
        <v>23</v>
      </c>
    </row>
    <row r="6" spans="1:16" x14ac:dyDescent="0.25">
      <c r="A6" s="10" t="s">
        <v>204</v>
      </c>
      <c r="B6" s="33">
        <f>Assumption_Goat!D11*Assumption_Goat!D146*Assumption_Goat!D147*Assumption_Goat!D147*(1+Assumption_Goat!D148)^Assumption_Goat!D145</f>
        <v>0</v>
      </c>
      <c r="C6" s="33">
        <v>0</v>
      </c>
      <c r="D6" s="33">
        <f>Assumption_Goat!F11*Assumption_Goat!F146*Assumption_Goat!F147*(1+Assumption_Goat!F148)^Assumption_Goat!F145</f>
        <v>1943290.5</v>
      </c>
      <c r="E6" s="202">
        <f>Assumption_Goat!G11*Assumption_Goat!G146*Assumption_Goat!G147*(1+Assumption_Goat!G148)^Assumption_Goat!G145</f>
        <v>2878660.9939999999</v>
      </c>
      <c r="F6" s="204">
        <f>Assumption_Goat!H11*Assumption_Goat!H146*Assumption_Goat!H147*(1+Assumption_Goat!H148)^Assumption_Goat!H145</f>
        <v>4625484.8244500002</v>
      </c>
      <c r="G6" s="33">
        <f>Assumption_Goat!I11*Assumption_Goat!I146*Assumption_Goat!I147*(1+Assumption_Goat!I148)^Assumption_Goat!I145</f>
        <v>5339131.0545079997</v>
      </c>
      <c r="H6" s="202">
        <f>Assumption_Goat!J11*Assumption_Goat!J146*Assumption_Goat!J147*(1+Assumption_Goat!J148)^Assumption_Goat!J145</f>
        <v>4745419.6812467109</v>
      </c>
      <c r="I6" s="33">
        <f>Assumption_Goat!K11*Assumption_Goat!K146*Assumption_Goat!K147*(1+Assumption_Goat!K148)^Assumption_Goat!K145</f>
        <v>5446447.58870361</v>
      </c>
      <c r="J6" s="33">
        <f>Assumption_Goat!L11*Assumption_Goat!L146*Assumption_Goat!L147*(1+Assumption_Goat!L148)^Assumption_Goat!L145</f>
        <v>5500912.0645906478</v>
      </c>
      <c r="K6" s="202">
        <f>Assumption_Goat!M11*Assumption_Goat!M146*Assumption_Goat!M147*(1+Assumption_Goat!M148)^Assumption_Goat!M145</f>
        <v>4889210.6430081679</v>
      </c>
      <c r="L6" s="33">
        <f>Assumption_Goat!N11*Assumption_Goat!N146*Assumption_Goat!N147*(1+Assumption_Goat!N148)^Assumption_Goat!N145</f>
        <v>4910045.3474528054</v>
      </c>
      <c r="M6" s="33">
        <f>Assumption_Goat!O11*Assumption_Goat!O146*Assumption_Goat!O147*(1+Assumption_Goat!O148)^Assumption_Goat!O145</f>
        <v>3542247.0006623799</v>
      </c>
      <c r="N6" s="202">
        <f>Assumption_Goat!P11*Assumption_Goat!P146*Assumption_Goat!P147*(1+Assumption_Goat!P148)^Assumption_Goat!P145</f>
        <v>1889009.4805132342</v>
      </c>
      <c r="O6" s="33">
        <f>Assumption_Goat!Q11*Assumption_Goat!Q146*Assumption_Goat!Q147*(1+Assumption_Goat!Q148)^Assumption_Goat!Q145</f>
        <v>722689.23307513888</v>
      </c>
      <c r="P6" s="33">
        <f>Assumption_Goat!R11*Assumption_Goat!R146*Assumption_Goat!R147*(1+Assumption_Goat!R148)^Assumption_Goat!R145</f>
        <v>729916.12540589029</v>
      </c>
    </row>
    <row r="7" spans="1:16" x14ac:dyDescent="0.25">
      <c r="A7" s="10" t="s">
        <v>57</v>
      </c>
      <c r="B7" s="33">
        <f>Assumption_Goat!D10*Assumption_Goat!D149*Assumption_Goat!D155</f>
        <v>0</v>
      </c>
      <c r="C7" s="33">
        <f>Assumption_Goat!E10*Assumption_Goat!E149*Assumption_Goat!E155</f>
        <v>0</v>
      </c>
      <c r="D7" s="33">
        <f>Assumption_Goat!F10*Assumption_Goat!F149*Assumption_Goat!F155</f>
        <v>0</v>
      </c>
      <c r="E7" s="202">
        <f>Assumption_Goat!G10*Assumption_Goat!G149*Assumption_Goat!G155</f>
        <v>0</v>
      </c>
      <c r="F7" s="33">
        <f>Assumption_Goat!H10*Assumption_Goat!H149*Assumption_Goat!H155</f>
        <v>0</v>
      </c>
      <c r="G7" s="33">
        <f>Assumption_Goat!I10*Assumption_Goat!I149*Assumption_Goat!I155</f>
        <v>0</v>
      </c>
      <c r="H7" s="202">
        <f>Assumption_Goat!J10*Assumption_Goat!J149*Assumption_Goat!J155</f>
        <v>0</v>
      </c>
      <c r="I7" s="33">
        <f>Assumption_Goat!K10*Assumption_Goat!K149*Assumption_Goat!K155</f>
        <v>0</v>
      </c>
      <c r="J7" s="33">
        <f>Assumption_Goat!L10*Assumption_Goat!L149*Assumption_Goat!L155</f>
        <v>0</v>
      </c>
      <c r="K7" s="202">
        <f>Assumption_Goat!M10*Assumption_Goat!M149*Assumption_Goat!M155</f>
        <v>0</v>
      </c>
      <c r="L7" s="33">
        <f>Assumption_Goat!N10*Assumption_Goat!N149*Assumption_Goat!N155</f>
        <v>56000</v>
      </c>
      <c r="M7" s="33">
        <f>Assumption_Goat!O10*Assumption_Goat!O149*Assumption_Goat!O155</f>
        <v>112000</v>
      </c>
      <c r="N7" s="202">
        <f>Assumption_Goat!P10*Assumption_Goat!P149*Assumption_Goat!P155</f>
        <v>106400</v>
      </c>
      <c r="O7" s="33">
        <f>Assumption_Goat!Q10*Assumption_Goat!Q149*Assumption_Goat!Q155</f>
        <v>112000</v>
      </c>
      <c r="P7" s="33">
        <f>Assumption_Goat!R10*Assumption_Goat!R149*Assumption_Goat!R155</f>
        <v>56000</v>
      </c>
    </row>
    <row r="8" spans="1:16" x14ac:dyDescent="0.25">
      <c r="A8" s="10" t="s">
        <v>221</v>
      </c>
      <c r="B8" s="33">
        <f>Assumption_Goat!D10*Assumption_Goat!D150</f>
        <v>0</v>
      </c>
      <c r="C8" s="33">
        <f>Assumption_Goat!E10*Assumption_Goat!E150</f>
        <v>0</v>
      </c>
      <c r="D8" s="33">
        <f>Assumption_Goat!F10*Assumption_Goat!F150</f>
        <v>0</v>
      </c>
      <c r="E8" s="33">
        <f>Assumption_Goat!G10*Assumption_Goat!G150</f>
        <v>0</v>
      </c>
      <c r="F8" s="33">
        <f>Assumption_Goat!H10*Assumption_Goat!H150</f>
        <v>0</v>
      </c>
      <c r="G8" s="33">
        <f>Assumption_Goat!I10*Assumption_Goat!I150</f>
        <v>0</v>
      </c>
      <c r="H8" s="33">
        <f>Assumption_Goat!J10*Assumption_Goat!J150</f>
        <v>0</v>
      </c>
      <c r="I8" s="33">
        <f>Assumption_Goat!K10*Assumption_Goat!K150</f>
        <v>0</v>
      </c>
      <c r="J8" s="33">
        <f>Assumption_Goat!L10*Assumption_Goat!L150</f>
        <v>0</v>
      </c>
      <c r="K8" s="33">
        <f>Assumption_Goat!M10*Assumption_Goat!M150</f>
        <v>0</v>
      </c>
      <c r="L8" s="33">
        <f>Assumption_Goat!N10*Assumption_Goat!N150</f>
        <v>412500</v>
      </c>
      <c r="M8" s="33">
        <f>Assumption_Goat!O10*Assumption_Goat!O150</f>
        <v>825000</v>
      </c>
      <c r="N8" s="33">
        <f>Assumption_Goat!P10*Assumption_Goat!P150</f>
        <v>825000</v>
      </c>
      <c r="O8" s="33">
        <f>Assumption_Goat!Q10*Assumption_Goat!Q150</f>
        <v>825000</v>
      </c>
      <c r="P8" s="33">
        <f>Assumption_Goat!R10*Assumption_Goat!R150</f>
        <v>412500</v>
      </c>
    </row>
    <row r="9" spans="1:16" s="13" customFormat="1" x14ac:dyDescent="0.25">
      <c r="A9" s="24" t="s">
        <v>58</v>
      </c>
      <c r="B9" s="41">
        <f>B6+B7+B8</f>
        <v>0</v>
      </c>
      <c r="C9" s="41">
        <f>C6+C7+C8</f>
        <v>0</v>
      </c>
      <c r="D9" s="41">
        <f t="shared" ref="D9:P9" si="0">D6+D7+D8</f>
        <v>1943290.5</v>
      </c>
      <c r="E9" s="41">
        <f t="shared" si="0"/>
        <v>2878660.9939999999</v>
      </c>
      <c r="F9" s="41">
        <f t="shared" si="0"/>
        <v>4625484.8244500002</v>
      </c>
      <c r="G9" s="41">
        <f t="shared" si="0"/>
        <v>5339131.0545079997</v>
      </c>
      <c r="H9" s="41">
        <f t="shared" si="0"/>
        <v>4745419.6812467109</v>
      </c>
      <c r="I9" s="41">
        <f t="shared" si="0"/>
        <v>5446447.58870361</v>
      </c>
      <c r="J9" s="41">
        <f t="shared" si="0"/>
        <v>5500912.0645906478</v>
      </c>
      <c r="K9" s="41">
        <f t="shared" si="0"/>
        <v>4889210.6430081679</v>
      </c>
      <c r="L9" s="41">
        <f t="shared" si="0"/>
        <v>5378545.3474528054</v>
      </c>
      <c r="M9" s="41">
        <f t="shared" si="0"/>
        <v>4479247.0006623799</v>
      </c>
      <c r="N9" s="41">
        <f t="shared" si="0"/>
        <v>2820409.4805132342</v>
      </c>
      <c r="O9" s="41">
        <f t="shared" si="0"/>
        <v>1659689.2330751389</v>
      </c>
      <c r="P9" s="41">
        <f t="shared" si="0"/>
        <v>1198416.1254058904</v>
      </c>
    </row>
    <row r="10" spans="1:16" x14ac:dyDescent="0.25">
      <c r="A10" s="24"/>
      <c r="B10" s="44"/>
      <c r="C10" s="44"/>
      <c r="D10" s="44"/>
      <c r="E10" s="44"/>
      <c r="F10" s="44"/>
      <c r="G10" s="44"/>
      <c r="H10" s="44"/>
      <c r="I10" s="44"/>
      <c r="J10" s="44"/>
      <c r="K10" s="44"/>
    </row>
    <row r="11" spans="1:16" x14ac:dyDescent="0.25">
      <c r="A11" s="24" t="s">
        <v>24</v>
      </c>
    </row>
    <row r="12" spans="1:16" x14ac:dyDescent="0.25">
      <c r="A12" s="9" t="str">
        <f>Assumption_Goat!B155</f>
        <v>Slated House Construction</v>
      </c>
      <c r="B12" s="35">
        <f>Assumption_Goat!D9*Assumption_Goat!D155</f>
        <v>0</v>
      </c>
      <c r="C12" s="35">
        <f>Assumption_Goat!E9*Assumption_Goat!E155</f>
        <v>280000</v>
      </c>
      <c r="D12" s="35">
        <f>Assumption_Goat!F9*Assumption_Goat!F155</f>
        <v>560000</v>
      </c>
      <c r="E12" s="35">
        <f>Assumption_Goat!G9*Assumption_Goat!G155</f>
        <v>560000</v>
      </c>
      <c r="F12" s="35">
        <f>Assumption_Goat!H9*Assumption_Goat!H155</f>
        <v>560000</v>
      </c>
      <c r="G12" s="35">
        <f>Assumption_Goat!I9*Assumption_Goat!I155</f>
        <v>280000</v>
      </c>
      <c r="H12" s="35">
        <f>Assumption_Goat!J9*Assumption_Goat!J155</f>
        <v>0</v>
      </c>
      <c r="I12" s="35">
        <f>Assumption_Goat!K9*Assumption_Goat!K155</f>
        <v>0</v>
      </c>
      <c r="J12" s="35">
        <f>Assumption_Goat!L9*Assumption_Goat!L155</f>
        <v>0</v>
      </c>
      <c r="K12" s="35">
        <f>Assumption_Goat!M9*Assumption_Goat!M155</f>
        <v>0</v>
      </c>
      <c r="L12" s="35">
        <f>Assumption_Goat!N9*Assumption_Goat!N155</f>
        <v>0</v>
      </c>
      <c r="M12" s="35">
        <f>Assumption_Goat!O9*Assumption_Goat!O155</f>
        <v>0</v>
      </c>
      <c r="N12" s="35">
        <f>Assumption_Goat!P9*Assumption_Goat!P155</f>
        <v>0</v>
      </c>
      <c r="O12" s="35">
        <f>Assumption_Goat!Q9*Assumption_Goat!Q155</f>
        <v>0</v>
      </c>
      <c r="P12" s="35">
        <f>Assumption_Goat!R9*Assumption_Goat!R155</f>
        <v>0</v>
      </c>
    </row>
    <row r="13" spans="1:16" x14ac:dyDescent="0.25">
      <c r="A13" s="9" t="str">
        <f>Assumption_Goat!B156</f>
        <v>Mother Goat Purchase</v>
      </c>
      <c r="B13" s="35">
        <f>Assumption_Goat!D9*Assumption_Goat!D156</f>
        <v>0</v>
      </c>
      <c r="C13" s="35">
        <f>Assumption_Goat!E9*Assumption_Goat!E156</f>
        <v>375000</v>
      </c>
      <c r="D13" s="35">
        <f>Assumption_Goat!F9*Assumption_Goat!F156</f>
        <v>750000</v>
      </c>
      <c r="E13" s="35">
        <f>Assumption_Goat!G9*Assumption_Goat!G156</f>
        <v>750000</v>
      </c>
      <c r="F13" s="35">
        <f>Assumption_Goat!H9*Assumption_Goat!H156</f>
        <v>750000</v>
      </c>
      <c r="G13" s="35">
        <f>Assumption_Goat!I9*Assumption_Goat!I156</f>
        <v>375000</v>
      </c>
      <c r="H13" s="35">
        <f>Assumption_Goat!J9*Assumption_Goat!J156</f>
        <v>0</v>
      </c>
      <c r="I13" s="35">
        <f>Assumption_Goat!K9*Assumption_Goat!K156</f>
        <v>0</v>
      </c>
      <c r="J13" s="35">
        <f>Assumption_Goat!L9*Assumption_Goat!L156</f>
        <v>0</v>
      </c>
      <c r="K13" s="35">
        <f>Assumption_Goat!M9*Assumption_Goat!M156</f>
        <v>0</v>
      </c>
      <c r="L13" s="35">
        <f>Assumption_Goat!N9*Assumption_Goat!N156</f>
        <v>0</v>
      </c>
      <c r="M13" s="35">
        <f>Assumption_Goat!O9*Assumption_Goat!O156</f>
        <v>0</v>
      </c>
      <c r="N13" s="35">
        <f>Assumption_Goat!P9*Assumption_Goat!P156</f>
        <v>0</v>
      </c>
      <c r="O13" s="35">
        <f>Assumption_Goat!Q9*Assumption_Goat!Q156</f>
        <v>0</v>
      </c>
      <c r="P13" s="35">
        <f>Assumption_Goat!R9*Assumption_Goat!R156</f>
        <v>0</v>
      </c>
    </row>
    <row r="14" spans="1:16" x14ac:dyDescent="0.25">
      <c r="A14" s="9" t="str">
        <f>Assumption_Goat!B157</f>
        <v>Maintenance Cost</v>
      </c>
      <c r="B14" s="35">
        <f>Assumption_Goat!D11*Assumption_Goat!D157</f>
        <v>0</v>
      </c>
      <c r="C14" s="35">
        <v>0</v>
      </c>
      <c r="D14" s="35">
        <f>Assumption_Goat!F11*Assumption_Goat!F157</f>
        <v>90000</v>
      </c>
      <c r="E14" s="203">
        <f>Assumption_Goat!G11*Assumption_Goat!G157</f>
        <v>157500.00000000003</v>
      </c>
      <c r="F14" s="35">
        <f>Assumption_Goat!H11*Assumption_Goat!H157</f>
        <v>210000</v>
      </c>
      <c r="G14" s="35">
        <f>Assumption_Goat!I11*Assumption_Goat!I157</f>
        <v>240000</v>
      </c>
      <c r="H14" s="203">
        <f>Assumption_Goat!J11*Assumption_Goat!J157</f>
        <v>252000.00000000003</v>
      </c>
      <c r="I14" s="35">
        <f>Assumption_Goat!K11*Assumption_Goat!K157</f>
        <v>240000</v>
      </c>
      <c r="J14" s="35">
        <f>Assumption_Goat!L11*Assumption_Goat!L157</f>
        <v>240000</v>
      </c>
      <c r="K14" s="203">
        <f>Assumption_Goat!M11*Assumption_Goat!M157</f>
        <v>252000.00000000003</v>
      </c>
      <c r="L14" s="35">
        <f>Assumption_Goat!N11*Assumption_Goat!N157</f>
        <v>210000</v>
      </c>
      <c r="M14" s="35">
        <f>Assumption_Goat!O11*Assumption_Goat!O157</f>
        <v>150000</v>
      </c>
      <c r="N14" s="203">
        <f>Assumption_Goat!P11*Assumption_Goat!P157</f>
        <v>94500.000000000015</v>
      </c>
      <c r="O14" s="35">
        <f>Assumption_Goat!Q11*Assumption_Goat!Q157</f>
        <v>30000</v>
      </c>
      <c r="P14" s="35">
        <f>Assumption_Goat!R11*Assumption_Goat!R157</f>
        <v>30000</v>
      </c>
    </row>
    <row r="15" spans="1:16" x14ac:dyDescent="0.25">
      <c r="A15" s="118" t="str">
        <f>Assumption_Goat!B158</f>
        <v>Medicine</v>
      </c>
      <c r="B15" s="35">
        <f>Assumption_Goat!D11*Assumption_Goat!D158</f>
        <v>0</v>
      </c>
      <c r="C15" s="35">
        <f>Assumption_Goat!E11*Assumption_Goat!E158</f>
        <v>50000</v>
      </c>
      <c r="D15" s="35">
        <f>Assumption_Goat!F11*Assumption_Goat!F158</f>
        <v>150000</v>
      </c>
      <c r="E15" s="203">
        <f>Assumption_Goat!G11*Assumption_Goat!G158</f>
        <v>265000.00000000006</v>
      </c>
      <c r="F15" s="35">
        <f>Assumption_Goat!H11*Assumption_Goat!H158</f>
        <v>350000</v>
      </c>
      <c r="G15" s="35">
        <f>Assumption_Goat!I11*Assumption_Goat!I158</f>
        <v>400000</v>
      </c>
      <c r="H15" s="203">
        <f>Assumption_Goat!J11*Assumption_Goat!J158</f>
        <v>424000.00000000006</v>
      </c>
      <c r="I15" s="35">
        <f>Assumption_Goat!K11*Assumption_Goat!K158</f>
        <v>400000</v>
      </c>
      <c r="J15" s="35">
        <f>Assumption_Goat!L11*Assumption_Goat!L158</f>
        <v>400000</v>
      </c>
      <c r="K15" s="203">
        <f>Assumption_Goat!M11*Assumption_Goat!M158</f>
        <v>424000.00000000006</v>
      </c>
      <c r="L15" s="35">
        <f>Assumption_Goat!N11*Assumption_Goat!N158</f>
        <v>350000</v>
      </c>
      <c r="M15" s="35">
        <f>Assumption_Goat!O11*Assumption_Goat!O158</f>
        <v>250000</v>
      </c>
      <c r="N15" s="203">
        <f>Assumption_Goat!P11*Assumption_Goat!P158</f>
        <v>159000.00000000003</v>
      </c>
      <c r="O15" s="35">
        <f>Assumption_Goat!Q11*Assumption_Goat!Q158</f>
        <v>50000</v>
      </c>
      <c r="P15" s="35">
        <f>Assumption_Goat!R11*Assumption_Goat!R158</f>
        <v>50000</v>
      </c>
    </row>
    <row r="16" spans="1:16" x14ac:dyDescent="0.25">
      <c r="A16" s="118" t="s">
        <v>15</v>
      </c>
      <c r="B16" s="35">
        <f>Assumption_Goat!D11*Assumption_Goat!D159*Assumption_Goat!D160*(1+Assumption_Goat!D161)^Assumption_Goat!D154</f>
        <v>0</v>
      </c>
      <c r="C16" s="35">
        <f>Assumption_Goat!E11*Assumption_Goat!E159*Assumption_Goat!E160*(1+Assumption_Goat!E161)^Assumption_Goat!E154</f>
        <v>335825</v>
      </c>
      <c r="D16" s="35">
        <f>Assumption_Goat!F11*Assumption_Goat!F159*Assumption_Goat!F160*(1+Assumption_Goat!F161)^Assumption_Goat!F154</f>
        <v>1017549.75</v>
      </c>
      <c r="E16" s="35">
        <f>Assumption_Goat!G11*Assumption_Goat!G159*Assumption_Goat!G160*(1+Assumption_Goat!G161)^Assumption_Goat!G154</f>
        <v>1712875.4124999999</v>
      </c>
      <c r="F16" s="35">
        <f>Assumption_Goat!H11*Assumption_Goat!H159*Assumption_Goat!H160*(1+Assumption_Goat!H161)^Assumption_Goat!H154</f>
        <v>2422005.8332750001</v>
      </c>
      <c r="G16" s="35">
        <f>Assumption_Goat!I11*Assumption_Goat!I159*Assumption_Goat!I160*(1+Assumption_Goat!I161)^Assumption_Goat!I154</f>
        <v>2795686.7332659997</v>
      </c>
      <c r="H16" s="35">
        <f>Assumption_Goat!J11*Assumption_Goat!J159*Assumption_Goat!J160*(1+Assumption_Goat!J161)^Assumption_Goat!J154</f>
        <v>2823643.6005986603</v>
      </c>
      <c r="I16" s="35">
        <f>Assumption_Goat!K11*Assumption_Goat!K159*Assumption_Goat!K160*(1+Assumption_Goat!K161)^Assumption_Goat!K154</f>
        <v>2851880.0366046461</v>
      </c>
      <c r="J16" s="35">
        <f>Assumption_Goat!L11*Assumption_Goat!L159*Assumption_Goat!L160*(1+Assumption_Goat!L161)^Assumption_Goat!L154</f>
        <v>2880398.8369706934</v>
      </c>
      <c r="K16" s="35">
        <f>Assumption_Goat!M11*Assumption_Goat!M159*Assumption_Goat!M160*(1+Assumption_Goat!M161)^Assumption_Goat!M154</f>
        <v>2909202.8253404004</v>
      </c>
      <c r="L16" s="35">
        <f>Assumption_Goat!N11*Assumption_Goat!N159*Assumption_Goat!N160*(1+Assumption_Goat!N161)^Assumption_Goat!N154</f>
        <v>2571007.9968945789</v>
      </c>
      <c r="M16" s="35">
        <f>Assumption_Goat!O11*Assumption_Goat!O159*Assumption_Goat!O160*(1+Assumption_Goat!O161)^Assumption_Goat!O154</f>
        <v>1854798.6263310888</v>
      </c>
      <c r="N16" s="35">
        <f>Assumption_Goat!P11*Assumption_Goat!P159*Assumption_Goat!P160*(1+Assumption_Goat!P161)^Assumption_Goat!P154</f>
        <v>1124007.9675566398</v>
      </c>
      <c r="O16" s="35">
        <f>Assumption_Goat!Q11*Assumption_Goat!Q159*Assumption_Goat!Q160*(1+Assumption_Goat!Q161)^Assumption_Goat!Q154</f>
        <v>378416.01574406878</v>
      </c>
      <c r="P16" s="35">
        <f>Assumption_Goat!R11*Assumption_Goat!R159*Assumption_Goat!R160*(1+Assumption_Goat!R161)^Assumption_Goat!R154</f>
        <v>382200.17590150947</v>
      </c>
    </row>
    <row r="17" spans="1:16" s="54" customFormat="1" x14ac:dyDescent="0.25">
      <c r="A17" s="56" t="s">
        <v>156</v>
      </c>
      <c r="B17" s="53">
        <f>Assumption_Goat!D36</f>
        <v>0</v>
      </c>
      <c r="C17" s="53">
        <f>Assumption_Goat!E36</f>
        <v>0</v>
      </c>
      <c r="D17" s="53">
        <f>Assumption_Goat!F36</f>
        <v>969400</v>
      </c>
      <c r="E17" s="53">
        <f>Assumption_Goat!G36</f>
        <v>1938800</v>
      </c>
      <c r="F17" s="53">
        <f>Assumption_Goat!H36</f>
        <v>1938800</v>
      </c>
      <c r="G17" s="53">
        <f>Assumption_Goat!I36</f>
        <v>1938800</v>
      </c>
      <c r="H17" s="53">
        <f>Assumption_Goat!J36</f>
        <v>969400</v>
      </c>
      <c r="I17" s="53">
        <f>Assumption_Goat!K36</f>
        <v>0</v>
      </c>
      <c r="J17" s="53">
        <f>Assumption_Goat!L36</f>
        <v>0</v>
      </c>
      <c r="K17" s="53">
        <f>Assumption_Goat!M36</f>
        <v>0</v>
      </c>
      <c r="L17" s="53">
        <f>Assumption_Goat!N36</f>
        <v>0</v>
      </c>
      <c r="M17" s="53">
        <f>Assumption_Goat!O36</f>
        <v>0</v>
      </c>
      <c r="N17" s="53">
        <f>Assumption_Goat!P36</f>
        <v>0</v>
      </c>
      <c r="O17" s="53">
        <f>Assumption_Goat!Q36</f>
        <v>0</v>
      </c>
      <c r="P17" s="53">
        <f>Assumption_Goat!R36</f>
        <v>0</v>
      </c>
    </row>
    <row r="18" spans="1:16" x14ac:dyDescent="0.25">
      <c r="A18" s="127" t="s">
        <v>59</v>
      </c>
      <c r="B18" s="40">
        <f t="shared" ref="B18:P18" si="1">SUM(B12:B17)</f>
        <v>0</v>
      </c>
      <c r="C18" s="40">
        <f t="shared" si="1"/>
        <v>1040825</v>
      </c>
      <c r="D18" s="40">
        <f t="shared" si="1"/>
        <v>3536949.75</v>
      </c>
      <c r="E18" s="40">
        <f t="shared" si="1"/>
        <v>5384175.4124999996</v>
      </c>
      <c r="F18" s="40">
        <f t="shared" si="1"/>
        <v>6230805.8332749996</v>
      </c>
      <c r="G18" s="40">
        <f t="shared" si="1"/>
        <v>6029486.7332659997</v>
      </c>
      <c r="H18" s="40">
        <f t="shared" si="1"/>
        <v>4469043.6005986603</v>
      </c>
      <c r="I18" s="40">
        <f t="shared" si="1"/>
        <v>3491880.0366046461</v>
      </c>
      <c r="J18" s="40">
        <f t="shared" si="1"/>
        <v>3520398.8369706934</v>
      </c>
      <c r="K18" s="40">
        <f t="shared" si="1"/>
        <v>3585202.8253404004</v>
      </c>
      <c r="L18" s="40">
        <f t="shared" si="1"/>
        <v>3131007.9968945789</v>
      </c>
      <c r="M18" s="40">
        <f t="shared" si="1"/>
        <v>2254798.6263310891</v>
      </c>
      <c r="N18" s="40">
        <f t="shared" si="1"/>
        <v>1377507.9675566398</v>
      </c>
      <c r="O18" s="40">
        <f t="shared" si="1"/>
        <v>458416.01574406878</v>
      </c>
      <c r="P18" s="40">
        <f t="shared" si="1"/>
        <v>462200.17590150947</v>
      </c>
    </row>
    <row r="19" spans="1:16" x14ac:dyDescent="0.25">
      <c r="B19" s="34"/>
      <c r="C19" s="34"/>
      <c r="D19" s="34"/>
      <c r="E19" s="34"/>
      <c r="F19" s="34"/>
      <c r="G19" s="34"/>
      <c r="H19" s="34"/>
      <c r="I19" s="34"/>
      <c r="J19" s="34"/>
      <c r="K19" s="34"/>
      <c r="L19" s="34"/>
    </row>
    <row r="20" spans="1:16" x14ac:dyDescent="0.25">
      <c r="A20" s="24" t="s">
        <v>60</v>
      </c>
      <c r="B20" s="36">
        <f t="shared" ref="B20:P20" si="2">B9-B18</f>
        <v>0</v>
      </c>
      <c r="C20" s="36">
        <f t="shared" si="2"/>
        <v>-1040825</v>
      </c>
      <c r="D20" s="36">
        <f t="shared" si="2"/>
        <v>-1593659.25</v>
      </c>
      <c r="E20" s="36">
        <f t="shared" si="2"/>
        <v>-2505514.4184999997</v>
      </c>
      <c r="F20" s="36">
        <f t="shared" si="2"/>
        <v>-1605321.0088249994</v>
      </c>
      <c r="G20" s="36">
        <f t="shared" si="2"/>
        <v>-690355.67875800002</v>
      </c>
      <c r="H20" s="36">
        <f t="shared" si="2"/>
        <v>276376.08064805064</v>
      </c>
      <c r="I20" s="36">
        <f t="shared" si="2"/>
        <v>1954567.5520989639</v>
      </c>
      <c r="J20" s="36">
        <f t="shared" si="2"/>
        <v>1980513.2276199544</v>
      </c>
      <c r="K20" s="36">
        <f t="shared" si="2"/>
        <v>1304007.8176677674</v>
      </c>
      <c r="L20" s="36">
        <f t="shared" si="2"/>
        <v>2247537.3505582265</v>
      </c>
      <c r="M20" s="36">
        <f t="shared" si="2"/>
        <v>2224448.3743312908</v>
      </c>
      <c r="N20" s="36">
        <f t="shared" si="2"/>
        <v>1442901.5129565943</v>
      </c>
      <c r="O20" s="36">
        <f t="shared" si="2"/>
        <v>1201273.21733107</v>
      </c>
      <c r="P20" s="36">
        <f t="shared" si="2"/>
        <v>736215.94950438093</v>
      </c>
    </row>
    <row r="21" spans="1:16" x14ac:dyDescent="0.25">
      <c r="B21" s="34"/>
      <c r="C21" s="34"/>
      <c r="D21" s="34"/>
      <c r="E21" s="34"/>
      <c r="F21" s="34"/>
      <c r="G21" s="34"/>
      <c r="H21" s="34"/>
      <c r="I21" s="34"/>
      <c r="J21" s="34"/>
      <c r="K21" s="34"/>
      <c r="L21" s="34"/>
    </row>
    <row r="22" spans="1:16" s="13" customFormat="1" x14ac:dyDescent="0.25">
      <c r="A22" s="24" t="s">
        <v>61</v>
      </c>
      <c r="B22" s="42">
        <f>B20/(1+Assumption_Hatchery!$C76)^B4</f>
        <v>0</v>
      </c>
      <c r="C22" s="42">
        <f>C20/(1+Assumption_Hatchery!$C76)^C4</f>
        <v>-954885.32110091741</v>
      </c>
      <c r="D22" s="42">
        <f>D20/(1+Assumption_Hatchery!$C76)^D4</f>
        <v>-1341351.1068091909</v>
      </c>
      <c r="E22" s="42">
        <f>E20/(1+Assumption_Hatchery!$C76)^E4</f>
        <v>-1934716.8430205032</v>
      </c>
      <c r="F22" s="42">
        <f>F20/(1+Assumption_Hatchery!$C76)^F4</f>
        <v>-1137249.8745042444</v>
      </c>
      <c r="G22" s="42">
        <f>G20/(1+Assumption_Hatchery!$C76)^G4</f>
        <v>-448683.82333412208</v>
      </c>
      <c r="H22" s="42">
        <f>H20/(1+Assumption_Hatchery!$C76)^H4</f>
        <v>164794.02682136773</v>
      </c>
      <c r="I22" s="42">
        <f>I20/(1+Assumption_Hatchery!$C76)^I4</f>
        <v>1069215.3848577079</v>
      </c>
      <c r="J22" s="42">
        <f>J20/(1+Assumption_Hatchery!$C76)^J4</f>
        <v>993952.80538833269</v>
      </c>
      <c r="K22" s="42">
        <f>K20/(1+Assumption_Hatchery!$C76)^K4</f>
        <v>600401.42396066757</v>
      </c>
      <c r="L22" s="42">
        <f>L20/(1+Assumption_Hatchery!$C76)^L4</f>
        <v>949384.06577749935</v>
      </c>
      <c r="M22" s="42">
        <f>M20/(1+Assumption_Hatchery!$C76)^M4</f>
        <v>862046.81898998539</v>
      </c>
      <c r="N22" s="42">
        <f>N20/(1+Assumption_Hatchery!$C76)^N4</f>
        <v>513001.59276071494</v>
      </c>
      <c r="O22" s="42">
        <f>O20/(1+Assumption_Hatchery!$C76)^O4</f>
        <v>391829.67256717611</v>
      </c>
      <c r="P22" s="42">
        <f>P20/(1+Assumption_Hatchery!$C76)^P4</f>
        <v>220310.02038884684</v>
      </c>
    </row>
    <row r="23" spans="1:16" x14ac:dyDescent="0.25">
      <c r="B23" s="34"/>
      <c r="C23" s="34"/>
      <c r="D23" s="34"/>
      <c r="E23" s="34"/>
      <c r="F23" s="34"/>
      <c r="G23" s="34"/>
      <c r="H23" s="34"/>
      <c r="I23" s="34"/>
      <c r="J23" s="34"/>
      <c r="K23" s="34"/>
      <c r="L23" s="34"/>
    </row>
    <row r="24" spans="1:16" s="13" customFormat="1" x14ac:dyDescent="0.25">
      <c r="A24" s="26" t="s">
        <v>62</v>
      </c>
      <c r="B24" s="37">
        <f>NPV(Assumption_Hatchery!C76,C20:P20)+B20</f>
        <v>-51951.157256680563</v>
      </c>
      <c r="C24" s="43"/>
      <c r="D24" s="43"/>
      <c r="E24" s="43"/>
      <c r="F24" s="43"/>
      <c r="G24" s="43"/>
      <c r="H24" s="43"/>
      <c r="I24" s="43"/>
      <c r="J24" s="43"/>
      <c r="K24" s="43"/>
      <c r="L24" s="43"/>
    </row>
    <row r="26" spans="1:16" s="13" customFormat="1" x14ac:dyDescent="0.25">
      <c r="A26" s="26" t="s">
        <v>25</v>
      </c>
      <c r="B26" s="38">
        <f>IRR(B20:P20)</f>
        <v>8.8557773908994664E-2</v>
      </c>
      <c r="C26" s="4"/>
      <c r="D26" s="4"/>
      <c r="E26" s="4"/>
      <c r="F26" s="4"/>
      <c r="G26" s="4"/>
      <c r="H26" s="4"/>
      <c r="I26" s="4"/>
      <c r="J26" s="4"/>
      <c r="K26" s="4"/>
      <c r="L26" s="4"/>
    </row>
    <row r="28" spans="1:16" s="13" customFormat="1" x14ac:dyDescent="0.25">
      <c r="A28" s="27" t="s">
        <v>63</v>
      </c>
      <c r="B28" s="39">
        <f>B22</f>
        <v>0</v>
      </c>
      <c r="C28" s="39">
        <f>B28+C22</f>
        <v>-954885.32110091741</v>
      </c>
      <c r="D28" s="39">
        <f t="shared" ref="D28:P28" si="3">C28+D22</f>
        <v>-2296236.4279101081</v>
      </c>
      <c r="E28" s="39">
        <f t="shared" si="3"/>
        <v>-4230953.2709306115</v>
      </c>
      <c r="F28" s="39">
        <f t="shared" si="3"/>
        <v>-5368203.1454348564</v>
      </c>
      <c r="G28" s="39">
        <f t="shared" si="3"/>
        <v>-5816886.9687689785</v>
      </c>
      <c r="H28" s="39">
        <f t="shared" si="3"/>
        <v>-5652092.941947611</v>
      </c>
      <c r="I28" s="39">
        <f t="shared" si="3"/>
        <v>-4582877.5570899034</v>
      </c>
      <c r="J28" s="39">
        <f t="shared" si="3"/>
        <v>-3588924.7517015706</v>
      </c>
      <c r="K28" s="39">
        <f t="shared" si="3"/>
        <v>-2988523.327740903</v>
      </c>
      <c r="L28" s="39">
        <f t="shared" si="3"/>
        <v>-2039139.2619634038</v>
      </c>
      <c r="M28" s="39">
        <f t="shared" si="3"/>
        <v>-1177092.4429734184</v>
      </c>
      <c r="N28" s="39">
        <f t="shared" si="3"/>
        <v>-664090.85021270346</v>
      </c>
      <c r="O28" s="39">
        <f t="shared" si="3"/>
        <v>-272261.17764552735</v>
      </c>
      <c r="P28" s="39">
        <f t="shared" si="3"/>
        <v>-51951.157256680512</v>
      </c>
    </row>
    <row r="30" spans="1:16" s="1" customFormat="1" x14ac:dyDescent="0.25">
      <c r="A30" s="25"/>
      <c r="B30" s="45"/>
      <c r="C30" s="45"/>
      <c r="D30" s="45"/>
      <c r="E30" s="45"/>
      <c r="F30" s="45"/>
      <c r="G30" s="45"/>
      <c r="H30" s="45"/>
      <c r="I30" s="45"/>
      <c r="J30" s="45"/>
      <c r="K30" s="45"/>
      <c r="L30" s="45"/>
    </row>
    <row r="32" spans="1:16" ht="38.25" customHeight="1" x14ac:dyDescent="0.25">
      <c r="A32" s="11" t="str">
        <f>A2</f>
        <v>Aggregate Financial Analysis_Goat Rearing</v>
      </c>
      <c r="B32" s="32"/>
      <c r="C32" s="76"/>
      <c r="D32" s="77"/>
      <c r="E32" s="32"/>
      <c r="F32" s="126" t="s">
        <v>105</v>
      </c>
      <c r="G32" s="32"/>
      <c r="H32" s="32"/>
      <c r="I32" s="32"/>
      <c r="J32" s="32"/>
      <c r="K32" s="32"/>
      <c r="L32" s="32"/>
      <c r="M32" s="11"/>
    </row>
    <row r="33" spans="1:16" ht="38.25" customHeight="1" x14ac:dyDescent="0.25">
      <c r="A33" s="11"/>
      <c r="B33" s="32"/>
      <c r="C33" s="76"/>
      <c r="D33" s="77"/>
      <c r="E33" s="32"/>
      <c r="F33" s="126"/>
      <c r="G33" s="32"/>
      <c r="H33" s="32"/>
      <c r="I33" s="32"/>
      <c r="J33" s="32"/>
      <c r="K33" s="32"/>
      <c r="L33" s="32"/>
      <c r="M33" s="11"/>
    </row>
    <row r="34" spans="1:16" x14ac:dyDescent="0.25">
      <c r="A34" s="10" t="s">
        <v>22</v>
      </c>
      <c r="B34" s="28">
        <v>0</v>
      </c>
      <c r="C34" s="28">
        <v>1</v>
      </c>
      <c r="D34" s="28">
        <v>2</v>
      </c>
      <c r="E34" s="28">
        <v>3</v>
      </c>
      <c r="F34" s="28">
        <v>4</v>
      </c>
      <c r="G34" s="28">
        <v>5</v>
      </c>
      <c r="H34" s="28">
        <v>6</v>
      </c>
      <c r="I34" s="28">
        <v>7</v>
      </c>
      <c r="J34" s="28">
        <v>8</v>
      </c>
      <c r="K34" s="28">
        <v>9</v>
      </c>
      <c r="L34" s="28">
        <v>10</v>
      </c>
      <c r="M34" s="28">
        <v>11</v>
      </c>
      <c r="N34" s="28">
        <v>12</v>
      </c>
      <c r="O34" s="28">
        <v>13</v>
      </c>
      <c r="P34" s="28">
        <v>14</v>
      </c>
    </row>
    <row r="35" spans="1:16" x14ac:dyDescent="0.25">
      <c r="A35" s="24" t="s">
        <v>23</v>
      </c>
    </row>
    <row r="36" spans="1:16" x14ac:dyDescent="0.25">
      <c r="A36" s="10" t="str">
        <f>A6</f>
        <v>Goat Sale ($)</v>
      </c>
      <c r="B36" s="33">
        <f t="shared" ref="B36:P36" si="4">B6</f>
        <v>0</v>
      </c>
      <c r="C36" s="33">
        <f t="shared" si="4"/>
        <v>0</v>
      </c>
      <c r="D36" s="33">
        <f t="shared" si="4"/>
        <v>1943290.5</v>
      </c>
      <c r="E36" s="33">
        <f t="shared" si="4"/>
        <v>2878660.9939999999</v>
      </c>
      <c r="F36" s="33">
        <f t="shared" si="4"/>
        <v>4625484.8244500002</v>
      </c>
      <c r="G36" s="33">
        <f t="shared" si="4"/>
        <v>5339131.0545079997</v>
      </c>
      <c r="H36" s="33">
        <f t="shared" si="4"/>
        <v>4745419.6812467109</v>
      </c>
      <c r="I36" s="33">
        <f t="shared" si="4"/>
        <v>5446447.58870361</v>
      </c>
      <c r="J36" s="33">
        <f t="shared" si="4"/>
        <v>5500912.0645906478</v>
      </c>
      <c r="K36" s="33">
        <f t="shared" si="4"/>
        <v>4889210.6430081679</v>
      </c>
      <c r="L36" s="33">
        <f t="shared" si="4"/>
        <v>4910045.3474528054</v>
      </c>
      <c r="M36" s="33">
        <f t="shared" si="4"/>
        <v>3542247.0006623799</v>
      </c>
      <c r="N36" s="33">
        <f t="shared" si="4"/>
        <v>1889009.4805132342</v>
      </c>
      <c r="O36" s="33">
        <f t="shared" si="4"/>
        <v>722689.23307513888</v>
      </c>
      <c r="P36" s="33">
        <f t="shared" si="4"/>
        <v>729916.12540589029</v>
      </c>
    </row>
    <row r="37" spans="1:16" x14ac:dyDescent="0.25">
      <c r="A37" s="10" t="str">
        <f t="shared" ref="A37:A38" si="5">A7</f>
        <v>Residual ($)</v>
      </c>
      <c r="B37" s="33">
        <f t="shared" ref="B37:P38" si="6">B7</f>
        <v>0</v>
      </c>
      <c r="C37" s="33">
        <f t="shared" si="6"/>
        <v>0</v>
      </c>
      <c r="D37" s="33">
        <f t="shared" si="6"/>
        <v>0</v>
      </c>
      <c r="E37" s="33">
        <f t="shared" si="6"/>
        <v>0</v>
      </c>
      <c r="F37" s="33">
        <f t="shared" si="6"/>
        <v>0</v>
      </c>
      <c r="G37" s="33">
        <f t="shared" si="6"/>
        <v>0</v>
      </c>
      <c r="H37" s="33">
        <f t="shared" si="6"/>
        <v>0</v>
      </c>
      <c r="I37" s="33">
        <f t="shared" si="6"/>
        <v>0</v>
      </c>
      <c r="J37" s="33">
        <f t="shared" si="6"/>
        <v>0</v>
      </c>
      <c r="K37" s="33">
        <f t="shared" si="6"/>
        <v>0</v>
      </c>
      <c r="L37" s="33">
        <f t="shared" si="6"/>
        <v>56000</v>
      </c>
      <c r="M37" s="33">
        <f t="shared" si="6"/>
        <v>112000</v>
      </c>
      <c r="N37" s="33">
        <f t="shared" si="6"/>
        <v>106400</v>
      </c>
      <c r="O37" s="33">
        <f t="shared" si="6"/>
        <v>112000</v>
      </c>
      <c r="P37" s="33">
        <f t="shared" si="6"/>
        <v>56000</v>
      </c>
    </row>
    <row r="38" spans="1:16" x14ac:dyDescent="0.25">
      <c r="A38" s="10" t="str">
        <f t="shared" si="5"/>
        <v>Mother Goat Sale ($)</v>
      </c>
      <c r="B38" s="33">
        <f t="shared" si="6"/>
        <v>0</v>
      </c>
      <c r="C38" s="33">
        <f t="shared" si="6"/>
        <v>0</v>
      </c>
      <c r="D38" s="33">
        <f t="shared" si="6"/>
        <v>0</v>
      </c>
      <c r="E38" s="33">
        <f t="shared" si="6"/>
        <v>0</v>
      </c>
      <c r="F38" s="33">
        <f t="shared" si="6"/>
        <v>0</v>
      </c>
      <c r="G38" s="33">
        <f t="shared" si="6"/>
        <v>0</v>
      </c>
      <c r="H38" s="33">
        <f t="shared" si="6"/>
        <v>0</v>
      </c>
      <c r="I38" s="33">
        <f t="shared" si="6"/>
        <v>0</v>
      </c>
      <c r="J38" s="33">
        <f t="shared" si="6"/>
        <v>0</v>
      </c>
      <c r="K38" s="33">
        <f t="shared" si="6"/>
        <v>0</v>
      </c>
      <c r="L38" s="33">
        <f t="shared" si="6"/>
        <v>412500</v>
      </c>
      <c r="M38" s="33">
        <f t="shared" si="6"/>
        <v>825000</v>
      </c>
      <c r="N38" s="33">
        <f t="shared" si="6"/>
        <v>825000</v>
      </c>
      <c r="O38" s="33">
        <f t="shared" si="6"/>
        <v>825000</v>
      </c>
      <c r="P38" s="33">
        <f t="shared" si="6"/>
        <v>412500</v>
      </c>
    </row>
    <row r="39" spans="1:16" s="13" customFormat="1" x14ac:dyDescent="0.25">
      <c r="A39" s="24" t="s">
        <v>58</v>
      </c>
      <c r="B39" s="41">
        <f>B36+B37+B38</f>
        <v>0</v>
      </c>
      <c r="C39" s="41">
        <f>C36+C37+C38</f>
        <v>0</v>
      </c>
      <c r="D39" s="41">
        <f t="shared" ref="D39:P39" si="7">D36+D37+D38</f>
        <v>1943290.5</v>
      </c>
      <c r="E39" s="41">
        <f t="shared" si="7"/>
        <v>2878660.9939999999</v>
      </c>
      <c r="F39" s="41">
        <f t="shared" si="7"/>
        <v>4625484.8244500002</v>
      </c>
      <c r="G39" s="41">
        <f t="shared" si="7"/>
        <v>5339131.0545079997</v>
      </c>
      <c r="H39" s="41">
        <f t="shared" si="7"/>
        <v>4745419.6812467109</v>
      </c>
      <c r="I39" s="41">
        <f t="shared" si="7"/>
        <v>5446447.58870361</v>
      </c>
      <c r="J39" s="41">
        <f t="shared" si="7"/>
        <v>5500912.0645906478</v>
      </c>
      <c r="K39" s="41">
        <f t="shared" si="7"/>
        <v>4889210.6430081679</v>
      </c>
      <c r="L39" s="41">
        <f t="shared" si="7"/>
        <v>5378545.3474528054</v>
      </c>
      <c r="M39" s="41">
        <f t="shared" si="7"/>
        <v>4479247.0006623799</v>
      </c>
      <c r="N39" s="41">
        <f t="shared" si="7"/>
        <v>2820409.4805132342</v>
      </c>
      <c r="O39" s="41">
        <f t="shared" si="7"/>
        <v>1659689.2330751389</v>
      </c>
      <c r="P39" s="41">
        <f t="shared" si="7"/>
        <v>1198416.1254058904</v>
      </c>
    </row>
    <row r="40" spans="1:16" x14ac:dyDescent="0.25">
      <c r="A40" s="24"/>
      <c r="B40" s="44"/>
      <c r="C40" s="44"/>
      <c r="D40" s="44"/>
      <c r="E40" s="44"/>
      <c r="F40" s="44"/>
      <c r="G40" s="44"/>
      <c r="H40" s="44"/>
      <c r="I40" s="44"/>
      <c r="J40" s="44"/>
      <c r="K40" s="44"/>
    </row>
    <row r="41" spans="1:16" x14ac:dyDescent="0.25">
      <c r="A41" s="24" t="s">
        <v>24</v>
      </c>
    </row>
    <row r="42" spans="1:16" x14ac:dyDescent="0.25">
      <c r="A42" s="9" t="str">
        <f>A12</f>
        <v>Slated House Construction</v>
      </c>
      <c r="B42" s="35">
        <f t="shared" ref="B42:P42" si="8">B12</f>
        <v>0</v>
      </c>
      <c r="C42" s="35">
        <f t="shared" si="8"/>
        <v>280000</v>
      </c>
      <c r="D42" s="35">
        <f t="shared" si="8"/>
        <v>560000</v>
      </c>
      <c r="E42" s="35">
        <f t="shared" si="8"/>
        <v>560000</v>
      </c>
      <c r="F42" s="35">
        <f t="shared" si="8"/>
        <v>560000</v>
      </c>
      <c r="G42" s="35">
        <f t="shared" si="8"/>
        <v>280000</v>
      </c>
      <c r="H42" s="35">
        <f t="shared" si="8"/>
        <v>0</v>
      </c>
      <c r="I42" s="35">
        <f t="shared" si="8"/>
        <v>0</v>
      </c>
      <c r="J42" s="35">
        <f t="shared" si="8"/>
        <v>0</v>
      </c>
      <c r="K42" s="35">
        <f t="shared" si="8"/>
        <v>0</v>
      </c>
      <c r="L42" s="35">
        <f t="shared" si="8"/>
        <v>0</v>
      </c>
      <c r="M42" s="35">
        <f t="shared" si="8"/>
        <v>0</v>
      </c>
      <c r="N42" s="35">
        <f t="shared" si="8"/>
        <v>0</v>
      </c>
      <c r="O42" s="35">
        <f t="shared" si="8"/>
        <v>0</v>
      </c>
      <c r="P42" s="35">
        <f t="shared" si="8"/>
        <v>0</v>
      </c>
    </row>
    <row r="43" spans="1:16" x14ac:dyDescent="0.25">
      <c r="A43" s="9" t="str">
        <f t="shared" ref="A43:A46" si="9">A13</f>
        <v>Mother Goat Purchase</v>
      </c>
      <c r="B43" s="35">
        <f t="shared" ref="B43:P43" si="10">B13</f>
        <v>0</v>
      </c>
      <c r="C43" s="35">
        <f t="shared" si="10"/>
        <v>375000</v>
      </c>
      <c r="D43" s="35">
        <f t="shared" si="10"/>
        <v>750000</v>
      </c>
      <c r="E43" s="35">
        <f t="shared" si="10"/>
        <v>750000</v>
      </c>
      <c r="F43" s="35">
        <f t="shared" si="10"/>
        <v>750000</v>
      </c>
      <c r="G43" s="35">
        <f t="shared" si="10"/>
        <v>375000</v>
      </c>
      <c r="H43" s="35">
        <f t="shared" si="10"/>
        <v>0</v>
      </c>
      <c r="I43" s="35">
        <f t="shared" si="10"/>
        <v>0</v>
      </c>
      <c r="J43" s="35">
        <f t="shared" si="10"/>
        <v>0</v>
      </c>
      <c r="K43" s="35">
        <f t="shared" si="10"/>
        <v>0</v>
      </c>
      <c r="L43" s="35">
        <f t="shared" si="10"/>
        <v>0</v>
      </c>
      <c r="M43" s="35">
        <f t="shared" si="10"/>
        <v>0</v>
      </c>
      <c r="N43" s="35">
        <f t="shared" si="10"/>
        <v>0</v>
      </c>
      <c r="O43" s="35">
        <f t="shared" si="10"/>
        <v>0</v>
      </c>
      <c r="P43" s="35">
        <f t="shared" si="10"/>
        <v>0</v>
      </c>
    </row>
    <row r="44" spans="1:16" x14ac:dyDescent="0.25">
      <c r="A44" s="9" t="str">
        <f t="shared" si="9"/>
        <v>Maintenance Cost</v>
      </c>
      <c r="B44" s="35">
        <f t="shared" ref="B44:P44" si="11">B14</f>
        <v>0</v>
      </c>
      <c r="C44" s="35">
        <f t="shared" si="11"/>
        <v>0</v>
      </c>
      <c r="D44" s="35">
        <f t="shared" si="11"/>
        <v>90000</v>
      </c>
      <c r="E44" s="35">
        <f t="shared" si="11"/>
        <v>157500.00000000003</v>
      </c>
      <c r="F44" s="35">
        <f t="shared" si="11"/>
        <v>210000</v>
      </c>
      <c r="G44" s="35">
        <f t="shared" si="11"/>
        <v>240000</v>
      </c>
      <c r="H44" s="35">
        <f t="shared" si="11"/>
        <v>252000.00000000003</v>
      </c>
      <c r="I44" s="35">
        <f t="shared" si="11"/>
        <v>240000</v>
      </c>
      <c r="J44" s="35">
        <f t="shared" si="11"/>
        <v>240000</v>
      </c>
      <c r="K44" s="35">
        <f t="shared" si="11"/>
        <v>252000.00000000003</v>
      </c>
      <c r="L44" s="35">
        <f t="shared" si="11"/>
        <v>210000</v>
      </c>
      <c r="M44" s="35">
        <f t="shared" si="11"/>
        <v>150000</v>
      </c>
      <c r="N44" s="35">
        <f t="shared" si="11"/>
        <v>94500.000000000015</v>
      </c>
      <c r="O44" s="35">
        <f t="shared" si="11"/>
        <v>30000</v>
      </c>
      <c r="P44" s="35">
        <f t="shared" si="11"/>
        <v>30000</v>
      </c>
    </row>
    <row r="45" spans="1:16" x14ac:dyDescent="0.25">
      <c r="A45" s="9" t="str">
        <f t="shared" si="9"/>
        <v>Medicine</v>
      </c>
      <c r="B45" s="35">
        <f t="shared" ref="B45:P45" si="12">B15</f>
        <v>0</v>
      </c>
      <c r="C45" s="35">
        <f t="shared" si="12"/>
        <v>50000</v>
      </c>
      <c r="D45" s="35">
        <f t="shared" si="12"/>
        <v>150000</v>
      </c>
      <c r="E45" s="35">
        <f t="shared" si="12"/>
        <v>265000.00000000006</v>
      </c>
      <c r="F45" s="35">
        <f t="shared" si="12"/>
        <v>350000</v>
      </c>
      <c r="G45" s="35">
        <f t="shared" si="12"/>
        <v>400000</v>
      </c>
      <c r="H45" s="35">
        <f t="shared" si="12"/>
        <v>424000.00000000006</v>
      </c>
      <c r="I45" s="35">
        <f t="shared" si="12"/>
        <v>400000</v>
      </c>
      <c r="J45" s="35">
        <f t="shared" si="12"/>
        <v>400000</v>
      </c>
      <c r="K45" s="35">
        <f t="shared" si="12"/>
        <v>424000.00000000006</v>
      </c>
      <c r="L45" s="35">
        <f t="shared" si="12"/>
        <v>350000</v>
      </c>
      <c r="M45" s="35">
        <f t="shared" si="12"/>
        <v>250000</v>
      </c>
      <c r="N45" s="35">
        <f t="shared" si="12"/>
        <v>159000.00000000003</v>
      </c>
      <c r="O45" s="35">
        <f t="shared" si="12"/>
        <v>50000</v>
      </c>
      <c r="P45" s="35">
        <f t="shared" si="12"/>
        <v>50000</v>
      </c>
    </row>
    <row r="46" spans="1:16" x14ac:dyDescent="0.25">
      <c r="A46" s="9" t="str">
        <f t="shared" si="9"/>
        <v>Labor</v>
      </c>
      <c r="B46" s="35">
        <f>B16</f>
        <v>0</v>
      </c>
      <c r="C46" s="35">
        <f t="shared" ref="C46:P46" si="13">C16</f>
        <v>335825</v>
      </c>
      <c r="D46" s="35">
        <f t="shared" si="13"/>
        <v>1017549.75</v>
      </c>
      <c r="E46" s="35">
        <f t="shared" si="13"/>
        <v>1712875.4124999999</v>
      </c>
      <c r="F46" s="35">
        <f t="shared" si="13"/>
        <v>2422005.8332750001</v>
      </c>
      <c r="G46" s="35">
        <f t="shared" si="13"/>
        <v>2795686.7332659997</v>
      </c>
      <c r="H46" s="35">
        <f t="shared" si="13"/>
        <v>2823643.6005986603</v>
      </c>
      <c r="I46" s="35">
        <f t="shared" si="13"/>
        <v>2851880.0366046461</v>
      </c>
      <c r="J46" s="35">
        <f t="shared" si="13"/>
        <v>2880398.8369706934</v>
      </c>
      <c r="K46" s="35">
        <f t="shared" si="13"/>
        <v>2909202.8253404004</v>
      </c>
      <c r="L46" s="35">
        <f t="shared" si="13"/>
        <v>2571007.9968945789</v>
      </c>
      <c r="M46" s="35">
        <f t="shared" si="13"/>
        <v>1854798.6263310888</v>
      </c>
      <c r="N46" s="35">
        <f t="shared" si="13"/>
        <v>1124007.9675566398</v>
      </c>
      <c r="O46" s="35">
        <f t="shared" si="13"/>
        <v>378416.01574406878</v>
      </c>
      <c r="P46" s="35">
        <f t="shared" si="13"/>
        <v>382200.17590150947</v>
      </c>
    </row>
    <row r="47" spans="1:16" s="54" customFormat="1" x14ac:dyDescent="0.25">
      <c r="A47" s="56" t="s">
        <v>156</v>
      </c>
      <c r="B47" s="53">
        <f>Assumption_Goat!D46</f>
        <v>0</v>
      </c>
      <c r="C47" s="53">
        <f>Assumption_Goat!E46</f>
        <v>0</v>
      </c>
      <c r="D47" s="53">
        <f>Assumption_Goat!F46</f>
        <v>555000</v>
      </c>
      <c r="E47" s="53">
        <f>Assumption_Goat!G46</f>
        <v>1110000</v>
      </c>
      <c r="F47" s="53">
        <f>Assumption_Goat!H46</f>
        <v>1110000</v>
      </c>
      <c r="G47" s="53">
        <f>Assumption_Goat!I46</f>
        <v>1110000</v>
      </c>
      <c r="H47" s="53">
        <f>Assumption_Goat!J46</f>
        <v>555000</v>
      </c>
      <c r="I47" s="53">
        <f>Assumption_Goat!K46</f>
        <v>0</v>
      </c>
      <c r="J47" s="53">
        <f>Assumption_Goat!L46</f>
        <v>0</v>
      </c>
      <c r="K47" s="53">
        <f>Assumption_Goat!M46</f>
        <v>0</v>
      </c>
      <c r="L47" s="53">
        <f>Assumption_Goat!N46</f>
        <v>0</v>
      </c>
      <c r="M47" s="53">
        <f>Assumption_Goat!O46</f>
        <v>0</v>
      </c>
      <c r="N47" s="53">
        <f>Assumption_Goat!P46</f>
        <v>0</v>
      </c>
      <c r="O47" s="53">
        <f>Assumption_Goat!Q46</f>
        <v>0</v>
      </c>
      <c r="P47" s="53">
        <f>Assumption_Goat!R46</f>
        <v>0</v>
      </c>
    </row>
    <row r="48" spans="1:16" x14ac:dyDescent="0.25">
      <c r="A48" s="127" t="s">
        <v>59</v>
      </c>
      <c r="B48" s="40">
        <f t="shared" ref="B48:P48" si="14">SUM(B42:B47)</f>
        <v>0</v>
      </c>
      <c r="C48" s="40">
        <f t="shared" si="14"/>
        <v>1040825</v>
      </c>
      <c r="D48" s="40">
        <f t="shared" si="14"/>
        <v>3122549.75</v>
      </c>
      <c r="E48" s="40">
        <f t="shared" si="14"/>
        <v>4555375.4124999996</v>
      </c>
      <c r="F48" s="40">
        <f t="shared" si="14"/>
        <v>5402005.8332749996</v>
      </c>
      <c r="G48" s="40">
        <f t="shared" si="14"/>
        <v>5200686.7332659997</v>
      </c>
      <c r="H48" s="40">
        <f t="shared" si="14"/>
        <v>4054643.6005986603</v>
      </c>
      <c r="I48" s="40">
        <f t="shared" si="14"/>
        <v>3491880.0366046461</v>
      </c>
      <c r="J48" s="40">
        <f t="shared" si="14"/>
        <v>3520398.8369706934</v>
      </c>
      <c r="K48" s="40">
        <f t="shared" si="14"/>
        <v>3585202.8253404004</v>
      </c>
      <c r="L48" s="40">
        <f t="shared" si="14"/>
        <v>3131007.9968945789</v>
      </c>
      <c r="M48" s="40">
        <f t="shared" si="14"/>
        <v>2254798.6263310891</v>
      </c>
      <c r="N48" s="40">
        <f t="shared" si="14"/>
        <v>1377507.9675566398</v>
      </c>
      <c r="O48" s="40">
        <f t="shared" si="14"/>
        <v>458416.01574406878</v>
      </c>
      <c r="P48" s="40">
        <f t="shared" si="14"/>
        <v>462200.17590150947</v>
      </c>
    </row>
    <row r="49" spans="1:16" x14ac:dyDescent="0.25">
      <c r="B49" s="34"/>
      <c r="C49" s="34"/>
      <c r="D49" s="34"/>
      <c r="E49" s="34"/>
      <c r="F49" s="34"/>
      <c r="G49" s="34"/>
      <c r="H49" s="34"/>
      <c r="I49" s="34"/>
      <c r="J49" s="34"/>
      <c r="K49" s="34"/>
      <c r="L49" s="34"/>
    </row>
    <row r="50" spans="1:16" x14ac:dyDescent="0.25">
      <c r="A50" s="24" t="s">
        <v>60</v>
      </c>
      <c r="B50" s="36">
        <f t="shared" ref="B50:P50" si="15">B39-B48</f>
        <v>0</v>
      </c>
      <c r="C50" s="36">
        <f t="shared" si="15"/>
        <v>-1040825</v>
      </c>
      <c r="D50" s="36">
        <f t="shared" si="15"/>
        <v>-1179259.25</v>
      </c>
      <c r="E50" s="36">
        <f t="shared" si="15"/>
        <v>-1676714.4184999997</v>
      </c>
      <c r="F50" s="36">
        <f t="shared" si="15"/>
        <v>-776521.00882499944</v>
      </c>
      <c r="G50" s="36">
        <f t="shared" si="15"/>
        <v>138444.32124199998</v>
      </c>
      <c r="H50" s="36">
        <f t="shared" si="15"/>
        <v>690776.08064805064</v>
      </c>
      <c r="I50" s="36">
        <f t="shared" si="15"/>
        <v>1954567.5520989639</v>
      </c>
      <c r="J50" s="36">
        <f t="shared" si="15"/>
        <v>1980513.2276199544</v>
      </c>
      <c r="K50" s="36">
        <f t="shared" si="15"/>
        <v>1304007.8176677674</v>
      </c>
      <c r="L50" s="36">
        <f t="shared" si="15"/>
        <v>2247537.3505582265</v>
      </c>
      <c r="M50" s="36">
        <f t="shared" si="15"/>
        <v>2224448.3743312908</v>
      </c>
      <c r="N50" s="36">
        <f t="shared" si="15"/>
        <v>1442901.5129565943</v>
      </c>
      <c r="O50" s="36">
        <f t="shared" si="15"/>
        <v>1201273.21733107</v>
      </c>
      <c r="P50" s="36">
        <f t="shared" si="15"/>
        <v>736215.94950438093</v>
      </c>
    </row>
    <row r="51" spans="1:16" x14ac:dyDescent="0.25">
      <c r="B51" s="34"/>
      <c r="C51" s="34"/>
      <c r="D51" s="34"/>
      <c r="E51" s="34"/>
      <c r="F51" s="34"/>
      <c r="G51" s="34"/>
      <c r="H51" s="34"/>
      <c r="I51" s="34"/>
      <c r="J51" s="34"/>
      <c r="K51" s="34"/>
      <c r="L51" s="34"/>
    </row>
    <row r="52" spans="1:16" s="13" customFormat="1" x14ac:dyDescent="0.25">
      <c r="A52" s="24" t="s">
        <v>61</v>
      </c>
      <c r="B52" s="42">
        <f>B50/(1+Assumption_Hatchery!$C76)^B34</f>
        <v>0</v>
      </c>
      <c r="C52" s="42">
        <f>C50/(1+Assumption_Hatchery!$C76)^C34</f>
        <v>-954885.32110091741</v>
      </c>
      <c r="D52" s="42">
        <f>D50/(1+Assumption_Hatchery!$C76)^D34</f>
        <v>-992558.91759952856</v>
      </c>
      <c r="E52" s="42">
        <f>E50/(1+Assumption_Hatchery!$C76)^E34</f>
        <v>-1294731.1747458933</v>
      </c>
      <c r="F52" s="42">
        <f>F50/(1+Assumption_Hatchery!$C76)^F34</f>
        <v>-550107.0595734095</v>
      </c>
      <c r="G52" s="42">
        <f>G50/(1+Assumption_Hatchery!$C76)^G34</f>
        <v>89979.309629946496</v>
      </c>
      <c r="H52" s="42">
        <f>H50/(1+Assumption_Hatchery!$C76)^H34</f>
        <v>411887.20708011475</v>
      </c>
      <c r="I52" s="42">
        <f>I50/(1+Assumption_Hatchery!$C76)^I34</f>
        <v>1069215.3848577079</v>
      </c>
      <c r="J52" s="42">
        <f>J50/(1+Assumption_Hatchery!$C76)^J34</f>
        <v>993952.80538833269</v>
      </c>
      <c r="K52" s="42">
        <f>K50/(1+Assumption_Hatchery!$C76)^K34</f>
        <v>600401.42396066757</v>
      </c>
      <c r="L52" s="42">
        <f>L50/(1+Assumption_Hatchery!$C76)^L34</f>
        <v>949384.06577749935</v>
      </c>
      <c r="M52" s="42">
        <f>M50/(1+Assumption_Hatchery!$C76)^M34</f>
        <v>862046.81898998539</v>
      </c>
      <c r="N52" s="42">
        <f>N50/(1+Assumption_Hatchery!$C76)^N34</f>
        <v>513001.59276071494</v>
      </c>
      <c r="O52" s="42">
        <f>O50/(1+Assumption_Hatchery!$C76)^O34</f>
        <v>391829.67256717611</v>
      </c>
      <c r="P52" s="42">
        <f>P50/(1+Assumption_Hatchery!$C76)^P34</f>
        <v>220310.02038884684</v>
      </c>
    </row>
    <row r="53" spans="1:16" x14ac:dyDescent="0.25">
      <c r="B53" s="34"/>
      <c r="C53" s="34"/>
      <c r="D53" s="34"/>
      <c r="E53" s="34"/>
      <c r="F53" s="34"/>
      <c r="G53" s="34"/>
      <c r="H53" s="34"/>
      <c r="I53" s="34"/>
      <c r="J53" s="34"/>
      <c r="K53" s="34"/>
      <c r="L53" s="34"/>
    </row>
    <row r="54" spans="1:16" s="13" customFormat="1" x14ac:dyDescent="0.25">
      <c r="A54" s="26" t="s">
        <v>62</v>
      </c>
      <c r="B54" s="37">
        <f>NPV(Assumption_Hatchery!C76,C50:P50)+B50</f>
        <v>2309725.8283812432</v>
      </c>
      <c r="C54" s="43"/>
      <c r="D54" s="43"/>
      <c r="E54" s="43"/>
      <c r="F54" s="43"/>
      <c r="G54" s="43"/>
      <c r="H54" s="43"/>
      <c r="I54" s="43"/>
      <c r="J54" s="43"/>
      <c r="K54" s="43"/>
      <c r="L54" s="43"/>
    </row>
    <row r="56" spans="1:16" s="13" customFormat="1" x14ac:dyDescent="0.25">
      <c r="A56" s="26" t="s">
        <v>25</v>
      </c>
      <c r="B56" s="38">
        <f>IRR(B50:P50)</f>
        <v>0.16852309923599251</v>
      </c>
      <c r="C56" s="4"/>
      <c r="D56" s="4"/>
      <c r="E56" s="4"/>
      <c r="F56" s="4"/>
      <c r="G56" s="4"/>
      <c r="H56" s="4"/>
      <c r="I56" s="4"/>
      <c r="J56" s="4"/>
      <c r="K56" s="4"/>
      <c r="L56" s="4"/>
    </row>
    <row r="58" spans="1:16" s="13" customFormat="1" x14ac:dyDescent="0.25">
      <c r="A58" s="27" t="s">
        <v>63</v>
      </c>
      <c r="B58" s="39">
        <f>B52</f>
        <v>0</v>
      </c>
      <c r="C58" s="39">
        <f>B58+C52</f>
        <v>-954885.32110091741</v>
      </c>
      <c r="D58" s="39">
        <f t="shared" ref="D58:P58" si="16">C58+D52</f>
        <v>-1947444.238700446</v>
      </c>
      <c r="E58" s="39">
        <f t="shared" si="16"/>
        <v>-3242175.4134463393</v>
      </c>
      <c r="F58" s="39">
        <f t="shared" si="16"/>
        <v>-3792282.4730197489</v>
      </c>
      <c r="G58" s="39">
        <f t="shared" si="16"/>
        <v>-3702303.1633898024</v>
      </c>
      <c r="H58" s="39">
        <f t="shared" si="16"/>
        <v>-3290415.9563096878</v>
      </c>
      <c r="I58" s="39">
        <f t="shared" si="16"/>
        <v>-2221200.5714519797</v>
      </c>
      <c r="J58" s="39">
        <f t="shared" si="16"/>
        <v>-1227247.7660636469</v>
      </c>
      <c r="K58" s="39">
        <f t="shared" si="16"/>
        <v>-626846.34210297931</v>
      </c>
      <c r="L58" s="39">
        <f t="shared" si="16"/>
        <v>322537.72367452004</v>
      </c>
      <c r="M58" s="39">
        <f t="shared" si="16"/>
        <v>1184584.5426645055</v>
      </c>
      <c r="N58" s="39">
        <f t="shared" si="16"/>
        <v>1697586.1354252205</v>
      </c>
      <c r="O58" s="39">
        <f t="shared" si="16"/>
        <v>2089415.8079923966</v>
      </c>
      <c r="P58" s="39">
        <f t="shared" si="16"/>
        <v>2309725.8283812436</v>
      </c>
    </row>
    <row r="59" spans="1:16" ht="38.25" customHeight="1" x14ac:dyDescent="0.25">
      <c r="A59" s="11"/>
      <c r="B59" s="32"/>
      <c r="C59" s="76"/>
      <c r="D59" s="77"/>
      <c r="E59" s="32"/>
      <c r="F59" s="126"/>
      <c r="G59" s="32"/>
      <c r="H59" s="32"/>
      <c r="I59" s="32"/>
      <c r="J59" s="32"/>
      <c r="K59" s="32"/>
      <c r="L59" s="32"/>
      <c r="M59" s="11"/>
    </row>
    <row r="60" spans="1:16" s="1" customFormat="1" x14ac:dyDescent="0.25">
      <c r="A60" s="25"/>
      <c r="B60" s="45"/>
      <c r="C60" s="45"/>
      <c r="D60" s="45"/>
      <c r="E60" s="45"/>
      <c r="F60" s="45"/>
      <c r="G60" s="45"/>
      <c r="H60" s="45"/>
      <c r="I60" s="45"/>
      <c r="J60" s="45"/>
      <c r="K60" s="45"/>
      <c r="L60" s="45"/>
    </row>
    <row r="62" spans="1:16" ht="26.25" x14ac:dyDescent="0.25">
      <c r="F62" s="20" t="s">
        <v>111</v>
      </c>
    </row>
    <row r="63" spans="1:16" ht="38.25" customHeight="1" x14ac:dyDescent="0.25">
      <c r="A63" s="11" t="str">
        <f>A2</f>
        <v>Aggregate Financial Analysis_Goat Rearing</v>
      </c>
      <c r="B63" s="32"/>
      <c r="C63" s="76"/>
      <c r="D63" s="77"/>
      <c r="E63" s="32"/>
      <c r="F63" s="32"/>
      <c r="G63" s="32"/>
      <c r="H63" s="32"/>
      <c r="I63" s="32"/>
      <c r="J63" s="32"/>
      <c r="K63" s="32"/>
      <c r="L63" s="32"/>
      <c r="M63" s="11"/>
    </row>
    <row r="65" spans="1:16" x14ac:dyDescent="0.25">
      <c r="A65" s="10" t="s">
        <v>22</v>
      </c>
      <c r="B65" s="28">
        <v>0</v>
      </c>
      <c r="C65" s="28">
        <v>1</v>
      </c>
      <c r="D65" s="28">
        <v>2</v>
      </c>
      <c r="E65" s="28">
        <v>3</v>
      </c>
      <c r="F65" s="28">
        <v>4</v>
      </c>
      <c r="G65" s="28">
        <v>5</v>
      </c>
      <c r="H65" s="28">
        <v>6</v>
      </c>
      <c r="I65" s="28">
        <v>7</v>
      </c>
      <c r="J65" s="28">
        <v>8</v>
      </c>
      <c r="K65" s="28">
        <v>9</v>
      </c>
      <c r="L65" s="28">
        <v>10</v>
      </c>
      <c r="M65" s="28">
        <v>11</v>
      </c>
      <c r="N65" s="28">
        <v>12</v>
      </c>
      <c r="O65" s="28">
        <v>13</v>
      </c>
      <c r="P65" s="28">
        <v>14</v>
      </c>
    </row>
    <row r="66" spans="1:16" x14ac:dyDescent="0.25">
      <c r="A66" s="24" t="s">
        <v>23</v>
      </c>
    </row>
    <row r="67" spans="1:16" x14ac:dyDescent="0.25">
      <c r="A67" s="10" t="str">
        <f>A6</f>
        <v>Goat Sale ($)</v>
      </c>
      <c r="B67" s="33">
        <f t="shared" ref="B67:P67" si="17">B6</f>
        <v>0</v>
      </c>
      <c r="C67" s="33">
        <f t="shared" si="17"/>
        <v>0</v>
      </c>
      <c r="D67" s="33">
        <f t="shared" si="17"/>
        <v>1943290.5</v>
      </c>
      <c r="E67" s="33">
        <f t="shared" si="17"/>
        <v>2878660.9939999999</v>
      </c>
      <c r="F67" s="33">
        <f t="shared" si="17"/>
        <v>4625484.8244500002</v>
      </c>
      <c r="G67" s="33">
        <f t="shared" si="17"/>
        <v>5339131.0545079997</v>
      </c>
      <c r="H67" s="33">
        <f t="shared" si="17"/>
        <v>4745419.6812467109</v>
      </c>
      <c r="I67" s="33">
        <f t="shared" si="17"/>
        <v>5446447.58870361</v>
      </c>
      <c r="J67" s="33">
        <f t="shared" si="17"/>
        <v>5500912.0645906478</v>
      </c>
      <c r="K67" s="33">
        <f t="shared" si="17"/>
        <v>4889210.6430081679</v>
      </c>
      <c r="L67" s="33">
        <f t="shared" si="17"/>
        <v>4910045.3474528054</v>
      </c>
      <c r="M67" s="33">
        <f t="shared" si="17"/>
        <v>3542247.0006623799</v>
      </c>
      <c r="N67" s="33">
        <f t="shared" si="17"/>
        <v>1889009.4805132342</v>
      </c>
      <c r="O67" s="33">
        <f t="shared" si="17"/>
        <v>722689.23307513888</v>
      </c>
      <c r="P67" s="33">
        <f t="shared" si="17"/>
        <v>729916.12540589029</v>
      </c>
    </row>
    <row r="68" spans="1:16" x14ac:dyDescent="0.25">
      <c r="A68" s="10" t="str">
        <f t="shared" ref="A68:A69" si="18">A7</f>
        <v>Residual ($)</v>
      </c>
      <c r="B68" s="33">
        <f t="shared" ref="B68:P69" si="19">B7</f>
        <v>0</v>
      </c>
      <c r="C68" s="33">
        <f t="shared" si="19"/>
        <v>0</v>
      </c>
      <c r="D68" s="33">
        <f t="shared" si="19"/>
        <v>0</v>
      </c>
      <c r="E68" s="33">
        <f t="shared" si="19"/>
        <v>0</v>
      </c>
      <c r="F68" s="33">
        <f t="shared" si="19"/>
        <v>0</v>
      </c>
      <c r="G68" s="33">
        <f t="shared" si="19"/>
        <v>0</v>
      </c>
      <c r="H68" s="33">
        <f t="shared" si="19"/>
        <v>0</v>
      </c>
      <c r="I68" s="33">
        <f t="shared" si="19"/>
        <v>0</v>
      </c>
      <c r="J68" s="33">
        <f t="shared" si="19"/>
        <v>0</v>
      </c>
      <c r="K68" s="33">
        <f t="shared" si="19"/>
        <v>0</v>
      </c>
      <c r="L68" s="33">
        <f t="shared" si="19"/>
        <v>56000</v>
      </c>
      <c r="M68" s="33">
        <f t="shared" si="19"/>
        <v>112000</v>
      </c>
      <c r="N68" s="33">
        <f t="shared" si="19"/>
        <v>106400</v>
      </c>
      <c r="O68" s="33">
        <f t="shared" si="19"/>
        <v>112000</v>
      </c>
      <c r="P68" s="33">
        <f t="shared" si="19"/>
        <v>56000</v>
      </c>
    </row>
    <row r="69" spans="1:16" x14ac:dyDescent="0.25">
      <c r="A69" s="10" t="str">
        <f t="shared" si="18"/>
        <v>Mother Goat Sale ($)</v>
      </c>
      <c r="B69" s="33">
        <f t="shared" si="19"/>
        <v>0</v>
      </c>
      <c r="C69" s="33">
        <f t="shared" si="19"/>
        <v>0</v>
      </c>
      <c r="D69" s="33">
        <f t="shared" si="19"/>
        <v>0</v>
      </c>
      <c r="E69" s="33">
        <f t="shared" si="19"/>
        <v>0</v>
      </c>
      <c r="F69" s="33">
        <f t="shared" si="19"/>
        <v>0</v>
      </c>
      <c r="G69" s="33">
        <f t="shared" si="19"/>
        <v>0</v>
      </c>
      <c r="H69" s="33">
        <f t="shared" si="19"/>
        <v>0</v>
      </c>
      <c r="I69" s="33">
        <f t="shared" si="19"/>
        <v>0</v>
      </c>
      <c r="J69" s="33">
        <f t="shared" si="19"/>
        <v>0</v>
      </c>
      <c r="K69" s="33">
        <f t="shared" si="19"/>
        <v>0</v>
      </c>
      <c r="L69" s="33">
        <f t="shared" si="19"/>
        <v>412500</v>
      </c>
      <c r="M69" s="33">
        <f t="shared" si="19"/>
        <v>825000</v>
      </c>
      <c r="N69" s="33">
        <f t="shared" si="19"/>
        <v>825000</v>
      </c>
      <c r="O69" s="33">
        <f t="shared" si="19"/>
        <v>825000</v>
      </c>
      <c r="P69" s="33">
        <f t="shared" si="19"/>
        <v>412500</v>
      </c>
    </row>
    <row r="70" spans="1:16" s="13" customFormat="1" x14ac:dyDescent="0.25">
      <c r="A70" s="24" t="s">
        <v>58</v>
      </c>
      <c r="B70" s="41">
        <f>(B67+B68+B69)</f>
        <v>0</v>
      </c>
      <c r="C70" s="41">
        <f t="shared" ref="C70:P70" si="20">(C67+C68+C69)</f>
        <v>0</v>
      </c>
      <c r="D70" s="41">
        <f t="shared" si="20"/>
        <v>1943290.5</v>
      </c>
      <c r="E70" s="41">
        <f t="shared" si="20"/>
        <v>2878660.9939999999</v>
      </c>
      <c r="F70" s="41">
        <f t="shared" si="20"/>
        <v>4625484.8244500002</v>
      </c>
      <c r="G70" s="41">
        <f t="shared" si="20"/>
        <v>5339131.0545079997</v>
      </c>
      <c r="H70" s="41">
        <f t="shared" si="20"/>
        <v>4745419.6812467109</v>
      </c>
      <c r="I70" s="41">
        <f t="shared" si="20"/>
        <v>5446447.58870361</v>
      </c>
      <c r="J70" s="41">
        <f t="shared" si="20"/>
        <v>5500912.0645906478</v>
      </c>
      <c r="K70" s="41">
        <f t="shared" si="20"/>
        <v>4889210.6430081679</v>
      </c>
      <c r="L70" s="41">
        <f t="shared" si="20"/>
        <v>5378545.3474528054</v>
      </c>
      <c r="M70" s="41">
        <f t="shared" si="20"/>
        <v>4479247.0006623799</v>
      </c>
      <c r="N70" s="41">
        <f t="shared" si="20"/>
        <v>2820409.4805132342</v>
      </c>
      <c r="O70" s="41">
        <f t="shared" si="20"/>
        <v>1659689.2330751389</v>
      </c>
      <c r="P70" s="41">
        <f t="shared" si="20"/>
        <v>1198416.1254058904</v>
      </c>
    </row>
    <row r="71" spans="1:16" x14ac:dyDescent="0.25">
      <c r="A71" s="24"/>
      <c r="B71" s="44"/>
      <c r="C71" s="44"/>
      <c r="D71" s="44"/>
      <c r="E71" s="44"/>
      <c r="F71" s="44"/>
      <c r="G71" s="44"/>
      <c r="H71" s="44"/>
      <c r="I71" s="44"/>
      <c r="J71" s="44"/>
      <c r="K71" s="44"/>
    </row>
    <row r="72" spans="1:16" x14ac:dyDescent="0.25">
      <c r="A72" s="24" t="s">
        <v>24</v>
      </c>
    </row>
    <row r="73" spans="1:16" x14ac:dyDescent="0.25">
      <c r="A73" s="9" t="str">
        <f>A12</f>
        <v>Slated House Construction</v>
      </c>
      <c r="B73" s="35">
        <f t="shared" ref="B73:P73" si="21">B12</f>
        <v>0</v>
      </c>
      <c r="C73" s="35">
        <f t="shared" si="21"/>
        <v>280000</v>
      </c>
      <c r="D73" s="35">
        <f t="shared" si="21"/>
        <v>560000</v>
      </c>
      <c r="E73" s="35">
        <f t="shared" si="21"/>
        <v>560000</v>
      </c>
      <c r="F73" s="35">
        <f t="shared" si="21"/>
        <v>560000</v>
      </c>
      <c r="G73" s="35">
        <f t="shared" si="21"/>
        <v>280000</v>
      </c>
      <c r="H73" s="35">
        <f t="shared" si="21"/>
        <v>0</v>
      </c>
      <c r="I73" s="35">
        <f t="shared" si="21"/>
        <v>0</v>
      </c>
      <c r="J73" s="35">
        <f t="shared" si="21"/>
        <v>0</v>
      </c>
      <c r="K73" s="35">
        <f t="shared" si="21"/>
        <v>0</v>
      </c>
      <c r="L73" s="35">
        <f t="shared" si="21"/>
        <v>0</v>
      </c>
      <c r="M73" s="35">
        <f t="shared" si="21"/>
        <v>0</v>
      </c>
      <c r="N73" s="35">
        <f t="shared" si="21"/>
        <v>0</v>
      </c>
      <c r="O73" s="35">
        <f t="shared" si="21"/>
        <v>0</v>
      </c>
      <c r="P73" s="35">
        <f t="shared" si="21"/>
        <v>0</v>
      </c>
    </row>
    <row r="74" spans="1:16" x14ac:dyDescent="0.25">
      <c r="A74" s="9" t="str">
        <f t="shared" ref="A74:A77" si="22">A13</f>
        <v>Mother Goat Purchase</v>
      </c>
      <c r="B74" s="35">
        <f t="shared" ref="B74:P74" si="23">B13</f>
        <v>0</v>
      </c>
      <c r="C74" s="35">
        <f t="shared" si="23"/>
        <v>375000</v>
      </c>
      <c r="D74" s="35">
        <f t="shared" si="23"/>
        <v>750000</v>
      </c>
      <c r="E74" s="35">
        <f t="shared" si="23"/>
        <v>750000</v>
      </c>
      <c r="F74" s="35">
        <f t="shared" si="23"/>
        <v>750000</v>
      </c>
      <c r="G74" s="35">
        <f t="shared" si="23"/>
        <v>375000</v>
      </c>
      <c r="H74" s="35">
        <f t="shared" si="23"/>
        <v>0</v>
      </c>
      <c r="I74" s="35">
        <f t="shared" si="23"/>
        <v>0</v>
      </c>
      <c r="J74" s="35">
        <f t="shared" si="23"/>
        <v>0</v>
      </c>
      <c r="K74" s="35">
        <f t="shared" si="23"/>
        <v>0</v>
      </c>
      <c r="L74" s="35">
        <f t="shared" si="23"/>
        <v>0</v>
      </c>
      <c r="M74" s="35">
        <f t="shared" si="23"/>
        <v>0</v>
      </c>
      <c r="N74" s="35">
        <f t="shared" si="23"/>
        <v>0</v>
      </c>
      <c r="O74" s="35">
        <f t="shared" si="23"/>
        <v>0</v>
      </c>
      <c r="P74" s="35">
        <f t="shared" si="23"/>
        <v>0</v>
      </c>
    </row>
    <row r="75" spans="1:16" x14ac:dyDescent="0.25">
      <c r="A75" s="9" t="str">
        <f t="shared" si="22"/>
        <v>Maintenance Cost</v>
      </c>
      <c r="B75" s="35">
        <f t="shared" ref="B75:P75" si="24">B14</f>
        <v>0</v>
      </c>
      <c r="C75" s="35">
        <f t="shared" si="24"/>
        <v>0</v>
      </c>
      <c r="D75" s="35">
        <f t="shared" si="24"/>
        <v>90000</v>
      </c>
      <c r="E75" s="35">
        <f t="shared" si="24"/>
        <v>157500.00000000003</v>
      </c>
      <c r="F75" s="35">
        <f t="shared" si="24"/>
        <v>210000</v>
      </c>
      <c r="G75" s="35">
        <f t="shared" si="24"/>
        <v>240000</v>
      </c>
      <c r="H75" s="35">
        <f t="shared" si="24"/>
        <v>252000.00000000003</v>
      </c>
      <c r="I75" s="35">
        <f t="shared" si="24"/>
        <v>240000</v>
      </c>
      <c r="J75" s="35">
        <f t="shared" si="24"/>
        <v>240000</v>
      </c>
      <c r="K75" s="35">
        <f t="shared" si="24"/>
        <v>252000.00000000003</v>
      </c>
      <c r="L75" s="35">
        <f t="shared" si="24"/>
        <v>210000</v>
      </c>
      <c r="M75" s="35">
        <f t="shared" si="24"/>
        <v>150000</v>
      </c>
      <c r="N75" s="35">
        <f t="shared" si="24"/>
        <v>94500.000000000015</v>
      </c>
      <c r="O75" s="35">
        <f t="shared" si="24"/>
        <v>30000</v>
      </c>
      <c r="P75" s="35">
        <f t="shared" si="24"/>
        <v>30000</v>
      </c>
    </row>
    <row r="76" spans="1:16" x14ac:dyDescent="0.25">
      <c r="A76" s="9" t="str">
        <f t="shared" si="22"/>
        <v>Medicine</v>
      </c>
      <c r="B76" s="35">
        <f t="shared" ref="B76:P76" si="25">B15</f>
        <v>0</v>
      </c>
      <c r="C76" s="35">
        <f t="shared" si="25"/>
        <v>50000</v>
      </c>
      <c r="D76" s="35">
        <f t="shared" si="25"/>
        <v>150000</v>
      </c>
      <c r="E76" s="35">
        <f t="shared" si="25"/>
        <v>265000.00000000006</v>
      </c>
      <c r="F76" s="35">
        <f t="shared" si="25"/>
        <v>350000</v>
      </c>
      <c r="G76" s="35">
        <f t="shared" si="25"/>
        <v>400000</v>
      </c>
      <c r="H76" s="35">
        <f t="shared" si="25"/>
        <v>424000.00000000006</v>
      </c>
      <c r="I76" s="35">
        <f t="shared" si="25"/>
        <v>400000</v>
      </c>
      <c r="J76" s="35">
        <f t="shared" si="25"/>
        <v>400000</v>
      </c>
      <c r="K76" s="35">
        <f t="shared" si="25"/>
        <v>424000.00000000006</v>
      </c>
      <c r="L76" s="35">
        <f t="shared" si="25"/>
        <v>350000</v>
      </c>
      <c r="M76" s="35">
        <f t="shared" si="25"/>
        <v>250000</v>
      </c>
      <c r="N76" s="35">
        <f t="shared" si="25"/>
        <v>159000.00000000003</v>
      </c>
      <c r="O76" s="35">
        <f t="shared" si="25"/>
        <v>50000</v>
      </c>
      <c r="P76" s="35">
        <f t="shared" si="25"/>
        <v>50000</v>
      </c>
    </row>
    <row r="77" spans="1:16" x14ac:dyDescent="0.25">
      <c r="A77" s="9" t="str">
        <f t="shared" si="22"/>
        <v>Labor</v>
      </c>
      <c r="B77" s="35">
        <f>B16</f>
        <v>0</v>
      </c>
      <c r="C77" s="35">
        <f t="shared" ref="C77:P77" si="26">C16</f>
        <v>335825</v>
      </c>
      <c r="D77" s="35">
        <f t="shared" si="26"/>
        <v>1017549.75</v>
      </c>
      <c r="E77" s="35">
        <f t="shared" si="26"/>
        <v>1712875.4124999999</v>
      </c>
      <c r="F77" s="35">
        <f t="shared" si="26"/>
        <v>2422005.8332750001</v>
      </c>
      <c r="G77" s="35">
        <f t="shared" si="26"/>
        <v>2795686.7332659997</v>
      </c>
      <c r="H77" s="35">
        <f t="shared" si="26"/>
        <v>2823643.6005986603</v>
      </c>
      <c r="I77" s="35">
        <f t="shared" si="26"/>
        <v>2851880.0366046461</v>
      </c>
      <c r="J77" s="35">
        <f t="shared" si="26"/>
        <v>2880398.8369706934</v>
      </c>
      <c r="K77" s="35">
        <f t="shared" si="26"/>
        <v>2909202.8253404004</v>
      </c>
      <c r="L77" s="35">
        <f t="shared" si="26"/>
        <v>2571007.9968945789</v>
      </c>
      <c r="M77" s="35">
        <f t="shared" si="26"/>
        <v>1854798.6263310888</v>
      </c>
      <c r="N77" s="35">
        <f t="shared" si="26"/>
        <v>1124007.9675566398</v>
      </c>
      <c r="O77" s="35">
        <f t="shared" si="26"/>
        <v>378416.01574406878</v>
      </c>
      <c r="P77" s="35">
        <f t="shared" si="26"/>
        <v>382200.17590150947</v>
      </c>
    </row>
    <row r="78" spans="1:16" s="54" customFormat="1" x14ac:dyDescent="0.25">
      <c r="A78" s="56" t="s">
        <v>156</v>
      </c>
      <c r="B78" s="53">
        <f>B17*Assumption_Goat!$C26</f>
        <v>0</v>
      </c>
      <c r="C78" s="53">
        <f>C17*Assumption_Goat!$C26</f>
        <v>0</v>
      </c>
      <c r="D78" s="53">
        <f>D17*Assumption_Goat!$C26</f>
        <v>0</v>
      </c>
      <c r="E78" s="53">
        <f>E17*Assumption_Goat!$C26</f>
        <v>0</v>
      </c>
      <c r="F78" s="53">
        <f>F17*Assumption_Goat!$C26</f>
        <v>0</v>
      </c>
      <c r="G78" s="53">
        <f>G17*Assumption_Goat!$C26</f>
        <v>0</v>
      </c>
      <c r="H78" s="53">
        <f>H17*Assumption_Goat!$C26</f>
        <v>0</v>
      </c>
      <c r="I78" s="53">
        <f>I17*Assumption_Goat!$C26</f>
        <v>0</v>
      </c>
      <c r="J78" s="53">
        <f>J17*Assumption_Goat!$C26</f>
        <v>0</v>
      </c>
      <c r="K78" s="53">
        <f>K17*Assumption_Goat!$C26</f>
        <v>0</v>
      </c>
      <c r="L78" s="53">
        <f>L17*Assumption_Goat!$C26</f>
        <v>0</v>
      </c>
      <c r="M78" s="53">
        <f>M17*Assumption_Goat!$C26</f>
        <v>0</v>
      </c>
      <c r="N78" s="53">
        <f>N17*Assumption_Goat!$C26</f>
        <v>0</v>
      </c>
      <c r="O78" s="53">
        <f>O17*Assumption_Goat!$C26</f>
        <v>0</v>
      </c>
      <c r="P78" s="53">
        <f>P17*Assumption_Goat!$C26</f>
        <v>0</v>
      </c>
    </row>
    <row r="79" spans="1:16" x14ac:dyDescent="0.25">
      <c r="A79" s="127" t="s">
        <v>59</v>
      </c>
      <c r="B79" s="40">
        <f t="shared" ref="B79:P79" si="27">SUM(B73:B78)</f>
        <v>0</v>
      </c>
      <c r="C79" s="40">
        <f t="shared" si="27"/>
        <v>1040825</v>
      </c>
      <c r="D79" s="40">
        <f t="shared" si="27"/>
        <v>2567549.75</v>
      </c>
      <c r="E79" s="40">
        <f t="shared" si="27"/>
        <v>3445375.4124999996</v>
      </c>
      <c r="F79" s="40">
        <f t="shared" si="27"/>
        <v>4292005.8332749996</v>
      </c>
      <c r="G79" s="40">
        <f t="shared" si="27"/>
        <v>4090686.7332659997</v>
      </c>
      <c r="H79" s="40">
        <f t="shared" si="27"/>
        <v>3499643.6005986603</v>
      </c>
      <c r="I79" s="40">
        <f t="shared" si="27"/>
        <v>3491880.0366046461</v>
      </c>
      <c r="J79" s="40">
        <f t="shared" si="27"/>
        <v>3520398.8369706934</v>
      </c>
      <c r="K79" s="40">
        <f t="shared" si="27"/>
        <v>3585202.8253404004</v>
      </c>
      <c r="L79" s="40">
        <f t="shared" si="27"/>
        <v>3131007.9968945789</v>
      </c>
      <c r="M79" s="40">
        <f t="shared" si="27"/>
        <v>2254798.6263310891</v>
      </c>
      <c r="N79" s="40">
        <f t="shared" si="27"/>
        <v>1377507.9675566398</v>
      </c>
      <c r="O79" s="40">
        <f t="shared" si="27"/>
        <v>458416.01574406878</v>
      </c>
      <c r="P79" s="40">
        <f t="shared" si="27"/>
        <v>462200.17590150947</v>
      </c>
    </row>
    <row r="80" spans="1:16" x14ac:dyDescent="0.25">
      <c r="B80" s="34"/>
      <c r="C80" s="34"/>
      <c r="D80" s="34"/>
      <c r="E80" s="34"/>
      <c r="F80" s="34"/>
      <c r="G80" s="34"/>
      <c r="H80" s="34"/>
      <c r="I80" s="34"/>
      <c r="J80" s="34"/>
      <c r="K80" s="34"/>
      <c r="L80" s="34"/>
    </row>
    <row r="81" spans="1:16" x14ac:dyDescent="0.25">
      <c r="A81" s="24" t="s">
        <v>60</v>
      </c>
      <c r="B81" s="36">
        <f t="shared" ref="B81:P81" si="28">B70-B79</f>
        <v>0</v>
      </c>
      <c r="C81" s="36">
        <f t="shared" si="28"/>
        <v>-1040825</v>
      </c>
      <c r="D81" s="36">
        <f t="shared" si="28"/>
        <v>-624259.25</v>
      </c>
      <c r="E81" s="36">
        <f t="shared" si="28"/>
        <v>-566714.41849999968</v>
      </c>
      <c r="F81" s="36">
        <f t="shared" si="28"/>
        <v>333478.99117500056</v>
      </c>
      <c r="G81" s="36">
        <f t="shared" si="28"/>
        <v>1248444.321242</v>
      </c>
      <c r="H81" s="36">
        <f t="shared" si="28"/>
        <v>1245776.0806480506</v>
      </c>
      <c r="I81" s="36">
        <f t="shared" si="28"/>
        <v>1954567.5520989639</v>
      </c>
      <c r="J81" s="36">
        <f t="shared" si="28"/>
        <v>1980513.2276199544</v>
      </c>
      <c r="K81" s="36">
        <f t="shared" si="28"/>
        <v>1304007.8176677674</v>
      </c>
      <c r="L81" s="36">
        <f t="shared" si="28"/>
        <v>2247537.3505582265</v>
      </c>
      <c r="M81" s="36">
        <f t="shared" si="28"/>
        <v>2224448.3743312908</v>
      </c>
      <c r="N81" s="36">
        <f t="shared" si="28"/>
        <v>1442901.5129565943</v>
      </c>
      <c r="O81" s="36">
        <f t="shared" si="28"/>
        <v>1201273.21733107</v>
      </c>
      <c r="P81" s="36">
        <f t="shared" si="28"/>
        <v>736215.94950438093</v>
      </c>
    </row>
    <row r="82" spans="1:16" x14ac:dyDescent="0.25">
      <c r="B82" s="34"/>
      <c r="C82" s="34"/>
      <c r="D82" s="34"/>
      <c r="E82" s="34"/>
      <c r="F82" s="34"/>
      <c r="G82" s="34"/>
      <c r="H82" s="34"/>
      <c r="I82" s="34"/>
      <c r="J82" s="34"/>
      <c r="K82" s="34"/>
      <c r="L82" s="34"/>
    </row>
    <row r="83" spans="1:16" s="13" customFormat="1" x14ac:dyDescent="0.25">
      <c r="A83" s="24" t="s">
        <v>61</v>
      </c>
      <c r="B83" s="42">
        <f>B81/(1+Assumption_Hatchery!$C76)^B65</f>
        <v>0</v>
      </c>
      <c r="C83" s="42">
        <f>C81/(1+Assumption_Hatchery!$C76)^C65</f>
        <v>-954885.32110091741</v>
      </c>
      <c r="D83" s="42">
        <f>D81/(1+Assumption_Hatchery!$C76)^D65</f>
        <v>-525426.52133658773</v>
      </c>
      <c r="E83" s="42">
        <f>E81/(1+Assumption_Hatchery!$C76)^E65</f>
        <v>-437607.51187811204</v>
      </c>
      <c r="F83" s="42">
        <f>F81/(1+Assumption_Hatchery!$C76)^F65</f>
        <v>236244.92470895854</v>
      </c>
      <c r="G83" s="42">
        <f>G81/(1+Assumption_Hatchery!$C76)^G65</f>
        <v>811403.14842110977</v>
      </c>
      <c r="H83" s="42">
        <f>H81/(1+Assumption_Hatchery!$C76)^H65</f>
        <v>742815.57349807955</v>
      </c>
      <c r="I83" s="42">
        <f>I81/(1+Assumption_Hatchery!$C76)^I65</f>
        <v>1069215.3848577079</v>
      </c>
      <c r="J83" s="42">
        <f>J81/(1+Assumption_Hatchery!$C76)^J65</f>
        <v>993952.80538833269</v>
      </c>
      <c r="K83" s="42">
        <f>K81/(1+Assumption_Hatchery!$C76)^K65</f>
        <v>600401.42396066757</v>
      </c>
      <c r="L83" s="42">
        <f>L81/(1+Assumption_Hatchery!$C76)^L65</f>
        <v>949384.06577749935</v>
      </c>
      <c r="M83" s="42">
        <f>M81/(1+Assumption_Hatchery!$C76)^M65</f>
        <v>862046.81898998539</v>
      </c>
      <c r="N83" s="42">
        <f>N81/(1+Assumption_Hatchery!$C76)^N65</f>
        <v>513001.59276071494</v>
      </c>
      <c r="O83" s="42">
        <f>O81/(1+Assumption_Hatchery!$C76)^O65</f>
        <v>391829.67256717611</v>
      </c>
      <c r="P83" s="42">
        <f>P81/(1+Assumption_Hatchery!$C76)^P65</f>
        <v>220310.02038884684</v>
      </c>
    </row>
    <row r="84" spans="1:16" x14ac:dyDescent="0.25">
      <c r="B84" s="34"/>
      <c r="C84" s="34"/>
      <c r="D84" s="34"/>
      <c r="E84" s="34"/>
      <c r="F84" s="34"/>
      <c r="G84" s="34"/>
      <c r="H84" s="34"/>
      <c r="I84" s="34"/>
      <c r="J84" s="34"/>
      <c r="K84" s="34"/>
      <c r="L84" s="34"/>
    </row>
    <row r="85" spans="1:16" s="13" customFormat="1" x14ac:dyDescent="0.25">
      <c r="A85" s="26" t="s">
        <v>62</v>
      </c>
      <c r="B85" s="37">
        <f>NPV(Assumption_Hatchery!C76,C81:P81)+B81</f>
        <v>5472686.0770034613</v>
      </c>
      <c r="C85" s="43"/>
      <c r="D85" s="43"/>
      <c r="E85" s="43"/>
      <c r="F85" s="43"/>
      <c r="G85" s="43"/>
      <c r="H85" s="43"/>
      <c r="I85" s="43"/>
      <c r="J85" s="43"/>
      <c r="K85" s="43"/>
      <c r="L85" s="43"/>
    </row>
    <row r="87" spans="1:16" s="13" customFormat="1" x14ac:dyDescent="0.25">
      <c r="A87" s="26" t="s">
        <v>25</v>
      </c>
      <c r="B87" s="38">
        <f>IRR(B81:P81)</f>
        <v>0.35271974454405686</v>
      </c>
      <c r="C87" s="4"/>
      <c r="D87" s="4"/>
      <c r="E87" s="4"/>
      <c r="F87" s="4"/>
      <c r="G87" s="4"/>
      <c r="H87" s="4"/>
      <c r="I87" s="4"/>
      <c r="J87" s="4"/>
      <c r="K87" s="4"/>
      <c r="L87" s="4"/>
    </row>
    <row r="89" spans="1:16" s="13" customFormat="1" x14ac:dyDescent="0.25">
      <c r="A89" s="27" t="s">
        <v>63</v>
      </c>
      <c r="B89" s="39">
        <f>B83</f>
        <v>0</v>
      </c>
      <c r="C89" s="39">
        <f>B89+C83</f>
        <v>-954885.32110091741</v>
      </c>
      <c r="D89" s="39">
        <f t="shared" ref="D89:P89" si="29">C89+D83</f>
        <v>-1480311.8424375053</v>
      </c>
      <c r="E89" s="39">
        <f t="shared" si="29"/>
        <v>-1917919.3543156174</v>
      </c>
      <c r="F89" s="39">
        <f t="shared" si="29"/>
        <v>-1681674.4296066589</v>
      </c>
      <c r="G89" s="39">
        <f t="shared" si="29"/>
        <v>-870271.2811855491</v>
      </c>
      <c r="H89" s="39">
        <f t="shared" si="29"/>
        <v>-127455.70768746955</v>
      </c>
      <c r="I89" s="39">
        <f t="shared" si="29"/>
        <v>941759.67717023834</v>
      </c>
      <c r="J89" s="39">
        <f t="shared" si="29"/>
        <v>1935712.482558571</v>
      </c>
      <c r="K89" s="39">
        <f t="shared" si="29"/>
        <v>2536113.9065192388</v>
      </c>
      <c r="L89" s="39">
        <f t="shared" si="29"/>
        <v>3485497.9722967381</v>
      </c>
      <c r="M89" s="39">
        <f t="shared" si="29"/>
        <v>4347544.7912867237</v>
      </c>
      <c r="N89" s="39">
        <f t="shared" si="29"/>
        <v>4860546.3840474384</v>
      </c>
      <c r="O89" s="39">
        <f t="shared" si="29"/>
        <v>5252376.0566146141</v>
      </c>
      <c r="P89" s="39">
        <f t="shared" si="29"/>
        <v>5472686.0770034613</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2:P89"/>
  <sheetViews>
    <sheetView showGridLines="0" topLeftCell="A52" zoomScale="70" zoomScaleNormal="70" workbookViewId="0">
      <selection activeCell="B70" sqref="B70:P70"/>
    </sheetView>
  </sheetViews>
  <sheetFormatPr defaultColWidth="9" defaultRowHeight="15" x14ac:dyDescent="0.25"/>
  <cols>
    <col min="1" max="1" width="40.7109375" style="10" customWidth="1"/>
    <col min="2" max="2" width="16.28515625" style="28" customWidth="1"/>
    <col min="3" max="3" width="16.140625" style="28" customWidth="1"/>
    <col min="4" max="4" width="17" style="28" customWidth="1"/>
    <col min="5" max="5" width="17.140625" style="28" customWidth="1"/>
    <col min="6" max="6" width="18" style="28" customWidth="1"/>
    <col min="7" max="7" width="18.5703125" style="28" customWidth="1"/>
    <col min="8" max="8" width="18.7109375" style="28" customWidth="1"/>
    <col min="9" max="9" width="16.5703125" style="28" customWidth="1"/>
    <col min="10" max="10" width="18.7109375" style="28" customWidth="1"/>
    <col min="11" max="11" width="16.28515625" style="28" customWidth="1"/>
    <col min="12" max="12" width="16.7109375" style="28" customWidth="1"/>
    <col min="13" max="13" width="16.140625" style="3" customWidth="1"/>
    <col min="14" max="14" width="16.28515625" style="3" customWidth="1"/>
    <col min="15" max="15" width="15.85546875" style="3" customWidth="1"/>
    <col min="16" max="16" width="16.5703125" style="3" customWidth="1"/>
    <col min="17" max="16384" width="9" style="3"/>
  </cols>
  <sheetData>
    <row r="2" spans="1:16" ht="38.25" customHeight="1" x14ac:dyDescent="0.25">
      <c r="A2" s="11" t="s">
        <v>203</v>
      </c>
      <c r="B2" s="32"/>
      <c r="C2" s="76"/>
      <c r="D2" s="77"/>
      <c r="E2" s="32"/>
      <c r="F2" s="126" t="s">
        <v>106</v>
      </c>
      <c r="G2" s="32"/>
      <c r="H2" s="32"/>
      <c r="I2" s="32"/>
      <c r="J2" s="32"/>
      <c r="K2" s="32"/>
      <c r="L2" s="32"/>
      <c r="M2" s="11"/>
    </row>
    <row r="3" spans="1:16" ht="15" customHeight="1" x14ac:dyDescent="0.25">
      <c r="A3" s="23"/>
      <c r="B3" s="32"/>
      <c r="C3" s="32"/>
      <c r="D3" s="32"/>
      <c r="E3" s="32"/>
      <c r="F3" s="32"/>
      <c r="G3" s="32"/>
      <c r="H3" s="32"/>
      <c r="I3" s="32"/>
      <c r="J3" s="32"/>
      <c r="K3" s="32"/>
      <c r="L3" s="32"/>
      <c r="M3" s="11"/>
    </row>
    <row r="4" spans="1:16" x14ac:dyDescent="0.25">
      <c r="A4" s="10" t="s">
        <v>22</v>
      </c>
      <c r="B4" s="28">
        <v>0</v>
      </c>
      <c r="C4" s="28">
        <v>1</v>
      </c>
      <c r="D4" s="28">
        <v>2</v>
      </c>
      <c r="E4" s="28">
        <v>3</v>
      </c>
      <c r="F4" s="28">
        <v>4</v>
      </c>
      <c r="G4" s="28">
        <v>5</v>
      </c>
      <c r="H4" s="28">
        <v>6</v>
      </c>
      <c r="I4" s="28">
        <v>7</v>
      </c>
      <c r="J4" s="28">
        <v>8</v>
      </c>
      <c r="K4" s="28">
        <v>9</v>
      </c>
      <c r="L4" s="28">
        <v>10</v>
      </c>
      <c r="M4" s="28">
        <v>11</v>
      </c>
      <c r="N4" s="28">
        <v>12</v>
      </c>
      <c r="O4" s="28">
        <v>13</v>
      </c>
      <c r="P4" s="28">
        <v>14</v>
      </c>
    </row>
    <row r="5" spans="1:16" x14ac:dyDescent="0.25">
      <c r="A5" s="24" t="s">
        <v>23</v>
      </c>
    </row>
    <row r="6" spans="1:16" x14ac:dyDescent="0.25">
      <c r="A6" s="10" t="s">
        <v>204</v>
      </c>
      <c r="B6" s="33">
        <f>Assumption_Goat!D11*Assumption_Goat!D146*Assumption_Goat!D147*Assumption_Goat!D147*(1+Assumption_Goat!D148)^Assumption_Goat!D145</f>
        <v>0</v>
      </c>
      <c r="C6" s="33">
        <v>0</v>
      </c>
      <c r="D6" s="33">
        <f>Assumption_Goat!F11*Assumption_Goat!F146*Assumption_Goat!F147*(1+Assumption_Goat!F148)^Assumption_Goat!F145</f>
        <v>1943290.5</v>
      </c>
      <c r="E6" s="202">
        <f>Assumption_Goat!G11*Assumption_Goat!G146*Assumption_Goat!G147*(1+Assumption_Goat!G148)^Assumption_Goat!G145*(1+Assumption_Goat!$S114)</f>
        <v>2504435.0647800001</v>
      </c>
      <c r="F6" s="33">
        <f>Assumption_Goat!H11*Assumption_Goat!H146*Assumption_Goat!H147*(1+Assumption_Goat!H148)^Assumption_Goat!H145</f>
        <v>4625484.8244500002</v>
      </c>
      <c r="G6" s="33">
        <f>Assumption_Goat!I11*Assumption_Goat!I146*Assumption_Goat!I147*(1+Assumption_Goat!I148)^Assumption_Goat!I145</f>
        <v>5339131.0545079997</v>
      </c>
      <c r="H6" s="202">
        <f>Assumption_Goat!J11*Assumption_Goat!J146*Assumption_Goat!J147*(1+Assumption_Goat!J148)^Assumption_Goat!J145*(1+Assumption_Goat!$S114)</f>
        <v>4128515.1226846385</v>
      </c>
      <c r="I6" s="33">
        <f>Assumption_Goat!K11*Assumption_Goat!K146*Assumption_Goat!K147*(1+Assumption_Goat!K148)^Assumption_Goat!K145</f>
        <v>5446447.58870361</v>
      </c>
      <c r="J6" s="33">
        <f>Assumption_Goat!L11*Assumption_Goat!L146*Assumption_Goat!L147*(1+Assumption_Goat!L148)^Assumption_Goat!L145</f>
        <v>5500912.0645906478</v>
      </c>
      <c r="K6" s="202">
        <f>Assumption_Goat!M11*Assumption_Goat!M146*Assumption_Goat!M147*(1+Assumption_Goat!M148)^Assumption_Goat!M145*(1+Assumption_Goat!$S114)</f>
        <v>4253613.2594171064</v>
      </c>
      <c r="L6" s="33">
        <f>Assumption_Goat!N11*Assumption_Goat!N146*Assumption_Goat!N147*(1+Assumption_Goat!N148)^Assumption_Goat!N145</f>
        <v>4910045.3474528054</v>
      </c>
      <c r="M6" s="33">
        <f>Assumption_Goat!O11*Assumption_Goat!O146*Assumption_Goat!O147*(1+Assumption_Goat!O148)^Assumption_Goat!O145</f>
        <v>3542247.0006623799</v>
      </c>
      <c r="N6" s="202">
        <f>Assumption_Goat!P11*Assumption_Goat!P146*Assumption_Goat!P147*(1+Assumption_Goat!P148)^Assumption_Goat!P145*(1+Assumption_Goat!$S114)</f>
        <v>1643438.2480465136</v>
      </c>
      <c r="O6" s="33">
        <f>Assumption_Goat!Q11*Assumption_Goat!Q146*Assumption_Goat!Q147*(1+Assumption_Goat!Q148)^Assumption_Goat!Q145</f>
        <v>722689.23307513888</v>
      </c>
      <c r="P6" s="33">
        <f>Assumption_Goat!R11*Assumption_Goat!R146*Assumption_Goat!R147*(1+Assumption_Goat!R148)^Assumption_Goat!R145</f>
        <v>729916.12540589029</v>
      </c>
    </row>
    <row r="7" spans="1:16" x14ac:dyDescent="0.25">
      <c r="A7" s="10" t="s">
        <v>57</v>
      </c>
      <c r="B7" s="33">
        <f>Assumption_Goat!D10*Assumption_Goat!D149*Assumption_Goat!D155</f>
        <v>0</v>
      </c>
      <c r="C7" s="33">
        <f>Assumption_Goat!E10*Assumption_Goat!E149*Assumption_Goat!E155</f>
        <v>0</v>
      </c>
      <c r="D7" s="33">
        <f>Assumption_Goat!F10*Assumption_Goat!F149*Assumption_Goat!F155</f>
        <v>0</v>
      </c>
      <c r="E7" s="33">
        <f>Assumption_Goat!G10*Assumption_Goat!G149*Assumption_Goat!G155</f>
        <v>0</v>
      </c>
      <c r="F7" s="33">
        <f>Assumption_Goat!H10*Assumption_Goat!H149*Assumption_Goat!H155</f>
        <v>0</v>
      </c>
      <c r="G7" s="33">
        <f>Assumption_Goat!I10*Assumption_Goat!I149*Assumption_Goat!I155</f>
        <v>0</v>
      </c>
      <c r="H7" s="202">
        <f>Assumption_Goat!J10*Assumption_Goat!J149*Assumption_Goat!J155</f>
        <v>0</v>
      </c>
      <c r="I7" s="33">
        <f>Assumption_Goat!K10*Assumption_Goat!K149*Assumption_Goat!K155</f>
        <v>0</v>
      </c>
      <c r="J7" s="33">
        <f>Assumption_Goat!L10*Assumption_Goat!L149*Assumption_Goat!L155</f>
        <v>0</v>
      </c>
      <c r="K7" s="33">
        <f>Assumption_Goat!M10*Assumption_Goat!M149*Assumption_Goat!M155</f>
        <v>0</v>
      </c>
      <c r="L7" s="33">
        <f>Assumption_Goat!N10*Assumption_Goat!N149*Assumption_Goat!N155</f>
        <v>56000</v>
      </c>
      <c r="M7" s="33">
        <f>Assumption_Goat!O10*Assumption_Goat!O149*Assumption_Goat!O155</f>
        <v>112000</v>
      </c>
      <c r="N7" s="202">
        <f>Assumption_Goat!P10*Assumption_Goat!P149*Assumption_Goat!P155*(1+Assumption_Goat!$S117)</f>
        <v>99484</v>
      </c>
      <c r="O7" s="33">
        <f>Assumption_Goat!Q10*Assumption_Goat!Q149*Assumption_Goat!Q155</f>
        <v>112000</v>
      </c>
      <c r="P7" s="33">
        <f>Assumption_Goat!R10*Assumption_Goat!R149*Assumption_Goat!R155</f>
        <v>56000</v>
      </c>
    </row>
    <row r="8" spans="1:16" x14ac:dyDescent="0.25">
      <c r="A8" s="10" t="s">
        <v>221</v>
      </c>
      <c r="B8" s="33">
        <f>Assumption_Goat!D10*Assumption_Goat!D150</f>
        <v>0</v>
      </c>
      <c r="C8" s="33">
        <f>Assumption_Goat!E10*Assumption_Goat!E150</f>
        <v>0</v>
      </c>
      <c r="D8" s="33">
        <f>Assumption_Goat!F10*Assumption_Goat!F150</f>
        <v>0</v>
      </c>
      <c r="E8" s="33">
        <f>Assumption_Goat!G10*Assumption_Goat!G150</f>
        <v>0</v>
      </c>
      <c r="F8" s="33">
        <f>Assumption_Goat!H10*Assumption_Goat!H150</f>
        <v>0</v>
      </c>
      <c r="G8" s="33">
        <f>Assumption_Goat!I10*Assumption_Goat!I150</f>
        <v>0</v>
      </c>
      <c r="H8" s="33">
        <f>Assumption_Goat!J10*Assumption_Goat!J150</f>
        <v>0</v>
      </c>
      <c r="I8" s="33">
        <f>Assumption_Goat!K10*Assumption_Goat!K150</f>
        <v>0</v>
      </c>
      <c r="J8" s="33">
        <f>Assumption_Goat!L10*Assumption_Goat!L150</f>
        <v>0</v>
      </c>
      <c r="K8" s="33">
        <f>Assumption_Goat!M10*Assumption_Goat!M150</f>
        <v>0</v>
      </c>
      <c r="L8" s="33">
        <f>Assumption_Goat!N10*Assumption_Goat!N150</f>
        <v>412500</v>
      </c>
      <c r="M8" s="33">
        <f>Assumption_Goat!O10*Assumption_Goat!O150</f>
        <v>825000</v>
      </c>
      <c r="N8" s="33">
        <f>Assumption_Goat!P10*Assumption_Goat!P150</f>
        <v>825000</v>
      </c>
      <c r="O8" s="33">
        <f>Assumption_Goat!Q10*Assumption_Goat!Q150</f>
        <v>825000</v>
      </c>
      <c r="P8" s="33">
        <f>Assumption_Goat!R10*Assumption_Goat!R150</f>
        <v>412500</v>
      </c>
    </row>
    <row r="9" spans="1:16" s="13" customFormat="1" x14ac:dyDescent="0.25">
      <c r="A9" s="24" t="s">
        <v>58</v>
      </c>
      <c r="B9" s="41">
        <f>B6+B7+B8</f>
        <v>0</v>
      </c>
      <c r="C9" s="41">
        <f t="shared" ref="C9:P9" si="0">C6+C7+C8</f>
        <v>0</v>
      </c>
      <c r="D9" s="41">
        <f t="shared" si="0"/>
        <v>1943290.5</v>
      </c>
      <c r="E9" s="41">
        <f t="shared" si="0"/>
        <v>2504435.0647800001</v>
      </c>
      <c r="F9" s="41">
        <f t="shared" si="0"/>
        <v>4625484.8244500002</v>
      </c>
      <c r="G9" s="41">
        <f t="shared" si="0"/>
        <v>5339131.0545079997</v>
      </c>
      <c r="H9" s="41">
        <f t="shared" si="0"/>
        <v>4128515.1226846385</v>
      </c>
      <c r="I9" s="41">
        <f t="shared" si="0"/>
        <v>5446447.58870361</v>
      </c>
      <c r="J9" s="41">
        <f t="shared" si="0"/>
        <v>5500912.0645906478</v>
      </c>
      <c r="K9" s="41">
        <f t="shared" si="0"/>
        <v>4253613.2594171064</v>
      </c>
      <c r="L9" s="41">
        <f t="shared" si="0"/>
        <v>5378545.3474528054</v>
      </c>
      <c r="M9" s="41">
        <f t="shared" si="0"/>
        <v>4479247.0006623799</v>
      </c>
      <c r="N9" s="41">
        <f t="shared" si="0"/>
        <v>2567922.2480465136</v>
      </c>
      <c r="O9" s="41">
        <f t="shared" si="0"/>
        <v>1659689.2330751389</v>
      </c>
      <c r="P9" s="41">
        <f t="shared" si="0"/>
        <v>1198416.1254058904</v>
      </c>
    </row>
    <row r="10" spans="1:16" x14ac:dyDescent="0.25">
      <c r="A10" s="24"/>
      <c r="B10" s="44"/>
      <c r="C10" s="44"/>
      <c r="D10" s="44"/>
      <c r="E10" s="44"/>
      <c r="F10" s="44"/>
      <c r="G10" s="44"/>
      <c r="H10" s="44"/>
      <c r="I10" s="44"/>
      <c r="J10" s="44"/>
      <c r="K10" s="44"/>
    </row>
    <row r="11" spans="1:16" x14ac:dyDescent="0.25">
      <c r="A11" s="24" t="s">
        <v>24</v>
      </c>
    </row>
    <row r="12" spans="1:16" x14ac:dyDescent="0.25">
      <c r="A12" s="9" t="str">
        <f>Assumption_Goat!B155</f>
        <v>Slated House Construction</v>
      </c>
      <c r="B12" s="35">
        <f>Assumption_Goat!D9*Assumption_Goat!D155</f>
        <v>0</v>
      </c>
      <c r="C12" s="35">
        <f>Assumption_Goat!E9*Assumption_Goat!E155</f>
        <v>280000</v>
      </c>
      <c r="D12" s="35">
        <f>Assumption_Goat!F9*Assumption_Goat!F155</f>
        <v>560000</v>
      </c>
      <c r="E12" s="35">
        <f>Assumption_Goat!G9*Assumption_Goat!G155</f>
        <v>560000</v>
      </c>
      <c r="F12" s="35">
        <f>Assumption_Goat!H9*Assumption_Goat!H155</f>
        <v>560000</v>
      </c>
      <c r="G12" s="35">
        <f>Assumption_Goat!I9*Assumption_Goat!I155</f>
        <v>280000</v>
      </c>
      <c r="H12" s="35">
        <f>Assumption_Goat!J9*Assumption_Goat!J155</f>
        <v>0</v>
      </c>
      <c r="I12" s="35">
        <f>Assumption_Goat!K9*Assumption_Goat!K155</f>
        <v>0</v>
      </c>
      <c r="J12" s="35">
        <f>Assumption_Goat!L9*Assumption_Goat!L155</f>
        <v>0</v>
      </c>
      <c r="K12" s="35">
        <f>Assumption_Goat!M9*Assumption_Goat!M155</f>
        <v>0</v>
      </c>
      <c r="L12" s="35">
        <f>Assumption_Goat!N9*Assumption_Goat!N155</f>
        <v>0</v>
      </c>
      <c r="M12" s="35">
        <f>Assumption_Goat!O9*Assumption_Goat!O155</f>
        <v>0</v>
      </c>
      <c r="N12" s="35">
        <f>Assumption_Goat!P9*Assumption_Goat!P155</f>
        <v>0</v>
      </c>
      <c r="O12" s="35">
        <f>Assumption_Goat!Q9*Assumption_Goat!Q155</f>
        <v>0</v>
      </c>
      <c r="P12" s="35">
        <f>Assumption_Goat!R9*Assumption_Goat!R155</f>
        <v>0</v>
      </c>
    </row>
    <row r="13" spans="1:16" x14ac:dyDescent="0.25">
      <c r="A13" s="9" t="str">
        <f>Assumption_Goat!B156</f>
        <v>Mother Goat Purchase</v>
      </c>
      <c r="B13" s="35">
        <f>Assumption_Goat!D9*Assumption_Goat!D156</f>
        <v>0</v>
      </c>
      <c r="C13" s="35">
        <f>Assumption_Goat!E9*Assumption_Goat!E156</f>
        <v>375000</v>
      </c>
      <c r="D13" s="35">
        <f>Assumption_Goat!F9*Assumption_Goat!F156</f>
        <v>750000</v>
      </c>
      <c r="E13" s="35">
        <f>Assumption_Goat!G9*Assumption_Goat!G156</f>
        <v>750000</v>
      </c>
      <c r="F13" s="35">
        <f>Assumption_Goat!H9*Assumption_Goat!H156</f>
        <v>750000</v>
      </c>
      <c r="G13" s="35">
        <f>Assumption_Goat!I9*Assumption_Goat!I156</f>
        <v>375000</v>
      </c>
      <c r="H13" s="35">
        <f>Assumption_Goat!J9*Assumption_Goat!J156</f>
        <v>0</v>
      </c>
      <c r="I13" s="35">
        <f>Assumption_Goat!K9*Assumption_Goat!K156</f>
        <v>0</v>
      </c>
      <c r="J13" s="35">
        <f>Assumption_Goat!L9*Assumption_Goat!L156</f>
        <v>0</v>
      </c>
      <c r="K13" s="35">
        <f>Assumption_Goat!M9*Assumption_Goat!M156</f>
        <v>0</v>
      </c>
      <c r="L13" s="35">
        <f>Assumption_Goat!N9*Assumption_Goat!N156</f>
        <v>0</v>
      </c>
      <c r="M13" s="35">
        <f>Assumption_Goat!O9*Assumption_Goat!O156</f>
        <v>0</v>
      </c>
      <c r="N13" s="35">
        <f>Assumption_Goat!P9*Assumption_Goat!P156</f>
        <v>0</v>
      </c>
      <c r="O13" s="35">
        <f>Assumption_Goat!Q9*Assumption_Goat!Q156</f>
        <v>0</v>
      </c>
      <c r="P13" s="35">
        <f>Assumption_Goat!R9*Assumption_Goat!R156</f>
        <v>0</v>
      </c>
    </row>
    <row r="14" spans="1:16" x14ac:dyDescent="0.25">
      <c r="A14" s="9" t="str">
        <f>Assumption_Goat!B157</f>
        <v>Maintenance Cost</v>
      </c>
      <c r="B14" s="35">
        <f>Assumption_Goat!D11*Assumption_Goat!D157</f>
        <v>0</v>
      </c>
      <c r="C14" s="35">
        <v>0</v>
      </c>
      <c r="D14" s="35">
        <f>Assumption_Goat!F11*Assumption_Goat!F157</f>
        <v>90000</v>
      </c>
      <c r="E14" s="203">
        <f>Assumption_Goat!G11*Assumption_Goat!G157*(1+Assumption_Goat!$S124)</f>
        <v>166950.00000000003</v>
      </c>
      <c r="F14" s="35">
        <f>Assumption_Goat!H11*Assumption_Goat!H157</f>
        <v>210000</v>
      </c>
      <c r="G14" s="35">
        <f>Assumption_Goat!I11*Assumption_Goat!I157</f>
        <v>240000</v>
      </c>
      <c r="H14" s="203">
        <f>Assumption_Goat!J11*Assumption_Goat!J157*(1+Assumption_Goat!$S124)</f>
        <v>267120.00000000006</v>
      </c>
      <c r="I14" s="35">
        <f>Assumption_Goat!K11*Assumption_Goat!K157</f>
        <v>240000</v>
      </c>
      <c r="J14" s="35">
        <f>Assumption_Goat!L11*Assumption_Goat!L157</f>
        <v>240000</v>
      </c>
      <c r="K14" s="203">
        <f>Assumption_Goat!M11*Assumption_Goat!M157*(1+Assumption_Goat!$S124)</f>
        <v>267120.00000000006</v>
      </c>
      <c r="L14" s="35">
        <f>Assumption_Goat!N11*Assumption_Goat!N157</f>
        <v>210000</v>
      </c>
      <c r="M14" s="35">
        <f>Assumption_Goat!O11*Assumption_Goat!O157</f>
        <v>150000</v>
      </c>
      <c r="N14" s="203">
        <f>Assumption_Goat!P11*Assumption_Goat!P157*(1+Assumption_Goat!$S124)</f>
        <v>100170.00000000001</v>
      </c>
      <c r="O14" s="35">
        <f>Assumption_Goat!Q11*Assumption_Goat!Q157</f>
        <v>30000</v>
      </c>
      <c r="P14" s="35">
        <f>Assumption_Goat!R11*Assumption_Goat!R157</f>
        <v>30000</v>
      </c>
    </row>
    <row r="15" spans="1:16" x14ac:dyDescent="0.25">
      <c r="A15" s="118" t="str">
        <f>Assumption_Goat!B158</f>
        <v>Medicine</v>
      </c>
      <c r="B15" s="35">
        <f>Assumption_Goat!D11*Assumption_Goat!D158</f>
        <v>0</v>
      </c>
      <c r="C15" s="35">
        <f>Assumption_Goat!E11*Assumption_Goat!E158</f>
        <v>50000</v>
      </c>
      <c r="D15" s="35">
        <f>Assumption_Goat!F11*Assumption_Goat!F158</f>
        <v>150000</v>
      </c>
      <c r="E15" s="203">
        <f>Assumption_Goat!G11*Assumption_Goat!G158*(1+Assumption_Goat!$S125)</f>
        <v>282225.00000000006</v>
      </c>
      <c r="F15" s="35">
        <f>Assumption_Goat!H11*Assumption_Goat!H158</f>
        <v>350000</v>
      </c>
      <c r="G15" s="35">
        <f>Assumption_Goat!I11*Assumption_Goat!I158</f>
        <v>400000</v>
      </c>
      <c r="H15" s="203">
        <f>Assumption_Goat!J11*Assumption_Goat!J158*(1+Assumption_Goat!$S125)</f>
        <v>451560.00000000006</v>
      </c>
      <c r="I15" s="35">
        <f>Assumption_Goat!K11*Assumption_Goat!K158</f>
        <v>400000</v>
      </c>
      <c r="J15" s="35">
        <f>Assumption_Goat!L11*Assumption_Goat!L158</f>
        <v>400000</v>
      </c>
      <c r="K15" s="203">
        <f>Assumption_Goat!M11*Assumption_Goat!M158*(1+Assumption_Goat!$S125)</f>
        <v>451560.00000000006</v>
      </c>
      <c r="L15" s="35">
        <f>Assumption_Goat!N11*Assumption_Goat!N158</f>
        <v>350000</v>
      </c>
      <c r="M15" s="35">
        <f>Assumption_Goat!O11*Assumption_Goat!O158</f>
        <v>250000</v>
      </c>
      <c r="N15" s="203">
        <f>Assumption_Goat!P11*Assumption_Goat!P158*(1+Assumption_Goat!$S125)</f>
        <v>169335.00000000003</v>
      </c>
      <c r="O15" s="35">
        <f>Assumption_Goat!Q11*Assumption_Goat!Q158</f>
        <v>50000</v>
      </c>
      <c r="P15" s="35">
        <f>Assumption_Goat!R11*Assumption_Goat!R158</f>
        <v>50000</v>
      </c>
    </row>
    <row r="16" spans="1:16" x14ac:dyDescent="0.25">
      <c r="A16" s="118" t="s">
        <v>15</v>
      </c>
      <c r="B16" s="35">
        <f>Assumption_Goat!D11*Assumption_Goat!D159*Assumption_Goat!D160*(1+Assumption_Goat!D161)^Assumption_Goat!D154</f>
        <v>0</v>
      </c>
      <c r="C16" s="35">
        <f>Assumption_Goat!E11*Assumption_Goat!E159*Assumption_Goat!E160*(1+Assumption_Goat!E161)^Assumption_Goat!E154</f>
        <v>335825</v>
      </c>
      <c r="D16" s="35">
        <f>Assumption_Goat!F11*Assumption_Goat!F159*Assumption_Goat!F160*(1+Assumption_Goat!F161)^Assumption_Goat!F154</f>
        <v>1017549.75</v>
      </c>
      <c r="E16" s="35">
        <f>Assumption_Goat!G11*Assumption_Goat!G159*Assumption_Goat!G160*(1+Assumption_Goat!G161)^Assumption_Goat!G154</f>
        <v>1712875.4124999999</v>
      </c>
      <c r="F16" s="35">
        <f>Assumption_Goat!H11*Assumption_Goat!H159*Assumption_Goat!H160*(1+Assumption_Goat!H161)^Assumption_Goat!H154</f>
        <v>2422005.8332750001</v>
      </c>
      <c r="G16" s="35">
        <f>Assumption_Goat!I11*Assumption_Goat!I159*Assumption_Goat!I160*(1+Assumption_Goat!I161)^Assumption_Goat!I154</f>
        <v>2795686.7332659997</v>
      </c>
      <c r="H16" s="35">
        <f>Assumption_Goat!J11*Assumption_Goat!J159*Assumption_Goat!J160*(1+Assumption_Goat!J161)^Assumption_Goat!J154</f>
        <v>2823643.6005986603</v>
      </c>
      <c r="I16" s="35">
        <f>Assumption_Goat!K11*Assumption_Goat!K159*Assumption_Goat!K160*(1+Assumption_Goat!K161)^Assumption_Goat!K154</f>
        <v>2851880.0366046461</v>
      </c>
      <c r="J16" s="35">
        <f>Assumption_Goat!L11*Assumption_Goat!L159*Assumption_Goat!L160*(1+Assumption_Goat!L161)^Assumption_Goat!L154</f>
        <v>2880398.8369706934</v>
      </c>
      <c r="K16" s="35">
        <f>Assumption_Goat!M11*Assumption_Goat!M159*Assumption_Goat!M160*(1+Assumption_Goat!M161)^Assumption_Goat!M154</f>
        <v>2909202.8253404004</v>
      </c>
      <c r="L16" s="35">
        <f>Assumption_Goat!N11*Assumption_Goat!N159*Assumption_Goat!N160*(1+Assumption_Goat!N161)^Assumption_Goat!N154</f>
        <v>2571007.9968945789</v>
      </c>
      <c r="M16" s="35">
        <f>Assumption_Goat!O11*Assumption_Goat!O159*Assumption_Goat!O160*(1+Assumption_Goat!O161)^Assumption_Goat!O154</f>
        <v>1854798.6263310888</v>
      </c>
      <c r="N16" s="35">
        <f>Assumption_Goat!P11*Assumption_Goat!P159*Assumption_Goat!P160*(1+Assumption_Goat!P161)^Assumption_Goat!P154</f>
        <v>1124007.9675566398</v>
      </c>
      <c r="O16" s="35">
        <f>Assumption_Goat!Q11*Assumption_Goat!Q159*Assumption_Goat!Q160*(1+Assumption_Goat!Q161)^Assumption_Goat!Q154</f>
        <v>378416.01574406878</v>
      </c>
      <c r="P16" s="35">
        <f>Assumption_Goat!R11*Assumption_Goat!R159*Assumption_Goat!R160*(1+Assumption_Goat!R161)^Assumption_Goat!R154</f>
        <v>382200.17590150947</v>
      </c>
    </row>
    <row r="17" spans="1:16" s="54" customFormat="1" x14ac:dyDescent="0.25">
      <c r="A17" s="56" t="s">
        <v>156</v>
      </c>
      <c r="B17" s="53">
        <f>Assumption_Goat!D36</f>
        <v>0</v>
      </c>
      <c r="C17" s="53">
        <f>Assumption_Goat!E36</f>
        <v>0</v>
      </c>
      <c r="D17" s="53">
        <f>Assumption_Goat!F36</f>
        <v>969400</v>
      </c>
      <c r="E17" s="53">
        <f>Assumption_Goat!G36</f>
        <v>1938800</v>
      </c>
      <c r="F17" s="53">
        <f>Assumption_Goat!H36</f>
        <v>1938800</v>
      </c>
      <c r="G17" s="53">
        <f>Assumption_Goat!I36</f>
        <v>1938800</v>
      </c>
      <c r="H17" s="53">
        <f>Assumption_Goat!J36</f>
        <v>969400</v>
      </c>
      <c r="I17" s="53">
        <f>Assumption_Goat!K36</f>
        <v>0</v>
      </c>
      <c r="J17" s="53">
        <f>Assumption_Goat!L36</f>
        <v>0</v>
      </c>
      <c r="K17" s="53">
        <f>Assumption_Goat!M36</f>
        <v>0</v>
      </c>
      <c r="L17" s="53">
        <f>Assumption_Goat!N36</f>
        <v>0</v>
      </c>
      <c r="M17" s="53">
        <f>Assumption_Goat!O36</f>
        <v>0</v>
      </c>
      <c r="N17" s="53">
        <f>Assumption_Goat!P36</f>
        <v>0</v>
      </c>
      <c r="O17" s="53">
        <f>Assumption_Goat!Q36</f>
        <v>0</v>
      </c>
      <c r="P17" s="53">
        <f>Assumption_Goat!R36</f>
        <v>0</v>
      </c>
    </row>
    <row r="18" spans="1:16" x14ac:dyDescent="0.25">
      <c r="A18" s="127" t="s">
        <v>59</v>
      </c>
      <c r="B18" s="40">
        <f t="shared" ref="B18:P18" si="1">SUM(B12:B17)</f>
        <v>0</v>
      </c>
      <c r="C18" s="40">
        <f t="shared" si="1"/>
        <v>1040825</v>
      </c>
      <c r="D18" s="40">
        <f t="shared" si="1"/>
        <v>3536949.75</v>
      </c>
      <c r="E18" s="40">
        <f t="shared" si="1"/>
        <v>5410850.4124999996</v>
      </c>
      <c r="F18" s="40">
        <f t="shared" si="1"/>
        <v>6230805.8332749996</v>
      </c>
      <c r="G18" s="40">
        <f t="shared" si="1"/>
        <v>6029486.7332659997</v>
      </c>
      <c r="H18" s="40">
        <f t="shared" si="1"/>
        <v>4511723.6005986603</v>
      </c>
      <c r="I18" s="40">
        <f t="shared" si="1"/>
        <v>3491880.0366046461</v>
      </c>
      <c r="J18" s="40">
        <f t="shared" si="1"/>
        <v>3520398.8369706934</v>
      </c>
      <c r="K18" s="40">
        <f t="shared" si="1"/>
        <v>3627882.8253404004</v>
      </c>
      <c r="L18" s="40">
        <f t="shared" si="1"/>
        <v>3131007.9968945789</v>
      </c>
      <c r="M18" s="40">
        <f t="shared" si="1"/>
        <v>2254798.6263310891</v>
      </c>
      <c r="N18" s="40">
        <f t="shared" si="1"/>
        <v>1393512.9675566398</v>
      </c>
      <c r="O18" s="40">
        <f t="shared" si="1"/>
        <v>458416.01574406878</v>
      </c>
      <c r="P18" s="40">
        <f t="shared" si="1"/>
        <v>462200.17590150947</v>
      </c>
    </row>
    <row r="19" spans="1:16" x14ac:dyDescent="0.25">
      <c r="B19" s="34"/>
      <c r="C19" s="34"/>
      <c r="D19" s="34"/>
      <c r="E19" s="34"/>
      <c r="F19" s="34"/>
      <c r="G19" s="34"/>
      <c r="H19" s="34"/>
      <c r="I19" s="34"/>
      <c r="J19" s="34"/>
      <c r="K19" s="34"/>
      <c r="L19" s="34"/>
    </row>
    <row r="20" spans="1:16" x14ac:dyDescent="0.25">
      <c r="A20" s="24" t="s">
        <v>60</v>
      </c>
      <c r="B20" s="36">
        <f t="shared" ref="B20:P20" si="2">B9-B18</f>
        <v>0</v>
      </c>
      <c r="C20" s="36">
        <f t="shared" si="2"/>
        <v>-1040825</v>
      </c>
      <c r="D20" s="36">
        <f t="shared" si="2"/>
        <v>-1593659.25</v>
      </c>
      <c r="E20" s="36">
        <f t="shared" si="2"/>
        <v>-2906415.3477199995</v>
      </c>
      <c r="F20" s="36">
        <f t="shared" si="2"/>
        <v>-1605321.0088249994</v>
      </c>
      <c r="G20" s="36">
        <f t="shared" si="2"/>
        <v>-690355.67875800002</v>
      </c>
      <c r="H20" s="36">
        <f t="shared" si="2"/>
        <v>-383208.47791402182</v>
      </c>
      <c r="I20" s="36">
        <f t="shared" si="2"/>
        <v>1954567.5520989639</v>
      </c>
      <c r="J20" s="36">
        <f t="shared" si="2"/>
        <v>1980513.2276199544</v>
      </c>
      <c r="K20" s="36">
        <f t="shared" si="2"/>
        <v>625730.43407670595</v>
      </c>
      <c r="L20" s="36">
        <f t="shared" si="2"/>
        <v>2247537.3505582265</v>
      </c>
      <c r="M20" s="36">
        <f t="shared" si="2"/>
        <v>2224448.3743312908</v>
      </c>
      <c r="N20" s="36">
        <f t="shared" si="2"/>
        <v>1174409.2804898738</v>
      </c>
      <c r="O20" s="36">
        <f t="shared" si="2"/>
        <v>1201273.21733107</v>
      </c>
      <c r="P20" s="36">
        <f t="shared" si="2"/>
        <v>736215.94950438093</v>
      </c>
    </row>
    <row r="21" spans="1:16" x14ac:dyDescent="0.25">
      <c r="B21" s="34"/>
      <c r="C21" s="34"/>
      <c r="D21" s="34"/>
      <c r="E21" s="34"/>
      <c r="F21" s="34"/>
      <c r="G21" s="34"/>
      <c r="H21" s="34"/>
      <c r="I21" s="34"/>
      <c r="J21" s="34"/>
      <c r="K21" s="34"/>
      <c r="L21" s="34"/>
    </row>
    <row r="22" spans="1:16" s="13" customFormat="1" x14ac:dyDescent="0.25">
      <c r="A22" s="24" t="s">
        <v>61</v>
      </c>
      <c r="B22" s="42">
        <f>B20/(1+Assumption_Hatchery!$C76)^B4</f>
        <v>0</v>
      </c>
      <c r="C22" s="42">
        <f>C20/(1+Assumption_Hatchery!$C76)^C4</f>
        <v>-954885.32110091741</v>
      </c>
      <c r="D22" s="42">
        <f>D20/(1+Assumption_Hatchery!$C76)^D4</f>
        <v>-1341351.1068091909</v>
      </c>
      <c r="E22" s="42">
        <f>E20/(1+Assumption_Hatchery!$C76)^E4</f>
        <v>-2244285.917705317</v>
      </c>
      <c r="F22" s="42">
        <f>F20/(1+Assumption_Hatchery!$C76)^F4</f>
        <v>-1137249.8745042444</v>
      </c>
      <c r="G22" s="42">
        <f>G20/(1+Assumption_Hatchery!$C76)^G4</f>
        <v>-448683.82333412208</v>
      </c>
      <c r="H22" s="42">
        <f>H20/(1+Assumption_Hatchery!$C76)^H4</f>
        <v>-228494.69476324681</v>
      </c>
      <c r="I22" s="42">
        <f>I20/(1+Assumption_Hatchery!$C76)^I4</f>
        <v>1069215.3848577079</v>
      </c>
      <c r="J22" s="42">
        <f>J20/(1+Assumption_Hatchery!$C76)^J4</f>
        <v>993952.80538833269</v>
      </c>
      <c r="K22" s="42">
        <f>K20/(1+Assumption_Hatchery!$C76)^K4</f>
        <v>288103.67433770886</v>
      </c>
      <c r="L22" s="42">
        <f>L20/(1+Assumption_Hatchery!$C76)^L4</f>
        <v>949384.06577749935</v>
      </c>
      <c r="M22" s="42">
        <f>M20/(1+Assumption_Hatchery!$C76)^M4</f>
        <v>862046.81898998539</v>
      </c>
      <c r="N22" s="42">
        <f>N20/(1+Assumption_Hatchery!$C76)^N4</f>
        <v>417543.28069818456</v>
      </c>
      <c r="O22" s="42">
        <f>O20/(1+Assumption_Hatchery!$C76)^O4</f>
        <v>391829.67256717611</v>
      </c>
      <c r="P22" s="42">
        <f>P20/(1+Assumption_Hatchery!$C76)^P4</f>
        <v>220310.02038884684</v>
      </c>
    </row>
    <row r="23" spans="1:16" x14ac:dyDescent="0.25">
      <c r="B23" s="34"/>
      <c r="C23" s="34"/>
      <c r="D23" s="34"/>
      <c r="E23" s="34"/>
      <c r="F23" s="34"/>
      <c r="G23" s="34"/>
      <c r="H23" s="34"/>
      <c r="I23" s="34"/>
      <c r="J23" s="34"/>
      <c r="K23" s="34"/>
      <c r="L23" s="34"/>
    </row>
    <row r="24" spans="1:16" s="13" customFormat="1" x14ac:dyDescent="0.25">
      <c r="A24" s="26" t="s">
        <v>62</v>
      </c>
      <c r="B24" s="37">
        <f>NPV(Assumption_Hatchery!C76,C20:P20)+B20</f>
        <v>-1162565.0152115987</v>
      </c>
      <c r="C24" s="43"/>
      <c r="D24" s="43"/>
      <c r="E24" s="43"/>
      <c r="F24" s="43"/>
      <c r="G24" s="43"/>
      <c r="H24" s="43"/>
      <c r="I24" s="43"/>
      <c r="J24" s="43"/>
      <c r="K24" s="43"/>
      <c r="L24" s="43"/>
    </row>
    <row r="26" spans="1:16" s="13" customFormat="1" x14ac:dyDescent="0.25">
      <c r="A26" s="26" t="s">
        <v>25</v>
      </c>
      <c r="B26" s="38">
        <f>IRR(B20:P20)</f>
        <v>5.8056380022040388E-2</v>
      </c>
      <c r="C26" s="4"/>
      <c r="D26" s="4"/>
      <c r="E26" s="4"/>
      <c r="F26" s="4"/>
      <c r="G26" s="4"/>
      <c r="H26" s="4"/>
      <c r="I26" s="4"/>
      <c r="J26" s="4"/>
      <c r="K26" s="4"/>
      <c r="L26" s="4"/>
    </row>
    <row r="28" spans="1:16" s="13" customFormat="1" x14ac:dyDescent="0.25">
      <c r="A28" s="27" t="s">
        <v>63</v>
      </c>
      <c r="B28" s="39">
        <f>B22</f>
        <v>0</v>
      </c>
      <c r="C28" s="39">
        <f>B28+C22</f>
        <v>-954885.32110091741</v>
      </c>
      <c r="D28" s="39">
        <f t="shared" ref="D28:P28" si="3">C28+D22</f>
        <v>-2296236.4279101081</v>
      </c>
      <c r="E28" s="39">
        <f t="shared" si="3"/>
        <v>-4540522.3456154251</v>
      </c>
      <c r="F28" s="39">
        <f t="shared" si="3"/>
        <v>-5677772.22011967</v>
      </c>
      <c r="G28" s="39">
        <f t="shared" si="3"/>
        <v>-6126456.0434537921</v>
      </c>
      <c r="H28" s="39">
        <f t="shared" si="3"/>
        <v>-6354950.738217039</v>
      </c>
      <c r="I28" s="39">
        <f t="shared" si="3"/>
        <v>-5285735.3533593314</v>
      </c>
      <c r="J28" s="39">
        <f t="shared" si="3"/>
        <v>-4291782.547970999</v>
      </c>
      <c r="K28" s="39">
        <f t="shared" si="3"/>
        <v>-4003678.8736332902</v>
      </c>
      <c r="L28" s="39">
        <f t="shared" si="3"/>
        <v>-3054294.8078557909</v>
      </c>
      <c r="M28" s="39">
        <f t="shared" si="3"/>
        <v>-2192247.9888658058</v>
      </c>
      <c r="N28" s="39">
        <f t="shared" si="3"/>
        <v>-1774704.7081676212</v>
      </c>
      <c r="O28" s="39">
        <f t="shared" si="3"/>
        <v>-1382875.035600445</v>
      </c>
      <c r="P28" s="39">
        <f t="shared" si="3"/>
        <v>-1162565.0152115982</v>
      </c>
    </row>
    <row r="30" spans="1:16" s="1" customFormat="1" x14ac:dyDescent="0.25">
      <c r="A30" s="25"/>
      <c r="B30" s="45"/>
      <c r="C30" s="45"/>
      <c r="D30" s="45"/>
      <c r="E30" s="45"/>
      <c r="F30" s="45"/>
      <c r="G30" s="45"/>
      <c r="H30" s="45"/>
      <c r="I30" s="45"/>
      <c r="J30" s="45"/>
      <c r="K30" s="45"/>
      <c r="L30" s="45"/>
    </row>
    <row r="32" spans="1:16" ht="38.25" customHeight="1" x14ac:dyDescent="0.25">
      <c r="A32" s="11" t="str">
        <f>A2</f>
        <v>Aggregate Financial Analysis_Goat Rearing</v>
      </c>
      <c r="B32" s="32"/>
      <c r="C32" s="76"/>
      <c r="D32" s="77"/>
      <c r="E32" s="32"/>
      <c r="F32" s="126" t="s">
        <v>105</v>
      </c>
      <c r="G32" s="32"/>
      <c r="H32" s="32"/>
      <c r="I32" s="32"/>
      <c r="J32" s="32"/>
      <c r="K32" s="32"/>
      <c r="L32" s="32"/>
      <c r="M32" s="11"/>
    </row>
    <row r="33" spans="1:16" ht="38.25" customHeight="1" x14ac:dyDescent="0.25">
      <c r="A33" s="11"/>
      <c r="B33" s="32"/>
      <c r="C33" s="76"/>
      <c r="D33" s="77"/>
      <c r="E33" s="32"/>
      <c r="F33" s="126"/>
      <c r="G33" s="32"/>
      <c r="H33" s="32"/>
      <c r="I33" s="32"/>
      <c r="J33" s="32"/>
      <c r="K33" s="32"/>
      <c r="L33" s="32"/>
      <c r="M33" s="11"/>
    </row>
    <row r="34" spans="1:16" x14ac:dyDescent="0.25">
      <c r="A34" s="10" t="s">
        <v>22</v>
      </c>
      <c r="B34" s="28">
        <v>0</v>
      </c>
      <c r="C34" s="28">
        <v>1</v>
      </c>
      <c r="D34" s="28">
        <v>2</v>
      </c>
      <c r="E34" s="28">
        <v>3</v>
      </c>
      <c r="F34" s="28">
        <v>4</v>
      </c>
      <c r="G34" s="28">
        <v>5</v>
      </c>
      <c r="H34" s="28">
        <v>6</v>
      </c>
      <c r="I34" s="28">
        <v>7</v>
      </c>
      <c r="J34" s="28">
        <v>8</v>
      </c>
      <c r="K34" s="28">
        <v>9</v>
      </c>
      <c r="L34" s="28">
        <v>10</v>
      </c>
      <c r="M34" s="28">
        <v>11</v>
      </c>
      <c r="N34" s="28">
        <v>12</v>
      </c>
      <c r="O34" s="28">
        <v>13</v>
      </c>
      <c r="P34" s="28">
        <v>14</v>
      </c>
    </row>
    <row r="35" spans="1:16" x14ac:dyDescent="0.25">
      <c r="A35" s="24" t="s">
        <v>23</v>
      </c>
    </row>
    <row r="36" spans="1:16" x14ac:dyDescent="0.25">
      <c r="A36" s="10" t="str">
        <f>A6</f>
        <v>Goat Sale ($)</v>
      </c>
      <c r="B36" s="33">
        <f t="shared" ref="B36:P38" si="4">B6</f>
        <v>0</v>
      </c>
      <c r="C36" s="33">
        <f t="shared" si="4"/>
        <v>0</v>
      </c>
      <c r="D36" s="33">
        <f t="shared" si="4"/>
        <v>1943290.5</v>
      </c>
      <c r="E36" s="33">
        <f t="shared" si="4"/>
        <v>2504435.0647800001</v>
      </c>
      <c r="F36" s="33">
        <f t="shared" si="4"/>
        <v>4625484.8244500002</v>
      </c>
      <c r="G36" s="33">
        <f t="shared" si="4"/>
        <v>5339131.0545079997</v>
      </c>
      <c r="H36" s="33">
        <f t="shared" si="4"/>
        <v>4128515.1226846385</v>
      </c>
      <c r="I36" s="33">
        <f t="shared" si="4"/>
        <v>5446447.58870361</v>
      </c>
      <c r="J36" s="33">
        <f t="shared" si="4"/>
        <v>5500912.0645906478</v>
      </c>
      <c r="K36" s="33">
        <f t="shared" si="4"/>
        <v>4253613.2594171064</v>
      </c>
      <c r="L36" s="33">
        <f t="shared" si="4"/>
        <v>4910045.3474528054</v>
      </c>
      <c r="M36" s="33">
        <f t="shared" si="4"/>
        <v>3542247.0006623799</v>
      </c>
      <c r="N36" s="33">
        <f t="shared" si="4"/>
        <v>1643438.2480465136</v>
      </c>
      <c r="O36" s="33">
        <f t="shared" si="4"/>
        <v>722689.23307513888</v>
      </c>
      <c r="P36" s="33">
        <f t="shared" si="4"/>
        <v>729916.12540589029</v>
      </c>
    </row>
    <row r="37" spans="1:16" x14ac:dyDescent="0.25">
      <c r="A37" s="10" t="str">
        <f t="shared" ref="A37:A38" si="5">A7</f>
        <v>Residual ($)</v>
      </c>
      <c r="B37" s="33">
        <f t="shared" si="4"/>
        <v>0</v>
      </c>
      <c r="C37" s="33">
        <f t="shared" si="4"/>
        <v>0</v>
      </c>
      <c r="D37" s="33">
        <f t="shared" si="4"/>
        <v>0</v>
      </c>
      <c r="E37" s="33">
        <f t="shared" si="4"/>
        <v>0</v>
      </c>
      <c r="F37" s="33">
        <f t="shared" si="4"/>
        <v>0</v>
      </c>
      <c r="G37" s="33">
        <f t="shared" si="4"/>
        <v>0</v>
      </c>
      <c r="H37" s="33">
        <f t="shared" si="4"/>
        <v>0</v>
      </c>
      <c r="I37" s="33">
        <f t="shared" si="4"/>
        <v>0</v>
      </c>
      <c r="J37" s="33">
        <f t="shared" si="4"/>
        <v>0</v>
      </c>
      <c r="K37" s="33">
        <f t="shared" si="4"/>
        <v>0</v>
      </c>
      <c r="L37" s="33">
        <f t="shared" si="4"/>
        <v>56000</v>
      </c>
      <c r="M37" s="33">
        <f t="shared" si="4"/>
        <v>112000</v>
      </c>
      <c r="N37" s="33">
        <f t="shared" si="4"/>
        <v>99484</v>
      </c>
      <c r="O37" s="33">
        <f t="shared" si="4"/>
        <v>112000</v>
      </c>
      <c r="P37" s="33">
        <f t="shared" si="4"/>
        <v>56000</v>
      </c>
    </row>
    <row r="38" spans="1:16" x14ac:dyDescent="0.25">
      <c r="A38" s="10" t="str">
        <f t="shared" si="5"/>
        <v>Mother Goat Sale ($)</v>
      </c>
      <c r="B38" s="33">
        <f t="shared" si="4"/>
        <v>0</v>
      </c>
      <c r="C38" s="33">
        <f t="shared" si="4"/>
        <v>0</v>
      </c>
      <c r="D38" s="33">
        <f t="shared" si="4"/>
        <v>0</v>
      </c>
      <c r="E38" s="33">
        <f t="shared" si="4"/>
        <v>0</v>
      </c>
      <c r="F38" s="33">
        <f t="shared" si="4"/>
        <v>0</v>
      </c>
      <c r="G38" s="33">
        <f t="shared" si="4"/>
        <v>0</v>
      </c>
      <c r="H38" s="33">
        <f t="shared" si="4"/>
        <v>0</v>
      </c>
      <c r="I38" s="33">
        <f t="shared" si="4"/>
        <v>0</v>
      </c>
      <c r="J38" s="33">
        <f t="shared" si="4"/>
        <v>0</v>
      </c>
      <c r="K38" s="33">
        <f t="shared" si="4"/>
        <v>0</v>
      </c>
      <c r="L38" s="33">
        <f t="shared" si="4"/>
        <v>412500</v>
      </c>
      <c r="M38" s="33">
        <f t="shared" si="4"/>
        <v>825000</v>
      </c>
      <c r="N38" s="33">
        <f t="shared" si="4"/>
        <v>825000</v>
      </c>
      <c r="O38" s="33">
        <f t="shared" si="4"/>
        <v>825000</v>
      </c>
      <c r="P38" s="33">
        <f t="shared" si="4"/>
        <v>412500</v>
      </c>
    </row>
    <row r="39" spans="1:16" s="13" customFormat="1" x14ac:dyDescent="0.25">
      <c r="A39" s="24" t="s">
        <v>58</v>
      </c>
      <c r="B39" s="41">
        <f>B36+B37+B38</f>
        <v>0</v>
      </c>
      <c r="C39" s="41">
        <f>C36+C37+C38</f>
        <v>0</v>
      </c>
      <c r="D39" s="41">
        <f t="shared" ref="D39:P39" si="6">D36+D37+D38</f>
        <v>1943290.5</v>
      </c>
      <c r="E39" s="41">
        <f t="shared" si="6"/>
        <v>2504435.0647800001</v>
      </c>
      <c r="F39" s="41">
        <f t="shared" si="6"/>
        <v>4625484.8244500002</v>
      </c>
      <c r="G39" s="41">
        <f t="shared" si="6"/>
        <v>5339131.0545079997</v>
      </c>
      <c r="H39" s="41">
        <f t="shared" si="6"/>
        <v>4128515.1226846385</v>
      </c>
      <c r="I39" s="41">
        <f t="shared" si="6"/>
        <v>5446447.58870361</v>
      </c>
      <c r="J39" s="41">
        <f t="shared" si="6"/>
        <v>5500912.0645906478</v>
      </c>
      <c r="K39" s="41">
        <f t="shared" si="6"/>
        <v>4253613.2594171064</v>
      </c>
      <c r="L39" s="41">
        <f t="shared" si="6"/>
        <v>5378545.3474528054</v>
      </c>
      <c r="M39" s="41">
        <f t="shared" si="6"/>
        <v>4479247.0006623799</v>
      </c>
      <c r="N39" s="41">
        <f t="shared" si="6"/>
        <v>2567922.2480465136</v>
      </c>
      <c r="O39" s="41">
        <f t="shared" si="6"/>
        <v>1659689.2330751389</v>
      </c>
      <c r="P39" s="41">
        <f t="shared" si="6"/>
        <v>1198416.1254058904</v>
      </c>
    </row>
    <row r="40" spans="1:16" x14ac:dyDescent="0.25">
      <c r="A40" s="24"/>
      <c r="B40" s="44"/>
      <c r="C40" s="44"/>
      <c r="D40" s="44"/>
      <c r="E40" s="44"/>
      <c r="F40" s="44"/>
      <c r="G40" s="44"/>
      <c r="H40" s="44"/>
      <c r="I40" s="44"/>
      <c r="J40" s="44"/>
      <c r="K40" s="44"/>
    </row>
    <row r="41" spans="1:16" x14ac:dyDescent="0.25">
      <c r="A41" s="24" t="s">
        <v>24</v>
      </c>
    </row>
    <row r="42" spans="1:16" x14ac:dyDescent="0.25">
      <c r="A42" s="9" t="str">
        <f>A12</f>
        <v>Slated House Construction</v>
      </c>
      <c r="B42" s="35">
        <f t="shared" ref="B42:P46" si="7">B12</f>
        <v>0</v>
      </c>
      <c r="C42" s="35">
        <f t="shared" si="7"/>
        <v>280000</v>
      </c>
      <c r="D42" s="35">
        <f t="shared" si="7"/>
        <v>560000</v>
      </c>
      <c r="E42" s="35">
        <f t="shared" si="7"/>
        <v>560000</v>
      </c>
      <c r="F42" s="35">
        <f t="shared" si="7"/>
        <v>560000</v>
      </c>
      <c r="G42" s="35">
        <f t="shared" si="7"/>
        <v>280000</v>
      </c>
      <c r="H42" s="35">
        <f t="shared" si="7"/>
        <v>0</v>
      </c>
      <c r="I42" s="35">
        <f t="shared" si="7"/>
        <v>0</v>
      </c>
      <c r="J42" s="35">
        <f t="shared" si="7"/>
        <v>0</v>
      </c>
      <c r="K42" s="35">
        <f t="shared" si="7"/>
        <v>0</v>
      </c>
      <c r="L42" s="35">
        <f t="shared" si="7"/>
        <v>0</v>
      </c>
      <c r="M42" s="35">
        <f t="shared" si="7"/>
        <v>0</v>
      </c>
      <c r="N42" s="35">
        <f t="shared" si="7"/>
        <v>0</v>
      </c>
      <c r="O42" s="35">
        <f t="shared" si="7"/>
        <v>0</v>
      </c>
      <c r="P42" s="35">
        <f t="shared" si="7"/>
        <v>0</v>
      </c>
    </row>
    <row r="43" spans="1:16" x14ac:dyDescent="0.25">
      <c r="A43" s="9" t="str">
        <f t="shared" ref="A43:A46" si="8">A13</f>
        <v>Mother Goat Purchase</v>
      </c>
      <c r="B43" s="35">
        <f t="shared" si="7"/>
        <v>0</v>
      </c>
      <c r="C43" s="35">
        <f t="shared" si="7"/>
        <v>375000</v>
      </c>
      <c r="D43" s="35">
        <f t="shared" si="7"/>
        <v>750000</v>
      </c>
      <c r="E43" s="35">
        <f t="shared" si="7"/>
        <v>750000</v>
      </c>
      <c r="F43" s="35">
        <f t="shared" si="7"/>
        <v>750000</v>
      </c>
      <c r="G43" s="35">
        <f t="shared" si="7"/>
        <v>375000</v>
      </c>
      <c r="H43" s="35">
        <f t="shared" si="7"/>
        <v>0</v>
      </c>
      <c r="I43" s="35">
        <f t="shared" si="7"/>
        <v>0</v>
      </c>
      <c r="J43" s="35">
        <f t="shared" si="7"/>
        <v>0</v>
      </c>
      <c r="K43" s="35">
        <f t="shared" si="7"/>
        <v>0</v>
      </c>
      <c r="L43" s="35">
        <f t="shared" si="7"/>
        <v>0</v>
      </c>
      <c r="M43" s="35">
        <f t="shared" si="7"/>
        <v>0</v>
      </c>
      <c r="N43" s="35">
        <f t="shared" si="7"/>
        <v>0</v>
      </c>
      <c r="O43" s="35">
        <f t="shared" si="7"/>
        <v>0</v>
      </c>
      <c r="P43" s="35">
        <f t="shared" si="7"/>
        <v>0</v>
      </c>
    </row>
    <row r="44" spans="1:16" x14ac:dyDescent="0.25">
      <c r="A44" s="9" t="str">
        <f t="shared" si="8"/>
        <v>Maintenance Cost</v>
      </c>
      <c r="B44" s="35">
        <f t="shared" si="7"/>
        <v>0</v>
      </c>
      <c r="C44" s="35">
        <f t="shared" si="7"/>
        <v>0</v>
      </c>
      <c r="D44" s="35">
        <f t="shared" si="7"/>
        <v>90000</v>
      </c>
      <c r="E44" s="35">
        <f t="shared" si="7"/>
        <v>166950.00000000003</v>
      </c>
      <c r="F44" s="35">
        <f t="shared" si="7"/>
        <v>210000</v>
      </c>
      <c r="G44" s="35">
        <f t="shared" si="7"/>
        <v>240000</v>
      </c>
      <c r="H44" s="35">
        <f t="shared" si="7"/>
        <v>267120.00000000006</v>
      </c>
      <c r="I44" s="35">
        <f t="shared" si="7"/>
        <v>240000</v>
      </c>
      <c r="J44" s="35">
        <f t="shared" si="7"/>
        <v>240000</v>
      </c>
      <c r="K44" s="35">
        <f t="shared" si="7"/>
        <v>267120.00000000006</v>
      </c>
      <c r="L44" s="35">
        <f t="shared" si="7"/>
        <v>210000</v>
      </c>
      <c r="M44" s="35">
        <f t="shared" si="7"/>
        <v>150000</v>
      </c>
      <c r="N44" s="35">
        <f t="shared" si="7"/>
        <v>100170.00000000001</v>
      </c>
      <c r="O44" s="35">
        <f t="shared" si="7"/>
        <v>30000</v>
      </c>
      <c r="P44" s="35">
        <f t="shared" si="7"/>
        <v>30000</v>
      </c>
    </row>
    <row r="45" spans="1:16" x14ac:dyDescent="0.25">
      <c r="A45" s="9" t="str">
        <f t="shared" si="8"/>
        <v>Medicine</v>
      </c>
      <c r="B45" s="35">
        <f t="shared" si="7"/>
        <v>0</v>
      </c>
      <c r="C45" s="35">
        <f t="shared" si="7"/>
        <v>50000</v>
      </c>
      <c r="D45" s="35">
        <f t="shared" si="7"/>
        <v>150000</v>
      </c>
      <c r="E45" s="35">
        <f t="shared" si="7"/>
        <v>282225.00000000006</v>
      </c>
      <c r="F45" s="35">
        <f t="shared" si="7"/>
        <v>350000</v>
      </c>
      <c r="G45" s="35">
        <f t="shared" si="7"/>
        <v>400000</v>
      </c>
      <c r="H45" s="35">
        <f t="shared" si="7"/>
        <v>451560.00000000006</v>
      </c>
      <c r="I45" s="35">
        <f t="shared" si="7"/>
        <v>400000</v>
      </c>
      <c r="J45" s="35">
        <f t="shared" si="7"/>
        <v>400000</v>
      </c>
      <c r="K45" s="35">
        <f t="shared" si="7"/>
        <v>451560.00000000006</v>
      </c>
      <c r="L45" s="35">
        <f t="shared" si="7"/>
        <v>350000</v>
      </c>
      <c r="M45" s="35">
        <f t="shared" si="7"/>
        <v>250000</v>
      </c>
      <c r="N45" s="35">
        <f t="shared" si="7"/>
        <v>169335.00000000003</v>
      </c>
      <c r="O45" s="35">
        <f t="shared" si="7"/>
        <v>50000</v>
      </c>
      <c r="P45" s="35">
        <f t="shared" si="7"/>
        <v>50000</v>
      </c>
    </row>
    <row r="46" spans="1:16" x14ac:dyDescent="0.25">
      <c r="A46" s="9" t="str">
        <f t="shared" si="8"/>
        <v>Labor</v>
      </c>
      <c r="B46" s="35">
        <f>B16</f>
        <v>0</v>
      </c>
      <c r="C46" s="35">
        <f t="shared" si="7"/>
        <v>335825</v>
      </c>
      <c r="D46" s="35">
        <f t="shared" si="7"/>
        <v>1017549.75</v>
      </c>
      <c r="E46" s="35">
        <f t="shared" si="7"/>
        <v>1712875.4124999999</v>
      </c>
      <c r="F46" s="35">
        <f t="shared" si="7"/>
        <v>2422005.8332750001</v>
      </c>
      <c r="G46" s="35">
        <f t="shared" si="7"/>
        <v>2795686.7332659997</v>
      </c>
      <c r="H46" s="35">
        <f t="shared" si="7"/>
        <v>2823643.6005986603</v>
      </c>
      <c r="I46" s="35">
        <f t="shared" si="7"/>
        <v>2851880.0366046461</v>
      </c>
      <c r="J46" s="35">
        <f t="shared" si="7"/>
        <v>2880398.8369706934</v>
      </c>
      <c r="K46" s="35">
        <f t="shared" si="7"/>
        <v>2909202.8253404004</v>
      </c>
      <c r="L46" s="35">
        <f t="shared" si="7"/>
        <v>2571007.9968945789</v>
      </c>
      <c r="M46" s="35">
        <f t="shared" si="7"/>
        <v>1854798.6263310888</v>
      </c>
      <c r="N46" s="35">
        <f t="shared" si="7"/>
        <v>1124007.9675566398</v>
      </c>
      <c r="O46" s="35">
        <f t="shared" si="7"/>
        <v>378416.01574406878</v>
      </c>
      <c r="P46" s="35">
        <f t="shared" si="7"/>
        <v>382200.17590150947</v>
      </c>
    </row>
    <row r="47" spans="1:16" s="54" customFormat="1" x14ac:dyDescent="0.25">
      <c r="A47" s="56" t="s">
        <v>156</v>
      </c>
      <c r="B47" s="53">
        <f>Assumption_Goat!D46</f>
        <v>0</v>
      </c>
      <c r="C47" s="53">
        <f>Assumption_Goat!E46</f>
        <v>0</v>
      </c>
      <c r="D47" s="53">
        <f>Assumption_Goat!F46</f>
        <v>555000</v>
      </c>
      <c r="E47" s="53">
        <f>Assumption_Goat!G46</f>
        <v>1110000</v>
      </c>
      <c r="F47" s="53">
        <f>Assumption_Goat!H46</f>
        <v>1110000</v>
      </c>
      <c r="G47" s="53">
        <f>Assumption_Goat!I46</f>
        <v>1110000</v>
      </c>
      <c r="H47" s="53">
        <f>Assumption_Goat!J46</f>
        <v>555000</v>
      </c>
      <c r="I47" s="53">
        <f>Assumption_Goat!K46</f>
        <v>0</v>
      </c>
      <c r="J47" s="53">
        <f>Assumption_Goat!L46</f>
        <v>0</v>
      </c>
      <c r="K47" s="53">
        <f>Assumption_Goat!M46</f>
        <v>0</v>
      </c>
      <c r="L47" s="53">
        <f>Assumption_Goat!N46</f>
        <v>0</v>
      </c>
      <c r="M47" s="53">
        <f>Assumption_Goat!O46</f>
        <v>0</v>
      </c>
      <c r="N47" s="53">
        <f>Assumption_Goat!P46</f>
        <v>0</v>
      </c>
      <c r="O47" s="53">
        <f>Assumption_Goat!Q46</f>
        <v>0</v>
      </c>
      <c r="P47" s="53">
        <f>Assumption_Goat!R46</f>
        <v>0</v>
      </c>
    </row>
    <row r="48" spans="1:16" x14ac:dyDescent="0.25">
      <c r="A48" s="127" t="s">
        <v>59</v>
      </c>
      <c r="B48" s="40">
        <f t="shared" ref="B48:P48" si="9">SUM(B42:B47)</f>
        <v>0</v>
      </c>
      <c r="C48" s="40">
        <f t="shared" si="9"/>
        <v>1040825</v>
      </c>
      <c r="D48" s="40">
        <f t="shared" si="9"/>
        <v>3122549.75</v>
      </c>
      <c r="E48" s="40">
        <f t="shared" si="9"/>
        <v>4582050.4124999996</v>
      </c>
      <c r="F48" s="40">
        <f t="shared" si="9"/>
        <v>5402005.8332749996</v>
      </c>
      <c r="G48" s="40">
        <f t="shared" si="9"/>
        <v>5200686.7332659997</v>
      </c>
      <c r="H48" s="40">
        <f t="shared" si="9"/>
        <v>4097323.6005986603</v>
      </c>
      <c r="I48" s="40">
        <f t="shared" si="9"/>
        <v>3491880.0366046461</v>
      </c>
      <c r="J48" s="40">
        <f t="shared" si="9"/>
        <v>3520398.8369706934</v>
      </c>
      <c r="K48" s="40">
        <f t="shared" si="9"/>
        <v>3627882.8253404004</v>
      </c>
      <c r="L48" s="40">
        <f t="shared" si="9"/>
        <v>3131007.9968945789</v>
      </c>
      <c r="M48" s="40">
        <f t="shared" si="9"/>
        <v>2254798.6263310891</v>
      </c>
      <c r="N48" s="40">
        <f t="shared" si="9"/>
        <v>1393512.9675566398</v>
      </c>
      <c r="O48" s="40">
        <f t="shared" si="9"/>
        <v>458416.01574406878</v>
      </c>
      <c r="P48" s="40">
        <f t="shared" si="9"/>
        <v>462200.17590150947</v>
      </c>
    </row>
    <row r="49" spans="1:16" x14ac:dyDescent="0.25">
      <c r="B49" s="34"/>
      <c r="C49" s="34"/>
      <c r="D49" s="34"/>
      <c r="E49" s="34"/>
      <c r="F49" s="34"/>
      <c r="G49" s="34"/>
      <c r="H49" s="34"/>
      <c r="I49" s="34"/>
      <c r="J49" s="34"/>
      <c r="K49" s="34"/>
      <c r="L49" s="34"/>
    </row>
    <row r="50" spans="1:16" x14ac:dyDescent="0.25">
      <c r="A50" s="24" t="s">
        <v>60</v>
      </c>
      <c r="B50" s="36">
        <f t="shared" ref="B50:P50" si="10">B39-B48</f>
        <v>0</v>
      </c>
      <c r="C50" s="36">
        <f t="shared" si="10"/>
        <v>-1040825</v>
      </c>
      <c r="D50" s="36">
        <f t="shared" si="10"/>
        <v>-1179259.25</v>
      </c>
      <c r="E50" s="36">
        <f t="shared" si="10"/>
        <v>-2077615.3477199995</v>
      </c>
      <c r="F50" s="36">
        <f t="shared" si="10"/>
        <v>-776521.00882499944</v>
      </c>
      <c r="G50" s="36">
        <f t="shared" si="10"/>
        <v>138444.32124199998</v>
      </c>
      <c r="H50" s="36">
        <f t="shared" si="10"/>
        <v>31191.522085978184</v>
      </c>
      <c r="I50" s="36">
        <f t="shared" si="10"/>
        <v>1954567.5520989639</v>
      </c>
      <c r="J50" s="36">
        <f t="shared" si="10"/>
        <v>1980513.2276199544</v>
      </c>
      <c r="K50" s="36">
        <f t="shared" si="10"/>
        <v>625730.43407670595</v>
      </c>
      <c r="L50" s="36">
        <f t="shared" si="10"/>
        <v>2247537.3505582265</v>
      </c>
      <c r="M50" s="36">
        <f t="shared" si="10"/>
        <v>2224448.3743312908</v>
      </c>
      <c r="N50" s="36">
        <f t="shared" si="10"/>
        <v>1174409.2804898738</v>
      </c>
      <c r="O50" s="36">
        <f t="shared" si="10"/>
        <v>1201273.21733107</v>
      </c>
      <c r="P50" s="36">
        <f t="shared" si="10"/>
        <v>736215.94950438093</v>
      </c>
    </row>
    <row r="51" spans="1:16" x14ac:dyDescent="0.25">
      <c r="B51" s="34"/>
      <c r="C51" s="34"/>
      <c r="D51" s="34"/>
      <c r="E51" s="34"/>
      <c r="F51" s="34"/>
      <c r="G51" s="34"/>
      <c r="H51" s="34"/>
      <c r="I51" s="34"/>
      <c r="J51" s="34"/>
      <c r="K51" s="34"/>
      <c r="L51" s="34"/>
    </row>
    <row r="52" spans="1:16" s="13" customFormat="1" x14ac:dyDescent="0.25">
      <c r="A52" s="24" t="s">
        <v>61</v>
      </c>
      <c r="B52" s="42">
        <f>B50/(1+Assumption_Hatchery!$C76)^B34</f>
        <v>0</v>
      </c>
      <c r="C52" s="42">
        <f>C50/(1+Assumption_Hatchery!$C76)^C34</f>
        <v>-954885.32110091741</v>
      </c>
      <c r="D52" s="42">
        <f>D50/(1+Assumption_Hatchery!$C76)^D34</f>
        <v>-992558.91759952856</v>
      </c>
      <c r="E52" s="42">
        <f>E50/(1+Assumption_Hatchery!$C76)^E34</f>
        <v>-1604300.2494307072</v>
      </c>
      <c r="F52" s="42">
        <f>F50/(1+Assumption_Hatchery!$C76)^F34</f>
        <v>-550107.0595734095</v>
      </c>
      <c r="G52" s="42">
        <f>G50/(1+Assumption_Hatchery!$C76)^G34</f>
        <v>89979.309629946496</v>
      </c>
      <c r="H52" s="42">
        <f>H50/(1+Assumption_Hatchery!$C76)^H34</f>
        <v>18598.485495500234</v>
      </c>
      <c r="I52" s="42">
        <f>I50/(1+Assumption_Hatchery!$C76)^I34</f>
        <v>1069215.3848577079</v>
      </c>
      <c r="J52" s="42">
        <f>J50/(1+Assumption_Hatchery!$C76)^J34</f>
        <v>993952.80538833269</v>
      </c>
      <c r="K52" s="42">
        <f>K50/(1+Assumption_Hatchery!$C76)^K34</f>
        <v>288103.67433770886</v>
      </c>
      <c r="L52" s="42">
        <f>L50/(1+Assumption_Hatchery!$C76)^L34</f>
        <v>949384.06577749935</v>
      </c>
      <c r="M52" s="42">
        <f>M50/(1+Assumption_Hatchery!$C76)^M34</f>
        <v>862046.81898998539</v>
      </c>
      <c r="N52" s="42">
        <f>N50/(1+Assumption_Hatchery!$C76)^N34</f>
        <v>417543.28069818456</v>
      </c>
      <c r="O52" s="42">
        <f>O50/(1+Assumption_Hatchery!$C76)^O34</f>
        <v>391829.67256717611</v>
      </c>
      <c r="P52" s="42">
        <f>P50/(1+Assumption_Hatchery!$C76)^P34</f>
        <v>220310.02038884684</v>
      </c>
    </row>
    <row r="53" spans="1:16" x14ac:dyDescent="0.25">
      <c r="B53" s="34"/>
      <c r="C53" s="34"/>
      <c r="D53" s="34"/>
      <c r="E53" s="34"/>
      <c r="F53" s="34"/>
      <c r="G53" s="34"/>
      <c r="H53" s="34"/>
      <c r="I53" s="34"/>
      <c r="J53" s="34"/>
      <c r="K53" s="34"/>
      <c r="L53" s="34"/>
    </row>
    <row r="54" spans="1:16" s="13" customFormat="1" x14ac:dyDescent="0.25">
      <c r="A54" s="26" t="s">
        <v>62</v>
      </c>
      <c r="B54" s="37">
        <f>NPV(Assumption_Hatchery!C76,C50:P50)+B50</f>
        <v>1199111.970426325</v>
      </c>
      <c r="C54" s="43"/>
      <c r="D54" s="43"/>
      <c r="E54" s="43"/>
      <c r="F54" s="43"/>
      <c r="G54" s="43"/>
      <c r="H54" s="43"/>
      <c r="I54" s="43"/>
      <c r="J54" s="43"/>
      <c r="K54" s="43"/>
      <c r="L54" s="43"/>
    </row>
    <row r="56" spans="1:16" s="13" customFormat="1" x14ac:dyDescent="0.25">
      <c r="A56" s="26" t="s">
        <v>25</v>
      </c>
      <c r="B56" s="38">
        <f>IRR(B50:P50)</f>
        <v>0.13020036796674805</v>
      </c>
      <c r="C56" s="4"/>
      <c r="D56" s="4"/>
      <c r="E56" s="4"/>
      <c r="F56" s="4"/>
      <c r="G56" s="4"/>
      <c r="H56" s="4"/>
      <c r="I56" s="4"/>
      <c r="J56" s="4"/>
      <c r="K56" s="4"/>
      <c r="L56" s="4"/>
    </row>
    <row r="58" spans="1:16" s="13" customFormat="1" x14ac:dyDescent="0.25">
      <c r="A58" s="27" t="s">
        <v>63</v>
      </c>
      <c r="B58" s="39">
        <f>B52</f>
        <v>0</v>
      </c>
      <c r="C58" s="39">
        <f>B58+C52</f>
        <v>-954885.32110091741</v>
      </c>
      <c r="D58" s="39">
        <f t="shared" ref="D58:P58" si="11">C58+D52</f>
        <v>-1947444.238700446</v>
      </c>
      <c r="E58" s="39">
        <f t="shared" si="11"/>
        <v>-3551744.4881311534</v>
      </c>
      <c r="F58" s="39">
        <f t="shared" si="11"/>
        <v>-4101851.547704563</v>
      </c>
      <c r="G58" s="39">
        <f t="shared" si="11"/>
        <v>-4011872.2380746165</v>
      </c>
      <c r="H58" s="39">
        <f t="shared" si="11"/>
        <v>-3993273.7525791163</v>
      </c>
      <c r="I58" s="39">
        <f t="shared" si="11"/>
        <v>-2924058.3677214086</v>
      </c>
      <c r="J58" s="39">
        <f t="shared" si="11"/>
        <v>-1930105.5623330758</v>
      </c>
      <c r="K58" s="39">
        <f t="shared" si="11"/>
        <v>-1642001.8879953669</v>
      </c>
      <c r="L58" s="39">
        <f t="shared" si="11"/>
        <v>-692617.82221786759</v>
      </c>
      <c r="M58" s="39">
        <f t="shared" si="11"/>
        <v>169428.9967721178</v>
      </c>
      <c r="N58" s="39">
        <f t="shared" si="11"/>
        <v>586972.2774703023</v>
      </c>
      <c r="O58" s="39">
        <f t="shared" si="11"/>
        <v>978801.95003747847</v>
      </c>
      <c r="P58" s="39">
        <f t="shared" si="11"/>
        <v>1199111.9704263252</v>
      </c>
    </row>
    <row r="59" spans="1:16" ht="38.25" customHeight="1" x14ac:dyDescent="0.25">
      <c r="A59" s="11"/>
      <c r="B59" s="32"/>
      <c r="C59" s="76"/>
      <c r="D59" s="77"/>
      <c r="E59" s="32"/>
      <c r="F59" s="126"/>
      <c r="G59" s="32"/>
      <c r="H59" s="32"/>
      <c r="I59" s="32"/>
      <c r="J59" s="32"/>
      <c r="K59" s="32"/>
      <c r="L59" s="32"/>
      <c r="M59" s="11"/>
    </row>
    <row r="60" spans="1:16" s="1" customFormat="1" x14ac:dyDescent="0.25">
      <c r="A60" s="25"/>
      <c r="B60" s="45"/>
      <c r="C60" s="45"/>
      <c r="D60" s="45"/>
      <c r="E60" s="45"/>
      <c r="F60" s="45"/>
      <c r="G60" s="45"/>
      <c r="H60" s="45"/>
      <c r="I60" s="45"/>
      <c r="J60" s="45"/>
      <c r="K60" s="45"/>
      <c r="L60" s="45"/>
    </row>
    <row r="62" spans="1:16" ht="26.25" x14ac:dyDescent="0.25">
      <c r="F62" s="20" t="s">
        <v>111</v>
      </c>
    </row>
    <row r="63" spans="1:16" ht="38.25" customHeight="1" x14ac:dyDescent="0.25">
      <c r="A63" s="11" t="str">
        <f>A2</f>
        <v>Aggregate Financial Analysis_Goat Rearing</v>
      </c>
      <c r="B63" s="32"/>
      <c r="C63" s="76"/>
      <c r="D63" s="77"/>
      <c r="E63" s="32"/>
      <c r="F63" s="32"/>
      <c r="G63" s="32"/>
      <c r="H63" s="32"/>
      <c r="I63" s="32"/>
      <c r="J63" s="32"/>
      <c r="K63" s="32"/>
      <c r="L63" s="32"/>
      <c r="M63" s="11"/>
    </row>
    <row r="65" spans="1:16" x14ac:dyDescent="0.25">
      <c r="A65" s="10" t="s">
        <v>22</v>
      </c>
      <c r="B65" s="28">
        <v>0</v>
      </c>
      <c r="C65" s="28">
        <v>1</v>
      </c>
      <c r="D65" s="28">
        <v>2</v>
      </c>
      <c r="E65" s="28">
        <v>3</v>
      </c>
      <c r="F65" s="28">
        <v>4</v>
      </c>
      <c r="G65" s="28">
        <v>5</v>
      </c>
      <c r="H65" s="28">
        <v>6</v>
      </c>
      <c r="I65" s="28">
        <v>7</v>
      </c>
      <c r="J65" s="28">
        <v>8</v>
      </c>
      <c r="K65" s="28">
        <v>9</v>
      </c>
      <c r="L65" s="28">
        <v>10</v>
      </c>
      <c r="M65" s="28">
        <v>11</v>
      </c>
      <c r="N65" s="28">
        <v>12</v>
      </c>
      <c r="O65" s="28">
        <v>13</v>
      </c>
      <c r="P65" s="28">
        <v>14</v>
      </c>
    </row>
    <row r="66" spans="1:16" x14ac:dyDescent="0.25">
      <c r="A66" s="24" t="s">
        <v>23</v>
      </c>
    </row>
    <row r="67" spans="1:16" x14ac:dyDescent="0.25">
      <c r="A67" s="10" t="str">
        <f>A6</f>
        <v>Goat Sale ($)</v>
      </c>
      <c r="B67" s="33">
        <f t="shared" ref="B67:P69" si="12">B6</f>
        <v>0</v>
      </c>
      <c r="C67" s="33">
        <f t="shared" si="12"/>
        <v>0</v>
      </c>
      <c r="D67" s="33">
        <f t="shared" si="12"/>
        <v>1943290.5</v>
      </c>
      <c r="E67" s="33">
        <f t="shared" si="12"/>
        <v>2504435.0647800001</v>
      </c>
      <c r="F67" s="33">
        <f t="shared" si="12"/>
        <v>4625484.8244500002</v>
      </c>
      <c r="G67" s="33">
        <f t="shared" si="12"/>
        <v>5339131.0545079997</v>
      </c>
      <c r="H67" s="33">
        <f t="shared" si="12"/>
        <v>4128515.1226846385</v>
      </c>
      <c r="I67" s="33">
        <f t="shared" si="12"/>
        <v>5446447.58870361</v>
      </c>
      <c r="J67" s="33">
        <f t="shared" si="12"/>
        <v>5500912.0645906478</v>
      </c>
      <c r="K67" s="33">
        <f t="shared" si="12"/>
        <v>4253613.2594171064</v>
      </c>
      <c r="L67" s="33">
        <f t="shared" si="12"/>
        <v>4910045.3474528054</v>
      </c>
      <c r="M67" s="33">
        <f t="shared" si="12"/>
        <v>3542247.0006623799</v>
      </c>
      <c r="N67" s="33">
        <f t="shared" si="12"/>
        <v>1643438.2480465136</v>
      </c>
      <c r="O67" s="33">
        <f t="shared" si="12"/>
        <v>722689.23307513888</v>
      </c>
      <c r="P67" s="33">
        <f t="shared" si="12"/>
        <v>729916.12540589029</v>
      </c>
    </row>
    <row r="68" spans="1:16" x14ac:dyDescent="0.25">
      <c r="A68" s="10" t="str">
        <f t="shared" ref="A68:A69" si="13">A7</f>
        <v>Residual ($)</v>
      </c>
      <c r="B68" s="33">
        <f t="shared" si="12"/>
        <v>0</v>
      </c>
      <c r="C68" s="33">
        <f t="shared" si="12"/>
        <v>0</v>
      </c>
      <c r="D68" s="33">
        <f t="shared" si="12"/>
        <v>0</v>
      </c>
      <c r="E68" s="33">
        <f t="shared" si="12"/>
        <v>0</v>
      </c>
      <c r="F68" s="33">
        <f t="shared" si="12"/>
        <v>0</v>
      </c>
      <c r="G68" s="33">
        <f t="shared" si="12"/>
        <v>0</v>
      </c>
      <c r="H68" s="33">
        <f t="shared" si="12"/>
        <v>0</v>
      </c>
      <c r="I68" s="33">
        <f t="shared" si="12"/>
        <v>0</v>
      </c>
      <c r="J68" s="33">
        <f t="shared" si="12"/>
        <v>0</v>
      </c>
      <c r="K68" s="33">
        <f t="shared" si="12"/>
        <v>0</v>
      </c>
      <c r="L68" s="33">
        <f t="shared" si="12"/>
        <v>56000</v>
      </c>
      <c r="M68" s="33">
        <f t="shared" si="12"/>
        <v>112000</v>
      </c>
      <c r="N68" s="33">
        <f t="shared" si="12"/>
        <v>99484</v>
      </c>
      <c r="O68" s="33">
        <f t="shared" si="12"/>
        <v>112000</v>
      </c>
      <c r="P68" s="33">
        <f t="shared" si="12"/>
        <v>56000</v>
      </c>
    </row>
    <row r="69" spans="1:16" x14ac:dyDescent="0.25">
      <c r="A69" s="10" t="str">
        <f t="shared" si="13"/>
        <v>Mother Goat Sale ($)</v>
      </c>
      <c r="B69" s="33">
        <f t="shared" si="12"/>
        <v>0</v>
      </c>
      <c r="C69" s="33">
        <f t="shared" si="12"/>
        <v>0</v>
      </c>
      <c r="D69" s="33">
        <f t="shared" si="12"/>
        <v>0</v>
      </c>
      <c r="E69" s="33">
        <f t="shared" si="12"/>
        <v>0</v>
      </c>
      <c r="F69" s="33">
        <f t="shared" si="12"/>
        <v>0</v>
      </c>
      <c r="G69" s="33">
        <f t="shared" si="12"/>
        <v>0</v>
      </c>
      <c r="H69" s="33">
        <f t="shared" si="12"/>
        <v>0</v>
      </c>
      <c r="I69" s="33">
        <f t="shared" si="12"/>
        <v>0</v>
      </c>
      <c r="J69" s="33">
        <f t="shared" si="12"/>
        <v>0</v>
      </c>
      <c r="K69" s="33">
        <f t="shared" si="12"/>
        <v>0</v>
      </c>
      <c r="L69" s="33">
        <f t="shared" si="12"/>
        <v>412500</v>
      </c>
      <c r="M69" s="33">
        <f t="shared" si="12"/>
        <v>825000</v>
      </c>
      <c r="N69" s="33">
        <f t="shared" si="12"/>
        <v>825000</v>
      </c>
      <c r="O69" s="33">
        <f t="shared" si="12"/>
        <v>825000</v>
      </c>
      <c r="P69" s="33">
        <f t="shared" si="12"/>
        <v>412500</v>
      </c>
    </row>
    <row r="70" spans="1:16" s="13" customFormat="1" x14ac:dyDescent="0.25">
      <c r="A70" s="24" t="s">
        <v>58</v>
      </c>
      <c r="B70" s="41">
        <f>(B67+B68+B69)</f>
        <v>0</v>
      </c>
      <c r="C70" s="41">
        <f t="shared" ref="C70:P70" si="14">(C67+C68+C69)</f>
        <v>0</v>
      </c>
      <c r="D70" s="41">
        <f t="shared" si="14"/>
        <v>1943290.5</v>
      </c>
      <c r="E70" s="41">
        <f t="shared" si="14"/>
        <v>2504435.0647800001</v>
      </c>
      <c r="F70" s="41">
        <f t="shared" si="14"/>
        <v>4625484.8244500002</v>
      </c>
      <c r="G70" s="41">
        <f t="shared" si="14"/>
        <v>5339131.0545079997</v>
      </c>
      <c r="H70" s="41">
        <f t="shared" si="14"/>
        <v>4128515.1226846385</v>
      </c>
      <c r="I70" s="41">
        <f t="shared" si="14"/>
        <v>5446447.58870361</v>
      </c>
      <c r="J70" s="41">
        <f t="shared" si="14"/>
        <v>5500912.0645906478</v>
      </c>
      <c r="K70" s="41">
        <f t="shared" si="14"/>
        <v>4253613.2594171064</v>
      </c>
      <c r="L70" s="41">
        <f t="shared" si="14"/>
        <v>5378545.3474528054</v>
      </c>
      <c r="M70" s="41">
        <f t="shared" si="14"/>
        <v>4479247.0006623799</v>
      </c>
      <c r="N70" s="41">
        <f t="shared" si="14"/>
        <v>2567922.2480465136</v>
      </c>
      <c r="O70" s="41">
        <f t="shared" si="14"/>
        <v>1659689.2330751389</v>
      </c>
      <c r="P70" s="41">
        <f t="shared" si="14"/>
        <v>1198416.1254058904</v>
      </c>
    </row>
    <row r="71" spans="1:16" x14ac:dyDescent="0.25">
      <c r="A71" s="24"/>
      <c r="B71" s="44"/>
      <c r="C71" s="44"/>
      <c r="D71" s="44"/>
      <c r="E71" s="44"/>
      <c r="F71" s="44"/>
      <c r="G71" s="44"/>
      <c r="H71" s="44"/>
      <c r="I71" s="44"/>
      <c r="J71" s="44"/>
      <c r="K71" s="44"/>
    </row>
    <row r="72" spans="1:16" x14ac:dyDescent="0.25">
      <c r="A72" s="24" t="s">
        <v>24</v>
      </c>
    </row>
    <row r="73" spans="1:16" x14ac:dyDescent="0.25">
      <c r="A73" s="9" t="str">
        <f>A12</f>
        <v>Slated House Construction</v>
      </c>
      <c r="B73" s="35">
        <f t="shared" ref="B73:P77" si="15">B12</f>
        <v>0</v>
      </c>
      <c r="C73" s="35">
        <f t="shared" si="15"/>
        <v>280000</v>
      </c>
      <c r="D73" s="35">
        <f t="shared" si="15"/>
        <v>560000</v>
      </c>
      <c r="E73" s="35">
        <f t="shared" si="15"/>
        <v>560000</v>
      </c>
      <c r="F73" s="35">
        <f t="shared" si="15"/>
        <v>560000</v>
      </c>
      <c r="G73" s="35">
        <f t="shared" si="15"/>
        <v>280000</v>
      </c>
      <c r="H73" s="35">
        <f t="shared" si="15"/>
        <v>0</v>
      </c>
      <c r="I73" s="35">
        <f t="shared" si="15"/>
        <v>0</v>
      </c>
      <c r="J73" s="35">
        <f t="shared" si="15"/>
        <v>0</v>
      </c>
      <c r="K73" s="35">
        <f t="shared" si="15"/>
        <v>0</v>
      </c>
      <c r="L73" s="35">
        <f t="shared" si="15"/>
        <v>0</v>
      </c>
      <c r="M73" s="35">
        <f t="shared" si="15"/>
        <v>0</v>
      </c>
      <c r="N73" s="35">
        <f t="shared" si="15"/>
        <v>0</v>
      </c>
      <c r="O73" s="35">
        <f t="shared" si="15"/>
        <v>0</v>
      </c>
      <c r="P73" s="35">
        <f t="shared" si="15"/>
        <v>0</v>
      </c>
    </row>
    <row r="74" spans="1:16" x14ac:dyDescent="0.25">
      <c r="A74" s="9" t="str">
        <f t="shared" ref="A74:A77" si="16">A13</f>
        <v>Mother Goat Purchase</v>
      </c>
      <c r="B74" s="35">
        <f t="shared" si="15"/>
        <v>0</v>
      </c>
      <c r="C74" s="35">
        <f t="shared" si="15"/>
        <v>375000</v>
      </c>
      <c r="D74" s="35">
        <f t="shared" si="15"/>
        <v>750000</v>
      </c>
      <c r="E74" s="35">
        <f t="shared" si="15"/>
        <v>750000</v>
      </c>
      <c r="F74" s="35">
        <f t="shared" si="15"/>
        <v>750000</v>
      </c>
      <c r="G74" s="35">
        <f t="shared" si="15"/>
        <v>375000</v>
      </c>
      <c r="H74" s="35">
        <f t="shared" si="15"/>
        <v>0</v>
      </c>
      <c r="I74" s="35">
        <f t="shared" si="15"/>
        <v>0</v>
      </c>
      <c r="J74" s="35">
        <f t="shared" si="15"/>
        <v>0</v>
      </c>
      <c r="K74" s="35">
        <f t="shared" si="15"/>
        <v>0</v>
      </c>
      <c r="L74" s="35">
        <f t="shared" si="15"/>
        <v>0</v>
      </c>
      <c r="M74" s="35">
        <f t="shared" si="15"/>
        <v>0</v>
      </c>
      <c r="N74" s="35">
        <f t="shared" si="15"/>
        <v>0</v>
      </c>
      <c r="O74" s="35">
        <f t="shared" si="15"/>
        <v>0</v>
      </c>
      <c r="P74" s="35">
        <f t="shared" si="15"/>
        <v>0</v>
      </c>
    </row>
    <row r="75" spans="1:16" x14ac:dyDescent="0.25">
      <c r="A75" s="9" t="str">
        <f t="shared" si="16"/>
        <v>Maintenance Cost</v>
      </c>
      <c r="B75" s="35">
        <f t="shared" si="15"/>
        <v>0</v>
      </c>
      <c r="C75" s="35">
        <f t="shared" si="15"/>
        <v>0</v>
      </c>
      <c r="D75" s="35">
        <f t="shared" si="15"/>
        <v>90000</v>
      </c>
      <c r="E75" s="35">
        <f t="shared" si="15"/>
        <v>166950.00000000003</v>
      </c>
      <c r="F75" s="35">
        <f t="shared" si="15"/>
        <v>210000</v>
      </c>
      <c r="G75" s="35">
        <f t="shared" si="15"/>
        <v>240000</v>
      </c>
      <c r="H75" s="35">
        <f t="shared" si="15"/>
        <v>267120.00000000006</v>
      </c>
      <c r="I75" s="35">
        <f t="shared" si="15"/>
        <v>240000</v>
      </c>
      <c r="J75" s="35">
        <f t="shared" si="15"/>
        <v>240000</v>
      </c>
      <c r="K75" s="35">
        <f t="shared" si="15"/>
        <v>267120.00000000006</v>
      </c>
      <c r="L75" s="35">
        <f t="shared" si="15"/>
        <v>210000</v>
      </c>
      <c r="M75" s="35">
        <f t="shared" si="15"/>
        <v>150000</v>
      </c>
      <c r="N75" s="35">
        <f t="shared" si="15"/>
        <v>100170.00000000001</v>
      </c>
      <c r="O75" s="35">
        <f t="shared" si="15"/>
        <v>30000</v>
      </c>
      <c r="P75" s="35">
        <f t="shared" si="15"/>
        <v>30000</v>
      </c>
    </row>
    <row r="76" spans="1:16" x14ac:dyDescent="0.25">
      <c r="A76" s="9" t="str">
        <f t="shared" si="16"/>
        <v>Medicine</v>
      </c>
      <c r="B76" s="35">
        <f t="shared" si="15"/>
        <v>0</v>
      </c>
      <c r="C76" s="35">
        <f t="shared" si="15"/>
        <v>50000</v>
      </c>
      <c r="D76" s="35">
        <f t="shared" si="15"/>
        <v>150000</v>
      </c>
      <c r="E76" s="35">
        <f t="shared" si="15"/>
        <v>282225.00000000006</v>
      </c>
      <c r="F76" s="35">
        <f t="shared" si="15"/>
        <v>350000</v>
      </c>
      <c r="G76" s="35">
        <f t="shared" si="15"/>
        <v>400000</v>
      </c>
      <c r="H76" s="35">
        <f t="shared" si="15"/>
        <v>451560.00000000006</v>
      </c>
      <c r="I76" s="35">
        <f t="shared" si="15"/>
        <v>400000</v>
      </c>
      <c r="J76" s="35">
        <f t="shared" si="15"/>
        <v>400000</v>
      </c>
      <c r="K76" s="35">
        <f t="shared" si="15"/>
        <v>451560.00000000006</v>
      </c>
      <c r="L76" s="35">
        <f t="shared" si="15"/>
        <v>350000</v>
      </c>
      <c r="M76" s="35">
        <f t="shared" si="15"/>
        <v>250000</v>
      </c>
      <c r="N76" s="35">
        <f t="shared" si="15"/>
        <v>169335.00000000003</v>
      </c>
      <c r="O76" s="35">
        <f t="shared" si="15"/>
        <v>50000</v>
      </c>
      <c r="P76" s="35">
        <f t="shared" si="15"/>
        <v>50000</v>
      </c>
    </row>
    <row r="77" spans="1:16" x14ac:dyDescent="0.25">
      <c r="A77" s="9" t="str">
        <f t="shared" si="16"/>
        <v>Labor</v>
      </c>
      <c r="B77" s="35">
        <f>B16</f>
        <v>0</v>
      </c>
      <c r="C77" s="35">
        <f t="shared" si="15"/>
        <v>335825</v>
      </c>
      <c r="D77" s="35">
        <f t="shared" si="15"/>
        <v>1017549.75</v>
      </c>
      <c r="E77" s="35">
        <f t="shared" si="15"/>
        <v>1712875.4124999999</v>
      </c>
      <c r="F77" s="35">
        <f t="shared" si="15"/>
        <v>2422005.8332750001</v>
      </c>
      <c r="G77" s="35">
        <f t="shared" si="15"/>
        <v>2795686.7332659997</v>
      </c>
      <c r="H77" s="35">
        <f t="shared" si="15"/>
        <v>2823643.6005986603</v>
      </c>
      <c r="I77" s="35">
        <f t="shared" si="15"/>
        <v>2851880.0366046461</v>
      </c>
      <c r="J77" s="35">
        <f t="shared" si="15"/>
        <v>2880398.8369706934</v>
      </c>
      <c r="K77" s="35">
        <f t="shared" si="15"/>
        <v>2909202.8253404004</v>
      </c>
      <c r="L77" s="35">
        <f t="shared" si="15"/>
        <v>2571007.9968945789</v>
      </c>
      <c r="M77" s="35">
        <f t="shared" si="15"/>
        <v>1854798.6263310888</v>
      </c>
      <c r="N77" s="35">
        <f t="shared" si="15"/>
        <v>1124007.9675566398</v>
      </c>
      <c r="O77" s="35">
        <f t="shared" si="15"/>
        <v>378416.01574406878</v>
      </c>
      <c r="P77" s="35">
        <f t="shared" si="15"/>
        <v>382200.17590150947</v>
      </c>
    </row>
    <row r="78" spans="1:16" s="54" customFormat="1" x14ac:dyDescent="0.25">
      <c r="A78" s="56" t="s">
        <v>156</v>
      </c>
      <c r="B78" s="53">
        <f>B17*Assumption_Goat!$C26</f>
        <v>0</v>
      </c>
      <c r="C78" s="53">
        <f>C17*Assumption_Goat!$C26</f>
        <v>0</v>
      </c>
      <c r="D78" s="53">
        <f>D17*Assumption_Goat!$C26</f>
        <v>0</v>
      </c>
      <c r="E78" s="53">
        <f>E17*Assumption_Goat!$C26</f>
        <v>0</v>
      </c>
      <c r="F78" s="53">
        <f>F17*Assumption_Goat!$C26</f>
        <v>0</v>
      </c>
      <c r="G78" s="53">
        <f>G17*Assumption_Goat!$C26</f>
        <v>0</v>
      </c>
      <c r="H78" s="53">
        <f>H17*Assumption_Goat!$C26</f>
        <v>0</v>
      </c>
      <c r="I78" s="53">
        <f>I17*Assumption_Goat!$C26</f>
        <v>0</v>
      </c>
      <c r="J78" s="53">
        <f>J17*Assumption_Goat!$C26</f>
        <v>0</v>
      </c>
      <c r="K78" s="53">
        <f>K17*Assumption_Goat!$C26</f>
        <v>0</v>
      </c>
      <c r="L78" s="53">
        <f>L17*Assumption_Goat!$C26</f>
        <v>0</v>
      </c>
      <c r="M78" s="53">
        <f>M17*Assumption_Goat!$C26</f>
        <v>0</v>
      </c>
      <c r="N78" s="53">
        <f>N17*Assumption_Goat!$C26</f>
        <v>0</v>
      </c>
      <c r="O78" s="53">
        <f>O17*Assumption_Goat!$C26</f>
        <v>0</v>
      </c>
      <c r="P78" s="53">
        <f>P17*Assumption_Goat!$C26</f>
        <v>0</v>
      </c>
    </row>
    <row r="79" spans="1:16" x14ac:dyDescent="0.25">
      <c r="A79" s="127" t="s">
        <v>59</v>
      </c>
      <c r="B79" s="40">
        <f t="shared" ref="B79:P79" si="17">SUM(B73:B78)</f>
        <v>0</v>
      </c>
      <c r="C79" s="40">
        <f t="shared" si="17"/>
        <v>1040825</v>
      </c>
      <c r="D79" s="40">
        <f t="shared" si="17"/>
        <v>2567549.75</v>
      </c>
      <c r="E79" s="40">
        <f t="shared" si="17"/>
        <v>3472050.4124999996</v>
      </c>
      <c r="F79" s="40">
        <f t="shared" si="17"/>
        <v>4292005.8332749996</v>
      </c>
      <c r="G79" s="40">
        <f t="shared" si="17"/>
        <v>4090686.7332659997</v>
      </c>
      <c r="H79" s="40">
        <f t="shared" si="17"/>
        <v>3542323.6005986603</v>
      </c>
      <c r="I79" s="40">
        <f t="shared" si="17"/>
        <v>3491880.0366046461</v>
      </c>
      <c r="J79" s="40">
        <f t="shared" si="17"/>
        <v>3520398.8369706934</v>
      </c>
      <c r="K79" s="40">
        <f t="shared" si="17"/>
        <v>3627882.8253404004</v>
      </c>
      <c r="L79" s="40">
        <f t="shared" si="17"/>
        <v>3131007.9968945789</v>
      </c>
      <c r="M79" s="40">
        <f t="shared" si="17"/>
        <v>2254798.6263310891</v>
      </c>
      <c r="N79" s="40">
        <f t="shared" si="17"/>
        <v>1393512.9675566398</v>
      </c>
      <c r="O79" s="40">
        <f t="shared" si="17"/>
        <v>458416.01574406878</v>
      </c>
      <c r="P79" s="40">
        <f t="shared" si="17"/>
        <v>462200.17590150947</v>
      </c>
    </row>
    <row r="80" spans="1:16" x14ac:dyDescent="0.25">
      <c r="B80" s="34"/>
      <c r="C80" s="34"/>
      <c r="D80" s="34"/>
      <c r="E80" s="34"/>
      <c r="F80" s="34"/>
      <c r="G80" s="34"/>
      <c r="H80" s="34"/>
      <c r="I80" s="34"/>
      <c r="J80" s="34"/>
      <c r="K80" s="34"/>
      <c r="L80" s="34"/>
    </row>
    <row r="81" spans="1:16" x14ac:dyDescent="0.25">
      <c r="A81" s="24" t="s">
        <v>60</v>
      </c>
      <c r="B81" s="36">
        <f t="shared" ref="B81:P81" si="18">B70-B79</f>
        <v>0</v>
      </c>
      <c r="C81" s="36">
        <f t="shared" si="18"/>
        <v>-1040825</v>
      </c>
      <c r="D81" s="36">
        <f t="shared" si="18"/>
        <v>-624259.25</v>
      </c>
      <c r="E81" s="36">
        <f t="shared" si="18"/>
        <v>-967615.3477199995</v>
      </c>
      <c r="F81" s="36">
        <f t="shared" si="18"/>
        <v>333478.99117500056</v>
      </c>
      <c r="G81" s="36">
        <f t="shared" si="18"/>
        <v>1248444.321242</v>
      </c>
      <c r="H81" s="36">
        <f t="shared" si="18"/>
        <v>586191.52208597818</v>
      </c>
      <c r="I81" s="36">
        <f t="shared" si="18"/>
        <v>1954567.5520989639</v>
      </c>
      <c r="J81" s="36">
        <f t="shared" si="18"/>
        <v>1980513.2276199544</v>
      </c>
      <c r="K81" s="36">
        <f t="shared" si="18"/>
        <v>625730.43407670595</v>
      </c>
      <c r="L81" s="36">
        <f t="shared" si="18"/>
        <v>2247537.3505582265</v>
      </c>
      <c r="M81" s="36">
        <f t="shared" si="18"/>
        <v>2224448.3743312908</v>
      </c>
      <c r="N81" s="36">
        <f t="shared" si="18"/>
        <v>1174409.2804898738</v>
      </c>
      <c r="O81" s="36">
        <f t="shared" si="18"/>
        <v>1201273.21733107</v>
      </c>
      <c r="P81" s="36">
        <f t="shared" si="18"/>
        <v>736215.94950438093</v>
      </c>
    </row>
    <row r="82" spans="1:16" x14ac:dyDescent="0.25">
      <c r="B82" s="34"/>
      <c r="C82" s="34"/>
      <c r="D82" s="34"/>
      <c r="E82" s="34"/>
      <c r="F82" s="34"/>
      <c r="G82" s="34"/>
      <c r="H82" s="34"/>
      <c r="I82" s="34"/>
      <c r="J82" s="34"/>
      <c r="K82" s="34"/>
      <c r="L82" s="34"/>
    </row>
    <row r="83" spans="1:16" s="13" customFormat="1" x14ac:dyDescent="0.25">
      <c r="A83" s="24" t="s">
        <v>61</v>
      </c>
      <c r="B83" s="42">
        <f>B81/(1+Assumption_Hatchery!$C76)^B65</f>
        <v>0</v>
      </c>
      <c r="C83" s="42">
        <f>C81/(1+Assumption_Hatchery!$C76)^C65</f>
        <v>-954885.32110091741</v>
      </c>
      <c r="D83" s="42">
        <f>D81/(1+Assumption_Hatchery!$C76)^D65</f>
        <v>-525426.52133658773</v>
      </c>
      <c r="E83" s="42">
        <f>E81/(1+Assumption_Hatchery!$C76)^E65</f>
        <v>-747176.58656292583</v>
      </c>
      <c r="F83" s="42">
        <f>F81/(1+Assumption_Hatchery!$C76)^F65</f>
        <v>236244.92470895854</v>
      </c>
      <c r="G83" s="42">
        <f>G81/(1+Assumption_Hatchery!$C76)^G65</f>
        <v>811403.14842110977</v>
      </c>
      <c r="H83" s="42">
        <f>H81/(1+Assumption_Hatchery!$C76)^H65</f>
        <v>349526.85191346501</v>
      </c>
      <c r="I83" s="42">
        <f>I81/(1+Assumption_Hatchery!$C76)^I65</f>
        <v>1069215.3848577079</v>
      </c>
      <c r="J83" s="42">
        <f>J81/(1+Assumption_Hatchery!$C76)^J65</f>
        <v>993952.80538833269</v>
      </c>
      <c r="K83" s="42">
        <f>K81/(1+Assumption_Hatchery!$C76)^K65</f>
        <v>288103.67433770886</v>
      </c>
      <c r="L83" s="42">
        <f>L81/(1+Assumption_Hatchery!$C76)^L65</f>
        <v>949384.06577749935</v>
      </c>
      <c r="M83" s="42">
        <f>M81/(1+Assumption_Hatchery!$C76)^M65</f>
        <v>862046.81898998539</v>
      </c>
      <c r="N83" s="42">
        <f>N81/(1+Assumption_Hatchery!$C76)^N65</f>
        <v>417543.28069818456</v>
      </c>
      <c r="O83" s="42">
        <f>O81/(1+Assumption_Hatchery!$C76)^O65</f>
        <v>391829.67256717611</v>
      </c>
      <c r="P83" s="42">
        <f>P81/(1+Assumption_Hatchery!$C76)^P65</f>
        <v>220310.02038884684</v>
      </c>
    </row>
    <row r="84" spans="1:16" x14ac:dyDescent="0.25">
      <c r="B84" s="34"/>
      <c r="C84" s="34"/>
      <c r="D84" s="34"/>
      <c r="E84" s="34"/>
      <c r="F84" s="34"/>
      <c r="G84" s="34"/>
      <c r="H84" s="34"/>
      <c r="I84" s="34"/>
      <c r="J84" s="34"/>
      <c r="K84" s="34"/>
      <c r="L84" s="34"/>
    </row>
    <row r="85" spans="1:16" s="13" customFormat="1" x14ac:dyDescent="0.25">
      <c r="A85" s="26" t="s">
        <v>62</v>
      </c>
      <c r="B85" s="37">
        <f>NPV(Assumption_Hatchery!C76,C81:P81)+B81</f>
        <v>4362072.2190485438</v>
      </c>
      <c r="C85" s="43"/>
      <c r="D85" s="43"/>
      <c r="E85" s="43"/>
      <c r="F85" s="43"/>
      <c r="G85" s="43"/>
      <c r="H85" s="43"/>
      <c r="I85" s="43"/>
      <c r="J85" s="43"/>
      <c r="K85" s="43"/>
      <c r="L85" s="43"/>
    </row>
    <row r="87" spans="1:16" s="13" customFormat="1" x14ac:dyDescent="0.25">
      <c r="A87" s="26" t="s">
        <v>25</v>
      </c>
      <c r="B87" s="38">
        <f>IRR(B81:P81)</f>
        <v>0.29621415497287429</v>
      </c>
      <c r="C87" s="4"/>
      <c r="D87" s="4"/>
      <c r="E87" s="4"/>
      <c r="F87" s="4"/>
      <c r="G87" s="4"/>
      <c r="H87" s="4"/>
      <c r="I87" s="4"/>
      <c r="J87" s="4"/>
      <c r="K87" s="4"/>
      <c r="L87" s="4"/>
    </row>
    <row r="89" spans="1:16" s="13" customFormat="1" x14ac:dyDescent="0.25">
      <c r="A89" s="27" t="s">
        <v>63</v>
      </c>
      <c r="B89" s="39">
        <f>B83</f>
        <v>0</v>
      </c>
      <c r="C89" s="39">
        <f>B89+C83</f>
        <v>-954885.32110091741</v>
      </c>
      <c r="D89" s="39">
        <f t="shared" ref="D89:P89" si="19">C89+D83</f>
        <v>-1480311.8424375053</v>
      </c>
      <c r="E89" s="39">
        <f t="shared" si="19"/>
        <v>-2227488.4290004312</v>
      </c>
      <c r="F89" s="39">
        <f t="shared" si="19"/>
        <v>-1991243.5042914727</v>
      </c>
      <c r="G89" s="39">
        <f t="shared" si="19"/>
        <v>-1179840.3558703628</v>
      </c>
      <c r="H89" s="39">
        <f t="shared" si="19"/>
        <v>-830313.50395689788</v>
      </c>
      <c r="I89" s="39">
        <f t="shared" si="19"/>
        <v>238901.88090081001</v>
      </c>
      <c r="J89" s="39">
        <f t="shared" si="19"/>
        <v>1232854.6862891428</v>
      </c>
      <c r="K89" s="39">
        <f t="shared" si="19"/>
        <v>1520958.3606268517</v>
      </c>
      <c r="L89" s="39">
        <f t="shared" si="19"/>
        <v>2470342.4264043509</v>
      </c>
      <c r="M89" s="39">
        <f t="shared" si="19"/>
        <v>3332389.2453943361</v>
      </c>
      <c r="N89" s="39">
        <f t="shared" si="19"/>
        <v>3749932.5260925204</v>
      </c>
      <c r="O89" s="39">
        <f t="shared" si="19"/>
        <v>4141762.1986596966</v>
      </c>
      <c r="P89" s="39">
        <f t="shared" si="19"/>
        <v>4362072.2190485438</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2:P89"/>
  <sheetViews>
    <sheetView showGridLines="0" topLeftCell="A49" zoomScale="70" zoomScaleNormal="70" workbookViewId="0">
      <selection activeCell="B70" sqref="B70:P70"/>
    </sheetView>
  </sheetViews>
  <sheetFormatPr defaultColWidth="9" defaultRowHeight="15" x14ac:dyDescent="0.25"/>
  <cols>
    <col min="1" max="1" width="40.7109375" style="10" customWidth="1"/>
    <col min="2" max="2" width="16.28515625" style="28" customWidth="1"/>
    <col min="3" max="3" width="16.140625" style="28" customWidth="1"/>
    <col min="4" max="4" width="17" style="28" customWidth="1"/>
    <col min="5" max="5" width="17.140625" style="28" customWidth="1"/>
    <col min="6" max="6" width="18" style="28" customWidth="1"/>
    <col min="7" max="7" width="18.5703125" style="28" customWidth="1"/>
    <col min="8" max="8" width="18.7109375" style="28" customWidth="1"/>
    <col min="9" max="9" width="16.5703125" style="28" customWidth="1"/>
    <col min="10" max="10" width="18.7109375" style="28" customWidth="1"/>
    <col min="11" max="11" width="16.28515625" style="28" customWidth="1"/>
    <col min="12" max="12" width="16.7109375" style="28" customWidth="1"/>
    <col min="13" max="13" width="16.140625" style="3" customWidth="1"/>
    <col min="14" max="14" width="16.28515625" style="3" customWidth="1"/>
    <col min="15" max="15" width="15.85546875" style="3" customWidth="1"/>
    <col min="16" max="16" width="16.5703125" style="3" customWidth="1"/>
    <col min="17" max="16384" width="9" style="3"/>
  </cols>
  <sheetData>
    <row r="2" spans="1:16" ht="38.25" customHeight="1" x14ac:dyDescent="0.25">
      <c r="A2" s="11" t="s">
        <v>203</v>
      </c>
      <c r="B2" s="32"/>
      <c r="C2" s="76"/>
      <c r="D2" s="77"/>
      <c r="E2" s="32"/>
      <c r="F2" s="126" t="s">
        <v>106</v>
      </c>
      <c r="G2" s="32"/>
      <c r="H2" s="32"/>
      <c r="I2" s="32"/>
      <c r="J2" s="32"/>
      <c r="K2" s="32"/>
      <c r="L2" s="32"/>
      <c r="M2" s="11"/>
    </row>
    <row r="3" spans="1:16" ht="15" customHeight="1" x14ac:dyDescent="0.25">
      <c r="A3" s="23"/>
      <c r="B3" s="32"/>
      <c r="C3" s="32"/>
      <c r="D3" s="32"/>
      <c r="E3" s="32"/>
      <c r="F3" s="32"/>
      <c r="G3" s="32"/>
      <c r="H3" s="32"/>
      <c r="I3" s="32"/>
      <c r="J3" s="32"/>
      <c r="K3" s="32"/>
      <c r="L3" s="32"/>
      <c r="M3" s="11"/>
    </row>
    <row r="4" spans="1:16" x14ac:dyDescent="0.25">
      <c r="A4" s="10" t="s">
        <v>22</v>
      </c>
      <c r="B4" s="28">
        <v>0</v>
      </c>
      <c r="C4" s="28">
        <v>1</v>
      </c>
      <c r="D4" s="28">
        <v>2</v>
      </c>
      <c r="E4" s="28">
        <v>3</v>
      </c>
      <c r="F4" s="28">
        <v>4</v>
      </c>
      <c r="G4" s="28">
        <v>5</v>
      </c>
      <c r="H4" s="28">
        <v>6</v>
      </c>
      <c r="I4" s="28">
        <v>7</v>
      </c>
      <c r="J4" s="28">
        <v>8</v>
      </c>
      <c r="K4" s="28">
        <v>9</v>
      </c>
      <c r="L4" s="28">
        <v>10</v>
      </c>
      <c r="M4" s="28">
        <v>11</v>
      </c>
      <c r="N4" s="28">
        <v>12</v>
      </c>
      <c r="O4" s="28">
        <v>13</v>
      </c>
      <c r="P4" s="28">
        <v>14</v>
      </c>
    </row>
    <row r="5" spans="1:16" x14ac:dyDescent="0.25">
      <c r="A5" s="24" t="s">
        <v>23</v>
      </c>
    </row>
    <row r="6" spans="1:16" x14ac:dyDescent="0.25">
      <c r="A6" s="10" t="s">
        <v>204</v>
      </c>
      <c r="B6" s="33">
        <f>Assumption_Goat!D11*Assumption_Goat!D146*Assumption_Goat!D147*Assumption_Goat!D147*(1+Assumption_Goat!D148)^Assumption_Goat!D145</f>
        <v>0</v>
      </c>
      <c r="C6" s="33">
        <v>0</v>
      </c>
      <c r="D6" s="33">
        <f>Assumption_Goat!F11*Assumption_Goat!F146*Assumption_Goat!F147*(1+Assumption_Goat!F148)^Assumption_Goat!F145</f>
        <v>1943290.5</v>
      </c>
      <c r="E6" s="202">
        <f>Assumption_Goat!G11*Assumption_Goat!G146*Assumption_Goat!G147*(1+Assumption_Goat!G148)^Assumption_Goat!G145*(1+Assumption_Goat!$X114)</f>
        <v>2446861.8448999999</v>
      </c>
      <c r="F6" s="33">
        <f>Assumption_Goat!H11*Assumption_Goat!H146*Assumption_Goat!H147*(1+Assumption_Goat!H148)^Assumption_Goat!H145</f>
        <v>4625484.8244500002</v>
      </c>
      <c r="G6" s="33">
        <f>Assumption_Goat!I11*Assumption_Goat!I146*Assumption_Goat!I147*(1+Assumption_Goat!I148)^Assumption_Goat!I145</f>
        <v>5339131.0545079997</v>
      </c>
      <c r="H6" s="202">
        <f>Assumption_Goat!J11*Assumption_Goat!J146*Assumption_Goat!J147*(1+Assumption_Goat!J148)^Assumption_Goat!J145*(1+Assumption_Goat!$X114)</f>
        <v>4033606.7290597041</v>
      </c>
      <c r="I6" s="33">
        <f>Assumption_Goat!K11*Assumption_Goat!K146*Assumption_Goat!K147*(1+Assumption_Goat!K148)^Assumption_Goat!K145</f>
        <v>5446447.58870361</v>
      </c>
      <c r="J6" s="33">
        <f>Assumption_Goat!L11*Assumption_Goat!L146*Assumption_Goat!L147*(1+Assumption_Goat!L148)^Assumption_Goat!L145</f>
        <v>5500912.0645906478</v>
      </c>
      <c r="K6" s="202">
        <f>Assumption_Goat!M11*Assumption_Goat!M146*Assumption_Goat!M147*(1+Assumption_Goat!M148)^Assumption_Goat!M145*(1+Assumption_Goat!$X114)</f>
        <v>4155829.0465569426</v>
      </c>
      <c r="L6" s="33">
        <f>Assumption_Goat!N11*Assumption_Goat!N146*Assumption_Goat!N147*(1+Assumption_Goat!N148)^Assumption_Goat!N145</f>
        <v>4910045.3474528054</v>
      </c>
      <c r="M6" s="33">
        <f>Assumption_Goat!O11*Assumption_Goat!O146*Assumption_Goat!O147*(1+Assumption_Goat!O148)^Assumption_Goat!O145</f>
        <v>3542247.0006623799</v>
      </c>
      <c r="N6" s="202">
        <f>Assumption_Goat!P11*Assumption_Goat!P146*Assumption_Goat!P147*(1+Assumption_Goat!P148)^Assumption_Goat!P145*(1+Assumption_Goat!$X114)</f>
        <v>1605658.0584362489</v>
      </c>
      <c r="O6" s="33">
        <f>Assumption_Goat!Q11*Assumption_Goat!Q146*Assumption_Goat!Q147*(1+Assumption_Goat!Q148)^Assumption_Goat!Q145</f>
        <v>722689.23307513888</v>
      </c>
      <c r="P6" s="33">
        <f>Assumption_Goat!R11*Assumption_Goat!R146*Assumption_Goat!R147*(1+Assumption_Goat!R148)^Assumption_Goat!R145</f>
        <v>729916.12540589029</v>
      </c>
    </row>
    <row r="7" spans="1:16" x14ac:dyDescent="0.25">
      <c r="A7" s="10" t="s">
        <v>57</v>
      </c>
      <c r="B7" s="33">
        <f>Assumption_Goat!D10*Assumption_Goat!D149*Assumption_Goat!D155</f>
        <v>0</v>
      </c>
      <c r="C7" s="33">
        <f>Assumption_Goat!E10*Assumption_Goat!E149*Assumption_Goat!E155</f>
        <v>0</v>
      </c>
      <c r="D7" s="33">
        <f>Assumption_Goat!F10*Assumption_Goat!F149*Assumption_Goat!F155</f>
        <v>0</v>
      </c>
      <c r="E7" s="33">
        <f>Assumption_Goat!G10*Assumption_Goat!G149*Assumption_Goat!G155</f>
        <v>0</v>
      </c>
      <c r="F7" s="33">
        <f>Assumption_Goat!H10*Assumption_Goat!H149*Assumption_Goat!H155</f>
        <v>0</v>
      </c>
      <c r="G7" s="33">
        <f>Assumption_Goat!I10*Assumption_Goat!I149*Assumption_Goat!I155</f>
        <v>0</v>
      </c>
      <c r="H7" s="33">
        <f>Assumption_Goat!J10*Assumption_Goat!J149*Assumption_Goat!J155</f>
        <v>0</v>
      </c>
      <c r="I7" s="33">
        <f>Assumption_Goat!K10*Assumption_Goat!K149*Assumption_Goat!K155</f>
        <v>0</v>
      </c>
      <c r="J7" s="33">
        <f>Assumption_Goat!L10*Assumption_Goat!L149*Assumption_Goat!L155</f>
        <v>0</v>
      </c>
      <c r="K7" s="33">
        <f>Assumption_Goat!M10*Assumption_Goat!M149*Assumption_Goat!M155</f>
        <v>0</v>
      </c>
      <c r="L7" s="33">
        <f>Assumption_Goat!N10*Assumption_Goat!N149*Assumption_Goat!N155</f>
        <v>56000</v>
      </c>
      <c r="M7" s="33">
        <f>Assumption_Goat!O10*Assumption_Goat!O149*Assumption_Goat!O155</f>
        <v>112000</v>
      </c>
      <c r="N7" s="33">
        <f>Assumption_Goat!P10*Assumption_Goat!P149*Assumption_Goat!P155</f>
        <v>106400</v>
      </c>
      <c r="O7" s="33">
        <f>Assumption_Goat!Q10*Assumption_Goat!Q149*Assumption_Goat!Q155</f>
        <v>112000</v>
      </c>
      <c r="P7" s="33">
        <f>Assumption_Goat!R10*Assumption_Goat!R149*Assumption_Goat!R155</f>
        <v>56000</v>
      </c>
    </row>
    <row r="8" spans="1:16" x14ac:dyDescent="0.25">
      <c r="A8" s="10" t="s">
        <v>221</v>
      </c>
      <c r="B8" s="33">
        <f>Assumption_Goat!D10*Assumption_Goat!D150</f>
        <v>0</v>
      </c>
      <c r="C8" s="33">
        <f>Assumption_Goat!E10*Assumption_Goat!E150</f>
        <v>0</v>
      </c>
      <c r="D8" s="33">
        <f>Assumption_Goat!F10*Assumption_Goat!F150</f>
        <v>0</v>
      </c>
      <c r="E8" s="33">
        <f>Assumption_Goat!G10*Assumption_Goat!G150</f>
        <v>0</v>
      </c>
      <c r="F8" s="33">
        <f>Assumption_Goat!H10*Assumption_Goat!H150</f>
        <v>0</v>
      </c>
      <c r="G8" s="33">
        <f>Assumption_Goat!I10*Assumption_Goat!I150</f>
        <v>0</v>
      </c>
      <c r="H8" s="33">
        <f>Assumption_Goat!J10*Assumption_Goat!J150</f>
        <v>0</v>
      </c>
      <c r="I8" s="33">
        <f>Assumption_Goat!K10*Assumption_Goat!K150</f>
        <v>0</v>
      </c>
      <c r="J8" s="33">
        <f>Assumption_Goat!L10*Assumption_Goat!L150</f>
        <v>0</v>
      </c>
      <c r="K8" s="202">
        <f>Assumption_Goat!M10*Assumption_Goat!M150</f>
        <v>0</v>
      </c>
      <c r="L8" s="33">
        <f>Assumption_Goat!N10*Assumption_Goat!N150</f>
        <v>412500</v>
      </c>
      <c r="M8" s="33">
        <f>Assumption_Goat!O10*Assumption_Goat!O150</f>
        <v>825000</v>
      </c>
      <c r="N8" s="202">
        <f>Assumption_Goat!P10*Assumption_Goat!P150</f>
        <v>825000</v>
      </c>
      <c r="O8" s="33">
        <f>Assumption_Goat!Q10*Assumption_Goat!Q150</f>
        <v>825000</v>
      </c>
      <c r="P8" s="33">
        <f>Assumption_Goat!R10*Assumption_Goat!R150</f>
        <v>412500</v>
      </c>
    </row>
    <row r="9" spans="1:16" s="13" customFormat="1" x14ac:dyDescent="0.25">
      <c r="A9" s="24" t="s">
        <v>58</v>
      </c>
      <c r="B9" s="41">
        <f>B6+B7+B8</f>
        <v>0</v>
      </c>
      <c r="C9" s="41">
        <f t="shared" ref="C9:P9" si="0">C6+C7+C8</f>
        <v>0</v>
      </c>
      <c r="D9" s="41">
        <f t="shared" si="0"/>
        <v>1943290.5</v>
      </c>
      <c r="E9" s="41">
        <f t="shared" si="0"/>
        <v>2446861.8448999999</v>
      </c>
      <c r="F9" s="41">
        <f t="shared" si="0"/>
        <v>4625484.8244500002</v>
      </c>
      <c r="G9" s="41">
        <f t="shared" si="0"/>
        <v>5339131.0545079997</v>
      </c>
      <c r="H9" s="41">
        <f t="shared" si="0"/>
        <v>4033606.7290597041</v>
      </c>
      <c r="I9" s="41">
        <f t="shared" si="0"/>
        <v>5446447.58870361</v>
      </c>
      <c r="J9" s="41">
        <f t="shared" si="0"/>
        <v>5500912.0645906478</v>
      </c>
      <c r="K9" s="41">
        <f t="shared" si="0"/>
        <v>4155829.0465569426</v>
      </c>
      <c r="L9" s="41">
        <f t="shared" si="0"/>
        <v>5378545.3474528054</v>
      </c>
      <c r="M9" s="41">
        <f t="shared" si="0"/>
        <v>4479247.0006623799</v>
      </c>
      <c r="N9" s="41">
        <f t="shared" si="0"/>
        <v>2537058.0584362489</v>
      </c>
      <c r="O9" s="41">
        <f t="shared" si="0"/>
        <v>1659689.2330751389</v>
      </c>
      <c r="P9" s="41">
        <f t="shared" si="0"/>
        <v>1198416.1254058904</v>
      </c>
    </row>
    <row r="10" spans="1:16" x14ac:dyDescent="0.25">
      <c r="A10" s="24"/>
      <c r="B10" s="44"/>
      <c r="C10" s="44"/>
      <c r="D10" s="44"/>
      <c r="E10" s="44"/>
      <c r="F10" s="44"/>
      <c r="G10" s="44"/>
      <c r="H10" s="44"/>
      <c r="I10" s="44"/>
      <c r="J10" s="44"/>
      <c r="K10" s="44"/>
    </row>
    <row r="11" spans="1:16" x14ac:dyDescent="0.25">
      <c r="A11" s="24" t="s">
        <v>24</v>
      </c>
    </row>
    <row r="12" spans="1:16" x14ac:dyDescent="0.25">
      <c r="A12" s="9" t="str">
        <f>Assumption_Goat!B155</f>
        <v>Slated House Construction</v>
      </c>
      <c r="B12" s="35">
        <f>Assumption_Goat!D9*Assumption_Goat!D155</f>
        <v>0</v>
      </c>
      <c r="C12" s="35">
        <f>Assumption_Goat!E9*Assumption_Goat!E155</f>
        <v>280000</v>
      </c>
      <c r="D12" s="35">
        <f>Assumption_Goat!F9*Assumption_Goat!F155</f>
        <v>560000</v>
      </c>
      <c r="E12" s="35">
        <f>Assumption_Goat!G9*Assumption_Goat!G155</f>
        <v>560000</v>
      </c>
      <c r="F12" s="35">
        <f>Assumption_Goat!H9*Assumption_Goat!H155</f>
        <v>560000</v>
      </c>
      <c r="G12" s="35">
        <f>Assumption_Goat!I9*Assumption_Goat!I155</f>
        <v>280000</v>
      </c>
      <c r="H12" s="35">
        <f>Assumption_Goat!J9*Assumption_Goat!J155</f>
        <v>0</v>
      </c>
      <c r="I12" s="35">
        <f>Assumption_Goat!K9*Assumption_Goat!K155</f>
        <v>0</v>
      </c>
      <c r="J12" s="35">
        <f>Assumption_Goat!L9*Assumption_Goat!L155</f>
        <v>0</v>
      </c>
      <c r="K12" s="35">
        <f>Assumption_Goat!M9*Assumption_Goat!M155</f>
        <v>0</v>
      </c>
      <c r="L12" s="35">
        <f>Assumption_Goat!N9*Assumption_Goat!N155</f>
        <v>0</v>
      </c>
      <c r="M12" s="35">
        <f>Assumption_Goat!O9*Assumption_Goat!O155</f>
        <v>0</v>
      </c>
      <c r="N12" s="35">
        <f>Assumption_Goat!P9*Assumption_Goat!P155</f>
        <v>0</v>
      </c>
      <c r="O12" s="35">
        <f>Assumption_Goat!Q9*Assumption_Goat!Q155</f>
        <v>0</v>
      </c>
      <c r="P12" s="35">
        <f>Assumption_Goat!R9*Assumption_Goat!R155</f>
        <v>0</v>
      </c>
    </row>
    <row r="13" spans="1:16" x14ac:dyDescent="0.25">
      <c r="A13" s="9" t="str">
        <f>Assumption_Goat!B156</f>
        <v>Mother Goat Purchase</v>
      </c>
      <c r="B13" s="35">
        <f>Assumption_Goat!D9*Assumption_Goat!D156</f>
        <v>0</v>
      </c>
      <c r="C13" s="35">
        <f>Assumption_Goat!E9*Assumption_Goat!E156</f>
        <v>375000</v>
      </c>
      <c r="D13" s="35">
        <f>Assumption_Goat!F9*Assumption_Goat!F156</f>
        <v>750000</v>
      </c>
      <c r="E13" s="35">
        <f>Assumption_Goat!G9*Assumption_Goat!G156</f>
        <v>750000</v>
      </c>
      <c r="F13" s="35">
        <f>Assumption_Goat!H9*Assumption_Goat!H156</f>
        <v>750000</v>
      </c>
      <c r="G13" s="35">
        <f>Assumption_Goat!I9*Assumption_Goat!I156</f>
        <v>375000</v>
      </c>
      <c r="H13" s="35">
        <f>Assumption_Goat!J9*Assumption_Goat!J156</f>
        <v>0</v>
      </c>
      <c r="I13" s="35">
        <f>Assumption_Goat!K9*Assumption_Goat!K156</f>
        <v>0</v>
      </c>
      <c r="J13" s="35">
        <f>Assumption_Goat!L9*Assumption_Goat!L156</f>
        <v>0</v>
      </c>
      <c r="K13" s="35">
        <f>Assumption_Goat!M9*Assumption_Goat!M156</f>
        <v>0</v>
      </c>
      <c r="L13" s="35">
        <f>Assumption_Goat!N9*Assumption_Goat!N156</f>
        <v>0</v>
      </c>
      <c r="M13" s="35">
        <f>Assumption_Goat!O9*Assumption_Goat!O156</f>
        <v>0</v>
      </c>
      <c r="N13" s="35">
        <f>Assumption_Goat!P9*Assumption_Goat!P156</f>
        <v>0</v>
      </c>
      <c r="O13" s="35">
        <f>Assumption_Goat!Q9*Assumption_Goat!Q156</f>
        <v>0</v>
      </c>
      <c r="P13" s="35">
        <f>Assumption_Goat!R9*Assumption_Goat!R156</f>
        <v>0</v>
      </c>
    </row>
    <row r="14" spans="1:16" x14ac:dyDescent="0.25">
      <c r="A14" s="9" t="str">
        <f>Assumption_Goat!B157</f>
        <v>Maintenance Cost</v>
      </c>
      <c r="B14" s="35">
        <f>Assumption_Goat!D11*Assumption_Goat!D157</f>
        <v>0</v>
      </c>
      <c r="C14" s="35">
        <v>0</v>
      </c>
      <c r="D14" s="35">
        <f>Assumption_Goat!F11*Assumption_Goat!F157</f>
        <v>90000</v>
      </c>
      <c r="E14" s="203">
        <f>Assumption_Goat!G11*Assumption_Goat!G157*(1+Assumption_Goat!$X124)</f>
        <v>173250.00000000006</v>
      </c>
      <c r="F14" s="35">
        <f>Assumption_Goat!H11*Assumption_Goat!H157</f>
        <v>210000</v>
      </c>
      <c r="G14" s="35">
        <f>Assumption_Goat!I11*Assumption_Goat!I157</f>
        <v>240000</v>
      </c>
      <c r="H14" s="203">
        <f>Assumption_Goat!J11*Assumption_Goat!J157*(1+Assumption_Goat!$X124)</f>
        <v>277200.00000000006</v>
      </c>
      <c r="I14" s="35">
        <f>Assumption_Goat!K11*Assumption_Goat!K157</f>
        <v>240000</v>
      </c>
      <c r="J14" s="35">
        <f>Assumption_Goat!L11*Assumption_Goat!L157</f>
        <v>240000</v>
      </c>
      <c r="K14" s="203">
        <f>Assumption_Goat!M11*Assumption_Goat!M157*(1+Assumption_Goat!$X124)</f>
        <v>277200.00000000006</v>
      </c>
      <c r="L14" s="35">
        <f>Assumption_Goat!N11*Assumption_Goat!N157</f>
        <v>210000</v>
      </c>
      <c r="M14" s="35">
        <f>Assumption_Goat!O11*Assumption_Goat!O157</f>
        <v>150000</v>
      </c>
      <c r="N14" s="203">
        <f>Assumption_Goat!P11*Assumption_Goat!P157*(1+Assumption_Goat!$X124)</f>
        <v>103950.00000000003</v>
      </c>
      <c r="O14" s="35">
        <f>Assumption_Goat!Q11*Assumption_Goat!Q157</f>
        <v>30000</v>
      </c>
      <c r="P14" s="35">
        <f>Assumption_Goat!R11*Assumption_Goat!R157</f>
        <v>30000</v>
      </c>
    </row>
    <row r="15" spans="1:16" x14ac:dyDescent="0.25">
      <c r="A15" s="118" t="str">
        <f>Assumption_Goat!B158</f>
        <v>Medicine</v>
      </c>
      <c r="B15" s="35">
        <f>Assumption_Goat!D11*Assumption_Goat!D158</f>
        <v>0</v>
      </c>
      <c r="C15" s="35">
        <f>Assumption_Goat!E11*Assumption_Goat!E158</f>
        <v>50000</v>
      </c>
      <c r="D15" s="35">
        <f>Assumption_Goat!F11*Assumption_Goat!F158</f>
        <v>150000</v>
      </c>
      <c r="E15" s="203">
        <f>Assumption_Goat!G11*Assumption_Goat!G158*(1+Assumption_Goat!$X125)</f>
        <v>291500.00000000012</v>
      </c>
      <c r="F15" s="35">
        <f>Assumption_Goat!H11*Assumption_Goat!H158</f>
        <v>350000</v>
      </c>
      <c r="G15" s="35">
        <f>Assumption_Goat!I11*Assumption_Goat!I158</f>
        <v>400000</v>
      </c>
      <c r="H15" s="203">
        <f>Assumption_Goat!J11*Assumption_Goat!J158*(1+Assumption_Goat!$X125)</f>
        <v>466400.00000000012</v>
      </c>
      <c r="I15" s="35">
        <f>Assumption_Goat!K11*Assumption_Goat!K158</f>
        <v>400000</v>
      </c>
      <c r="J15" s="35">
        <f>Assumption_Goat!L11*Assumption_Goat!L158</f>
        <v>400000</v>
      </c>
      <c r="K15" s="203">
        <f>Assumption_Goat!M11*Assumption_Goat!M158*(1+Assumption_Goat!$X125)</f>
        <v>466400.00000000012</v>
      </c>
      <c r="L15" s="35">
        <f>Assumption_Goat!N11*Assumption_Goat!N158</f>
        <v>350000</v>
      </c>
      <c r="M15" s="35">
        <f>Assumption_Goat!O11*Assumption_Goat!O158</f>
        <v>250000</v>
      </c>
      <c r="N15" s="203">
        <f>Assumption_Goat!P11*Assumption_Goat!P158*(1+Assumption_Goat!$X125)</f>
        <v>174900.00000000006</v>
      </c>
      <c r="O15" s="35">
        <f>Assumption_Goat!Q11*Assumption_Goat!Q158</f>
        <v>50000</v>
      </c>
      <c r="P15" s="35">
        <f>Assumption_Goat!R11*Assumption_Goat!R158</f>
        <v>50000</v>
      </c>
    </row>
    <row r="16" spans="1:16" x14ac:dyDescent="0.25">
      <c r="A16" s="118" t="s">
        <v>15</v>
      </c>
      <c r="B16" s="35">
        <f>Assumption_Goat!D11*Assumption_Goat!D159*Assumption_Goat!D160*(1+Assumption_Goat!D161)^Assumption_Goat!D154</f>
        <v>0</v>
      </c>
      <c r="C16" s="35">
        <f>Assumption_Goat!E11*Assumption_Goat!E159*Assumption_Goat!E160*(1+Assumption_Goat!E161)^Assumption_Goat!E154</f>
        <v>335825</v>
      </c>
      <c r="D16" s="35">
        <f>Assumption_Goat!F11*Assumption_Goat!F159*Assumption_Goat!F160*(1+Assumption_Goat!F161)^Assumption_Goat!F154</f>
        <v>1017549.75</v>
      </c>
      <c r="E16" s="35">
        <f>Assumption_Goat!G11*Assumption_Goat!G159*Assumption_Goat!G160*(1+Assumption_Goat!G161)^Assumption_Goat!G154</f>
        <v>1712875.4124999999</v>
      </c>
      <c r="F16" s="35">
        <f>Assumption_Goat!H11*Assumption_Goat!H159*Assumption_Goat!H160*(1+Assumption_Goat!H161)^Assumption_Goat!H154</f>
        <v>2422005.8332750001</v>
      </c>
      <c r="G16" s="35">
        <f>Assumption_Goat!I11*Assumption_Goat!I159*Assumption_Goat!I160*(1+Assumption_Goat!I161)^Assumption_Goat!I154</f>
        <v>2795686.7332659997</v>
      </c>
      <c r="H16" s="35">
        <f>Assumption_Goat!J11*Assumption_Goat!J159*Assumption_Goat!J160*(1+Assumption_Goat!J161)^Assumption_Goat!J154</f>
        <v>2823643.6005986603</v>
      </c>
      <c r="I16" s="35">
        <f>Assumption_Goat!K11*Assumption_Goat!K159*Assumption_Goat!K160*(1+Assumption_Goat!K161)^Assumption_Goat!K154</f>
        <v>2851880.0366046461</v>
      </c>
      <c r="J16" s="35">
        <f>Assumption_Goat!L11*Assumption_Goat!L159*Assumption_Goat!L160*(1+Assumption_Goat!L161)^Assumption_Goat!L154</f>
        <v>2880398.8369706934</v>
      </c>
      <c r="K16" s="35">
        <f>Assumption_Goat!M11*Assumption_Goat!M159*Assumption_Goat!M160*(1+Assumption_Goat!M161)^Assumption_Goat!M154</f>
        <v>2909202.8253404004</v>
      </c>
      <c r="L16" s="35">
        <f>Assumption_Goat!N11*Assumption_Goat!N159*Assumption_Goat!N160*(1+Assumption_Goat!N161)^Assumption_Goat!N154</f>
        <v>2571007.9968945789</v>
      </c>
      <c r="M16" s="35">
        <f>Assumption_Goat!O11*Assumption_Goat!O159*Assumption_Goat!O160*(1+Assumption_Goat!O161)^Assumption_Goat!O154</f>
        <v>1854798.6263310888</v>
      </c>
      <c r="N16" s="35">
        <f>Assumption_Goat!P11*Assumption_Goat!P159*Assumption_Goat!P160*(1+Assumption_Goat!P161)^Assumption_Goat!P154</f>
        <v>1124007.9675566398</v>
      </c>
      <c r="O16" s="35">
        <f>Assumption_Goat!Q11*Assumption_Goat!Q159*Assumption_Goat!Q160*(1+Assumption_Goat!Q161)^Assumption_Goat!Q154</f>
        <v>378416.01574406878</v>
      </c>
      <c r="P16" s="35">
        <f>Assumption_Goat!R11*Assumption_Goat!R159*Assumption_Goat!R160*(1+Assumption_Goat!R161)^Assumption_Goat!R154</f>
        <v>382200.17590150947</v>
      </c>
    </row>
    <row r="17" spans="1:16" s="54" customFormat="1" x14ac:dyDescent="0.25">
      <c r="A17" s="56" t="s">
        <v>156</v>
      </c>
      <c r="B17" s="53">
        <f>Assumption_Goat!D36</f>
        <v>0</v>
      </c>
      <c r="C17" s="53">
        <f>Assumption_Goat!E36</f>
        <v>0</v>
      </c>
      <c r="D17" s="53">
        <f>Assumption_Goat!F36</f>
        <v>969400</v>
      </c>
      <c r="E17" s="53">
        <f>Assumption_Goat!G36</f>
        <v>1938800</v>
      </c>
      <c r="F17" s="53">
        <f>Assumption_Goat!H36</f>
        <v>1938800</v>
      </c>
      <c r="G17" s="53">
        <f>Assumption_Goat!I36</f>
        <v>1938800</v>
      </c>
      <c r="H17" s="53">
        <f>Assumption_Goat!J36</f>
        <v>969400</v>
      </c>
      <c r="I17" s="53">
        <f>Assumption_Goat!K36</f>
        <v>0</v>
      </c>
      <c r="J17" s="53">
        <f>Assumption_Goat!L36</f>
        <v>0</v>
      </c>
      <c r="K17" s="53">
        <f>Assumption_Goat!M36</f>
        <v>0</v>
      </c>
      <c r="L17" s="53">
        <f>Assumption_Goat!N36</f>
        <v>0</v>
      </c>
      <c r="M17" s="53">
        <f>Assumption_Goat!O36</f>
        <v>0</v>
      </c>
      <c r="N17" s="53">
        <f>Assumption_Goat!P36</f>
        <v>0</v>
      </c>
      <c r="O17" s="53">
        <f>Assumption_Goat!Q36</f>
        <v>0</v>
      </c>
      <c r="P17" s="53">
        <f>Assumption_Goat!R36</f>
        <v>0</v>
      </c>
    </row>
    <row r="18" spans="1:16" x14ac:dyDescent="0.25">
      <c r="A18" s="127" t="s">
        <v>59</v>
      </c>
      <c r="B18" s="40">
        <f t="shared" ref="B18:P18" si="1">SUM(B12:B17)</f>
        <v>0</v>
      </c>
      <c r="C18" s="40">
        <f t="shared" si="1"/>
        <v>1040825</v>
      </c>
      <c r="D18" s="40">
        <f t="shared" si="1"/>
        <v>3536949.75</v>
      </c>
      <c r="E18" s="40">
        <f t="shared" si="1"/>
        <v>5426425.4124999996</v>
      </c>
      <c r="F18" s="40">
        <f t="shared" si="1"/>
        <v>6230805.8332749996</v>
      </c>
      <c r="G18" s="40">
        <f t="shared" si="1"/>
        <v>6029486.7332659997</v>
      </c>
      <c r="H18" s="40">
        <f t="shared" si="1"/>
        <v>4536643.6005986603</v>
      </c>
      <c r="I18" s="40">
        <f t="shared" si="1"/>
        <v>3491880.0366046461</v>
      </c>
      <c r="J18" s="40">
        <f t="shared" si="1"/>
        <v>3520398.8369706934</v>
      </c>
      <c r="K18" s="40">
        <f t="shared" si="1"/>
        <v>3652802.8253404004</v>
      </c>
      <c r="L18" s="40">
        <f t="shared" si="1"/>
        <v>3131007.9968945789</v>
      </c>
      <c r="M18" s="40">
        <f t="shared" si="1"/>
        <v>2254798.6263310891</v>
      </c>
      <c r="N18" s="40">
        <f t="shared" si="1"/>
        <v>1402857.96755664</v>
      </c>
      <c r="O18" s="40">
        <f t="shared" si="1"/>
        <v>458416.01574406878</v>
      </c>
      <c r="P18" s="40">
        <f t="shared" si="1"/>
        <v>462200.17590150947</v>
      </c>
    </row>
    <row r="19" spans="1:16" x14ac:dyDescent="0.25">
      <c r="B19" s="34"/>
      <c r="C19" s="34"/>
      <c r="D19" s="34"/>
      <c r="E19" s="34"/>
      <c r="F19" s="34"/>
      <c r="G19" s="34"/>
      <c r="H19" s="34"/>
      <c r="I19" s="34"/>
      <c r="J19" s="34"/>
      <c r="K19" s="34"/>
      <c r="L19" s="34"/>
    </row>
    <row r="20" spans="1:16" x14ac:dyDescent="0.25">
      <c r="A20" s="24" t="s">
        <v>60</v>
      </c>
      <c r="B20" s="36">
        <f t="shared" ref="B20:P20" si="2">B9-B18</f>
        <v>0</v>
      </c>
      <c r="C20" s="36">
        <f t="shared" si="2"/>
        <v>-1040825</v>
      </c>
      <c r="D20" s="36">
        <f t="shared" si="2"/>
        <v>-1593659.25</v>
      </c>
      <c r="E20" s="36">
        <f t="shared" si="2"/>
        <v>-2979563.5675999997</v>
      </c>
      <c r="F20" s="36">
        <f t="shared" si="2"/>
        <v>-1605321.0088249994</v>
      </c>
      <c r="G20" s="36">
        <f t="shared" si="2"/>
        <v>-690355.67875800002</v>
      </c>
      <c r="H20" s="36">
        <f t="shared" si="2"/>
        <v>-503036.87153895618</v>
      </c>
      <c r="I20" s="36">
        <f t="shared" si="2"/>
        <v>1954567.5520989639</v>
      </c>
      <c r="J20" s="36">
        <f t="shared" si="2"/>
        <v>1980513.2276199544</v>
      </c>
      <c r="K20" s="36">
        <f t="shared" si="2"/>
        <v>503026.22121654218</v>
      </c>
      <c r="L20" s="36">
        <f t="shared" si="2"/>
        <v>2247537.3505582265</v>
      </c>
      <c r="M20" s="36">
        <f t="shared" si="2"/>
        <v>2224448.3743312908</v>
      </c>
      <c r="N20" s="36">
        <f t="shared" si="2"/>
        <v>1134200.0908796089</v>
      </c>
      <c r="O20" s="36">
        <f t="shared" si="2"/>
        <v>1201273.21733107</v>
      </c>
      <c r="P20" s="36">
        <f t="shared" si="2"/>
        <v>736215.94950438093</v>
      </c>
    </row>
    <row r="21" spans="1:16" x14ac:dyDescent="0.25">
      <c r="B21" s="34"/>
      <c r="C21" s="34"/>
      <c r="D21" s="34"/>
      <c r="E21" s="34"/>
      <c r="F21" s="34"/>
      <c r="G21" s="34"/>
      <c r="H21" s="34"/>
      <c r="I21" s="34"/>
      <c r="J21" s="34"/>
      <c r="K21" s="34"/>
      <c r="L21" s="34"/>
    </row>
    <row r="22" spans="1:16" s="13" customFormat="1" x14ac:dyDescent="0.25">
      <c r="A22" s="24" t="s">
        <v>61</v>
      </c>
      <c r="B22" s="42">
        <f>B20/(1+Assumption_Hatchery!$C76)^B4</f>
        <v>0</v>
      </c>
      <c r="C22" s="42">
        <f>C20/(1+Assumption_Hatchery!$C76)^C4</f>
        <v>-954885.32110091741</v>
      </c>
      <c r="D22" s="42">
        <f>D20/(1+Assumption_Hatchery!$C76)^D4</f>
        <v>-1341351.1068091909</v>
      </c>
      <c r="E22" s="42">
        <f>E20/(1+Assumption_Hatchery!$C76)^E4</f>
        <v>-2300769.7646925277</v>
      </c>
      <c r="F22" s="42">
        <f>F20/(1+Assumption_Hatchery!$C76)^F4</f>
        <v>-1137249.8745042444</v>
      </c>
      <c r="G22" s="42">
        <f>G20/(1+Assumption_Hatchery!$C76)^G4</f>
        <v>-448683.82333412208</v>
      </c>
      <c r="H22" s="42">
        <f>H20/(1+Assumption_Hatchery!$C76)^H4</f>
        <v>-299944.45071421686</v>
      </c>
      <c r="I22" s="42">
        <f>I20/(1+Assumption_Hatchery!$C76)^I4</f>
        <v>1069215.3848577079</v>
      </c>
      <c r="J22" s="42">
        <f>J20/(1+Assumption_Hatchery!$C76)^J4</f>
        <v>993952.80538833269</v>
      </c>
      <c r="K22" s="42">
        <f>K20/(1+Assumption_Hatchery!$C76)^K4</f>
        <v>231607.24607320814</v>
      </c>
      <c r="L22" s="42">
        <f>L20/(1+Assumption_Hatchery!$C76)^L4</f>
        <v>949384.06577749935</v>
      </c>
      <c r="M22" s="42">
        <f>M20/(1+Assumption_Hatchery!$C76)^M4</f>
        <v>862046.81898998539</v>
      </c>
      <c r="N22" s="42">
        <f>N20/(1+Assumption_Hatchery!$C76)^N4</f>
        <v>403247.51752345706</v>
      </c>
      <c r="O22" s="42">
        <f>O20/(1+Assumption_Hatchery!$C76)^O4</f>
        <v>391829.67256717611</v>
      </c>
      <c r="P22" s="42">
        <f>P20/(1+Assumption_Hatchery!$C76)^P4</f>
        <v>220310.02038884684</v>
      </c>
    </row>
    <row r="23" spans="1:16" x14ac:dyDescent="0.25">
      <c r="B23" s="34"/>
      <c r="C23" s="34"/>
      <c r="D23" s="34"/>
      <c r="E23" s="34"/>
      <c r="F23" s="34"/>
      <c r="G23" s="34"/>
      <c r="H23" s="34"/>
      <c r="I23" s="34"/>
      <c r="J23" s="34"/>
      <c r="K23" s="34"/>
      <c r="L23" s="34"/>
    </row>
    <row r="24" spans="1:16" s="13" customFormat="1" x14ac:dyDescent="0.25">
      <c r="A24" s="26" t="s">
        <v>62</v>
      </c>
      <c r="B24" s="37">
        <f>NPV(Assumption_Hatchery!C76,C20:P20)+B20</f>
        <v>-1361290.8095890065</v>
      </c>
      <c r="C24" s="43"/>
      <c r="D24" s="43"/>
      <c r="E24" s="43"/>
      <c r="F24" s="43"/>
      <c r="G24" s="43"/>
      <c r="H24" s="43"/>
      <c r="I24" s="43"/>
      <c r="J24" s="43"/>
      <c r="K24" s="43"/>
      <c r="L24" s="43"/>
    </row>
    <row r="26" spans="1:16" s="13" customFormat="1" x14ac:dyDescent="0.25">
      <c r="A26" s="26" t="s">
        <v>25</v>
      </c>
      <c r="B26" s="38">
        <f>IRR(B20:P20)</f>
        <v>5.2679804999793634E-2</v>
      </c>
      <c r="C26" s="4"/>
      <c r="D26" s="4"/>
      <c r="E26" s="4"/>
      <c r="F26" s="4"/>
      <c r="G26" s="4"/>
      <c r="H26" s="4"/>
      <c r="I26" s="4"/>
      <c r="J26" s="4"/>
      <c r="K26" s="4"/>
      <c r="L26" s="4"/>
    </row>
    <row r="28" spans="1:16" s="13" customFormat="1" x14ac:dyDescent="0.25">
      <c r="A28" s="27" t="s">
        <v>63</v>
      </c>
      <c r="B28" s="39">
        <f>B22</f>
        <v>0</v>
      </c>
      <c r="C28" s="39">
        <f>B28+C22</f>
        <v>-954885.32110091741</v>
      </c>
      <c r="D28" s="39">
        <f t="shared" ref="D28:P28" si="3">C28+D22</f>
        <v>-2296236.4279101081</v>
      </c>
      <c r="E28" s="39">
        <f t="shared" si="3"/>
        <v>-4597006.1926026363</v>
      </c>
      <c r="F28" s="39">
        <f t="shared" si="3"/>
        <v>-5734256.0671068802</v>
      </c>
      <c r="G28" s="39">
        <f t="shared" si="3"/>
        <v>-6182939.8904410023</v>
      </c>
      <c r="H28" s="39">
        <f t="shared" si="3"/>
        <v>-6482884.3411552189</v>
      </c>
      <c r="I28" s="39">
        <f t="shared" si="3"/>
        <v>-5413668.9562975112</v>
      </c>
      <c r="J28" s="39">
        <f t="shared" si="3"/>
        <v>-4419716.1509091789</v>
      </c>
      <c r="K28" s="39">
        <f t="shared" si="3"/>
        <v>-4188108.9048359706</v>
      </c>
      <c r="L28" s="39">
        <f t="shared" si="3"/>
        <v>-3238724.8390584714</v>
      </c>
      <c r="M28" s="39">
        <f t="shared" si="3"/>
        <v>-2376678.0200684862</v>
      </c>
      <c r="N28" s="39">
        <f t="shared" si="3"/>
        <v>-1973430.5025450292</v>
      </c>
      <c r="O28" s="39">
        <f t="shared" si="3"/>
        <v>-1581600.829977853</v>
      </c>
      <c r="P28" s="39">
        <f t="shared" si="3"/>
        <v>-1361290.8095890062</v>
      </c>
    </row>
    <row r="30" spans="1:16" s="1" customFormat="1" x14ac:dyDescent="0.25">
      <c r="A30" s="25"/>
      <c r="B30" s="45"/>
      <c r="C30" s="45"/>
      <c r="D30" s="45"/>
      <c r="E30" s="45"/>
      <c r="F30" s="45"/>
      <c r="G30" s="45"/>
      <c r="H30" s="45"/>
      <c r="I30" s="45"/>
      <c r="J30" s="45"/>
      <c r="K30" s="45"/>
      <c r="L30" s="45"/>
    </row>
    <row r="32" spans="1:16" ht="38.25" customHeight="1" x14ac:dyDescent="0.25">
      <c r="A32" s="11" t="str">
        <f>A2</f>
        <v>Aggregate Financial Analysis_Goat Rearing</v>
      </c>
      <c r="B32" s="32"/>
      <c r="C32" s="76"/>
      <c r="D32" s="77"/>
      <c r="E32" s="32"/>
      <c r="F32" s="126" t="s">
        <v>105</v>
      </c>
      <c r="G32" s="32"/>
      <c r="H32" s="32"/>
      <c r="I32" s="32"/>
      <c r="J32" s="32"/>
      <c r="K32" s="32"/>
      <c r="L32" s="32"/>
      <c r="M32" s="11"/>
    </row>
    <row r="33" spans="1:16" ht="38.25" customHeight="1" x14ac:dyDescent="0.25">
      <c r="A33" s="11"/>
      <c r="B33" s="32"/>
      <c r="C33" s="76"/>
      <c r="D33" s="77"/>
      <c r="E33" s="32"/>
      <c r="F33" s="126"/>
      <c r="G33" s="32"/>
      <c r="H33" s="32"/>
      <c r="I33" s="32"/>
      <c r="J33" s="32"/>
      <c r="K33" s="32"/>
      <c r="L33" s="32"/>
      <c r="M33" s="11"/>
    </row>
    <row r="34" spans="1:16" x14ac:dyDescent="0.25">
      <c r="A34" s="10" t="s">
        <v>22</v>
      </c>
      <c r="B34" s="28">
        <v>0</v>
      </c>
      <c r="C34" s="28">
        <v>1</v>
      </c>
      <c r="D34" s="28">
        <v>2</v>
      </c>
      <c r="E34" s="28">
        <v>3</v>
      </c>
      <c r="F34" s="28">
        <v>4</v>
      </c>
      <c r="G34" s="28">
        <v>5</v>
      </c>
      <c r="H34" s="28">
        <v>6</v>
      </c>
      <c r="I34" s="28">
        <v>7</v>
      </c>
      <c r="J34" s="28">
        <v>8</v>
      </c>
      <c r="K34" s="28">
        <v>9</v>
      </c>
      <c r="L34" s="28">
        <v>10</v>
      </c>
      <c r="M34" s="28">
        <v>11</v>
      </c>
      <c r="N34" s="28">
        <v>12</v>
      </c>
      <c r="O34" s="28">
        <v>13</v>
      </c>
      <c r="P34" s="28">
        <v>14</v>
      </c>
    </row>
    <row r="35" spans="1:16" x14ac:dyDescent="0.25">
      <c r="A35" s="24" t="s">
        <v>23</v>
      </c>
    </row>
    <row r="36" spans="1:16" x14ac:dyDescent="0.25">
      <c r="A36" s="10" t="str">
        <f>A6</f>
        <v>Goat Sale ($)</v>
      </c>
      <c r="B36" s="33">
        <f t="shared" ref="B36:P38" si="4">B6</f>
        <v>0</v>
      </c>
      <c r="C36" s="33">
        <f t="shared" si="4"/>
        <v>0</v>
      </c>
      <c r="D36" s="33">
        <f t="shared" si="4"/>
        <v>1943290.5</v>
      </c>
      <c r="E36" s="33">
        <f t="shared" si="4"/>
        <v>2446861.8448999999</v>
      </c>
      <c r="F36" s="33">
        <f t="shared" si="4"/>
        <v>4625484.8244500002</v>
      </c>
      <c r="G36" s="33">
        <f t="shared" si="4"/>
        <v>5339131.0545079997</v>
      </c>
      <c r="H36" s="33">
        <f t="shared" si="4"/>
        <v>4033606.7290597041</v>
      </c>
      <c r="I36" s="33">
        <f t="shared" si="4"/>
        <v>5446447.58870361</v>
      </c>
      <c r="J36" s="33">
        <f t="shared" si="4"/>
        <v>5500912.0645906478</v>
      </c>
      <c r="K36" s="33">
        <f t="shared" si="4"/>
        <v>4155829.0465569426</v>
      </c>
      <c r="L36" s="33">
        <f t="shared" si="4"/>
        <v>4910045.3474528054</v>
      </c>
      <c r="M36" s="33">
        <f t="shared" si="4"/>
        <v>3542247.0006623799</v>
      </c>
      <c r="N36" s="33">
        <f t="shared" si="4"/>
        <v>1605658.0584362489</v>
      </c>
      <c r="O36" s="33">
        <f t="shared" si="4"/>
        <v>722689.23307513888</v>
      </c>
      <c r="P36" s="33">
        <f t="shared" si="4"/>
        <v>729916.12540589029</v>
      </c>
    </row>
    <row r="37" spans="1:16" x14ac:dyDescent="0.25">
      <c r="A37" s="10" t="str">
        <f t="shared" ref="A37:A38" si="5">A7</f>
        <v>Residual ($)</v>
      </c>
      <c r="B37" s="33">
        <f t="shared" si="4"/>
        <v>0</v>
      </c>
      <c r="C37" s="33">
        <f t="shared" si="4"/>
        <v>0</v>
      </c>
      <c r="D37" s="33">
        <f t="shared" si="4"/>
        <v>0</v>
      </c>
      <c r="E37" s="33">
        <f t="shared" si="4"/>
        <v>0</v>
      </c>
      <c r="F37" s="33">
        <f t="shared" si="4"/>
        <v>0</v>
      </c>
      <c r="G37" s="33">
        <f t="shared" si="4"/>
        <v>0</v>
      </c>
      <c r="H37" s="33">
        <f t="shared" si="4"/>
        <v>0</v>
      </c>
      <c r="I37" s="33">
        <f t="shared" si="4"/>
        <v>0</v>
      </c>
      <c r="J37" s="33">
        <f t="shared" si="4"/>
        <v>0</v>
      </c>
      <c r="K37" s="33">
        <f t="shared" si="4"/>
        <v>0</v>
      </c>
      <c r="L37" s="33">
        <f t="shared" si="4"/>
        <v>56000</v>
      </c>
      <c r="M37" s="33">
        <f t="shared" si="4"/>
        <v>112000</v>
      </c>
      <c r="N37" s="33">
        <f t="shared" si="4"/>
        <v>106400</v>
      </c>
      <c r="O37" s="33">
        <f t="shared" si="4"/>
        <v>112000</v>
      </c>
      <c r="P37" s="33">
        <f t="shared" si="4"/>
        <v>56000</v>
      </c>
    </row>
    <row r="38" spans="1:16" x14ac:dyDescent="0.25">
      <c r="A38" s="10" t="str">
        <f t="shared" si="5"/>
        <v>Mother Goat Sale ($)</v>
      </c>
      <c r="B38" s="33">
        <f t="shared" si="4"/>
        <v>0</v>
      </c>
      <c r="C38" s="33">
        <f t="shared" si="4"/>
        <v>0</v>
      </c>
      <c r="D38" s="33">
        <f t="shared" si="4"/>
        <v>0</v>
      </c>
      <c r="E38" s="33">
        <f t="shared" si="4"/>
        <v>0</v>
      </c>
      <c r="F38" s="33">
        <f t="shared" si="4"/>
        <v>0</v>
      </c>
      <c r="G38" s="33">
        <f t="shared" si="4"/>
        <v>0</v>
      </c>
      <c r="H38" s="33">
        <f t="shared" si="4"/>
        <v>0</v>
      </c>
      <c r="I38" s="33">
        <f t="shared" si="4"/>
        <v>0</v>
      </c>
      <c r="J38" s="33">
        <f t="shared" si="4"/>
        <v>0</v>
      </c>
      <c r="K38" s="33">
        <f t="shared" si="4"/>
        <v>0</v>
      </c>
      <c r="L38" s="33">
        <f t="shared" si="4"/>
        <v>412500</v>
      </c>
      <c r="M38" s="33">
        <f t="shared" si="4"/>
        <v>825000</v>
      </c>
      <c r="N38" s="33">
        <f t="shared" si="4"/>
        <v>825000</v>
      </c>
      <c r="O38" s="33">
        <f t="shared" si="4"/>
        <v>825000</v>
      </c>
      <c r="P38" s="33">
        <f t="shared" si="4"/>
        <v>412500</v>
      </c>
    </row>
    <row r="39" spans="1:16" s="13" customFormat="1" x14ac:dyDescent="0.25">
      <c r="A39" s="24" t="s">
        <v>58</v>
      </c>
      <c r="B39" s="41">
        <f>B36+B37+B38</f>
        <v>0</v>
      </c>
      <c r="C39" s="41">
        <f t="shared" ref="C39:P39" si="6">C36+C37+C38</f>
        <v>0</v>
      </c>
      <c r="D39" s="41">
        <f t="shared" si="6"/>
        <v>1943290.5</v>
      </c>
      <c r="E39" s="41">
        <f t="shared" si="6"/>
        <v>2446861.8448999999</v>
      </c>
      <c r="F39" s="41">
        <f t="shared" si="6"/>
        <v>4625484.8244500002</v>
      </c>
      <c r="G39" s="41">
        <f t="shared" si="6"/>
        <v>5339131.0545079997</v>
      </c>
      <c r="H39" s="41">
        <f t="shared" si="6"/>
        <v>4033606.7290597041</v>
      </c>
      <c r="I39" s="41">
        <f t="shared" si="6"/>
        <v>5446447.58870361</v>
      </c>
      <c r="J39" s="41">
        <f t="shared" si="6"/>
        <v>5500912.0645906478</v>
      </c>
      <c r="K39" s="41">
        <f t="shared" si="6"/>
        <v>4155829.0465569426</v>
      </c>
      <c r="L39" s="41">
        <f t="shared" si="6"/>
        <v>5378545.3474528054</v>
      </c>
      <c r="M39" s="41">
        <f t="shared" si="6"/>
        <v>4479247.0006623799</v>
      </c>
      <c r="N39" s="41">
        <f t="shared" si="6"/>
        <v>2537058.0584362489</v>
      </c>
      <c r="O39" s="41">
        <f t="shared" si="6"/>
        <v>1659689.2330751389</v>
      </c>
      <c r="P39" s="41">
        <f t="shared" si="6"/>
        <v>1198416.1254058904</v>
      </c>
    </row>
    <row r="40" spans="1:16" x14ac:dyDescent="0.25">
      <c r="A40" s="24"/>
      <c r="B40" s="44"/>
      <c r="C40" s="44"/>
      <c r="D40" s="44"/>
      <c r="E40" s="44"/>
      <c r="F40" s="44"/>
      <c r="G40" s="44"/>
      <c r="H40" s="44"/>
      <c r="I40" s="44"/>
      <c r="J40" s="44"/>
      <c r="K40" s="44"/>
    </row>
    <row r="41" spans="1:16" x14ac:dyDescent="0.25">
      <c r="A41" s="24" t="s">
        <v>24</v>
      </c>
    </row>
    <row r="42" spans="1:16" x14ac:dyDescent="0.25">
      <c r="A42" s="9" t="str">
        <f>A12</f>
        <v>Slated House Construction</v>
      </c>
      <c r="B42" s="35">
        <f t="shared" ref="B42:P46" si="7">B12</f>
        <v>0</v>
      </c>
      <c r="C42" s="35">
        <f t="shared" si="7"/>
        <v>280000</v>
      </c>
      <c r="D42" s="35">
        <f t="shared" si="7"/>
        <v>560000</v>
      </c>
      <c r="E42" s="35">
        <f t="shared" si="7"/>
        <v>560000</v>
      </c>
      <c r="F42" s="35">
        <f t="shared" si="7"/>
        <v>560000</v>
      </c>
      <c r="G42" s="35">
        <f t="shared" si="7"/>
        <v>280000</v>
      </c>
      <c r="H42" s="35">
        <f t="shared" si="7"/>
        <v>0</v>
      </c>
      <c r="I42" s="35">
        <f t="shared" si="7"/>
        <v>0</v>
      </c>
      <c r="J42" s="35">
        <f t="shared" si="7"/>
        <v>0</v>
      </c>
      <c r="K42" s="35">
        <f t="shared" si="7"/>
        <v>0</v>
      </c>
      <c r="L42" s="35">
        <f t="shared" si="7"/>
        <v>0</v>
      </c>
      <c r="M42" s="35">
        <f t="shared" si="7"/>
        <v>0</v>
      </c>
      <c r="N42" s="35">
        <f t="shared" si="7"/>
        <v>0</v>
      </c>
      <c r="O42" s="35">
        <f t="shared" si="7"/>
        <v>0</v>
      </c>
      <c r="P42" s="35">
        <f t="shared" si="7"/>
        <v>0</v>
      </c>
    </row>
    <row r="43" spans="1:16" x14ac:dyDescent="0.25">
      <c r="A43" s="9" t="str">
        <f t="shared" ref="A43:A46" si="8">A13</f>
        <v>Mother Goat Purchase</v>
      </c>
      <c r="B43" s="35">
        <f t="shared" si="7"/>
        <v>0</v>
      </c>
      <c r="C43" s="35">
        <f t="shared" si="7"/>
        <v>375000</v>
      </c>
      <c r="D43" s="35">
        <f t="shared" si="7"/>
        <v>750000</v>
      </c>
      <c r="E43" s="35">
        <f t="shared" si="7"/>
        <v>750000</v>
      </c>
      <c r="F43" s="35">
        <f t="shared" si="7"/>
        <v>750000</v>
      </c>
      <c r="G43" s="35">
        <f t="shared" si="7"/>
        <v>375000</v>
      </c>
      <c r="H43" s="35">
        <f t="shared" si="7"/>
        <v>0</v>
      </c>
      <c r="I43" s="35">
        <f t="shared" si="7"/>
        <v>0</v>
      </c>
      <c r="J43" s="35">
        <f t="shared" si="7"/>
        <v>0</v>
      </c>
      <c r="K43" s="35">
        <f t="shared" si="7"/>
        <v>0</v>
      </c>
      <c r="L43" s="35">
        <f t="shared" si="7"/>
        <v>0</v>
      </c>
      <c r="M43" s="35">
        <f t="shared" si="7"/>
        <v>0</v>
      </c>
      <c r="N43" s="35">
        <f t="shared" si="7"/>
        <v>0</v>
      </c>
      <c r="O43" s="35">
        <f t="shared" si="7"/>
        <v>0</v>
      </c>
      <c r="P43" s="35">
        <f t="shared" si="7"/>
        <v>0</v>
      </c>
    </row>
    <row r="44" spans="1:16" x14ac:dyDescent="0.25">
      <c r="A44" s="9" t="str">
        <f t="shared" si="8"/>
        <v>Maintenance Cost</v>
      </c>
      <c r="B44" s="35">
        <f t="shared" si="7"/>
        <v>0</v>
      </c>
      <c r="C44" s="35">
        <f t="shared" si="7"/>
        <v>0</v>
      </c>
      <c r="D44" s="35">
        <f t="shared" si="7"/>
        <v>90000</v>
      </c>
      <c r="E44" s="35">
        <f t="shared" si="7"/>
        <v>173250.00000000006</v>
      </c>
      <c r="F44" s="35">
        <f t="shared" si="7"/>
        <v>210000</v>
      </c>
      <c r="G44" s="35">
        <f t="shared" si="7"/>
        <v>240000</v>
      </c>
      <c r="H44" s="35">
        <f t="shared" si="7"/>
        <v>277200.00000000006</v>
      </c>
      <c r="I44" s="35">
        <f t="shared" si="7"/>
        <v>240000</v>
      </c>
      <c r="J44" s="35">
        <f t="shared" si="7"/>
        <v>240000</v>
      </c>
      <c r="K44" s="35">
        <f t="shared" si="7"/>
        <v>277200.00000000006</v>
      </c>
      <c r="L44" s="35">
        <f t="shared" si="7"/>
        <v>210000</v>
      </c>
      <c r="M44" s="35">
        <f t="shared" si="7"/>
        <v>150000</v>
      </c>
      <c r="N44" s="35">
        <f t="shared" si="7"/>
        <v>103950.00000000003</v>
      </c>
      <c r="O44" s="35">
        <f t="shared" si="7"/>
        <v>30000</v>
      </c>
      <c r="P44" s="35">
        <f t="shared" si="7"/>
        <v>30000</v>
      </c>
    </row>
    <row r="45" spans="1:16" x14ac:dyDescent="0.25">
      <c r="A45" s="9" t="str">
        <f t="shared" si="8"/>
        <v>Medicine</v>
      </c>
      <c r="B45" s="35">
        <f t="shared" si="7"/>
        <v>0</v>
      </c>
      <c r="C45" s="35">
        <f t="shared" si="7"/>
        <v>50000</v>
      </c>
      <c r="D45" s="35">
        <f t="shared" si="7"/>
        <v>150000</v>
      </c>
      <c r="E45" s="35">
        <f t="shared" si="7"/>
        <v>291500.00000000012</v>
      </c>
      <c r="F45" s="35">
        <f t="shared" si="7"/>
        <v>350000</v>
      </c>
      <c r="G45" s="35">
        <f t="shared" si="7"/>
        <v>400000</v>
      </c>
      <c r="H45" s="35">
        <f t="shared" si="7"/>
        <v>466400.00000000012</v>
      </c>
      <c r="I45" s="35">
        <f t="shared" si="7"/>
        <v>400000</v>
      </c>
      <c r="J45" s="35">
        <f t="shared" si="7"/>
        <v>400000</v>
      </c>
      <c r="K45" s="35">
        <f t="shared" si="7"/>
        <v>466400.00000000012</v>
      </c>
      <c r="L45" s="35">
        <f t="shared" si="7"/>
        <v>350000</v>
      </c>
      <c r="M45" s="35">
        <f t="shared" si="7"/>
        <v>250000</v>
      </c>
      <c r="N45" s="35">
        <f t="shared" si="7"/>
        <v>174900.00000000006</v>
      </c>
      <c r="O45" s="35">
        <f t="shared" si="7"/>
        <v>50000</v>
      </c>
      <c r="P45" s="35">
        <f t="shared" si="7"/>
        <v>50000</v>
      </c>
    </row>
    <row r="46" spans="1:16" x14ac:dyDescent="0.25">
      <c r="A46" s="9" t="str">
        <f t="shared" si="8"/>
        <v>Labor</v>
      </c>
      <c r="B46" s="35">
        <f>B16</f>
        <v>0</v>
      </c>
      <c r="C46" s="35">
        <f t="shared" si="7"/>
        <v>335825</v>
      </c>
      <c r="D46" s="35">
        <f t="shared" si="7"/>
        <v>1017549.75</v>
      </c>
      <c r="E46" s="35">
        <f t="shared" si="7"/>
        <v>1712875.4124999999</v>
      </c>
      <c r="F46" s="35">
        <f t="shared" si="7"/>
        <v>2422005.8332750001</v>
      </c>
      <c r="G46" s="35">
        <f t="shared" si="7"/>
        <v>2795686.7332659997</v>
      </c>
      <c r="H46" s="35">
        <f t="shared" si="7"/>
        <v>2823643.6005986603</v>
      </c>
      <c r="I46" s="35">
        <f t="shared" si="7"/>
        <v>2851880.0366046461</v>
      </c>
      <c r="J46" s="35">
        <f t="shared" si="7"/>
        <v>2880398.8369706934</v>
      </c>
      <c r="K46" s="35">
        <f t="shared" si="7"/>
        <v>2909202.8253404004</v>
      </c>
      <c r="L46" s="35">
        <f t="shared" si="7"/>
        <v>2571007.9968945789</v>
      </c>
      <c r="M46" s="35">
        <f t="shared" si="7"/>
        <v>1854798.6263310888</v>
      </c>
      <c r="N46" s="35">
        <f t="shared" si="7"/>
        <v>1124007.9675566398</v>
      </c>
      <c r="O46" s="35">
        <f t="shared" si="7"/>
        <v>378416.01574406878</v>
      </c>
      <c r="P46" s="35">
        <f t="shared" si="7"/>
        <v>382200.17590150947</v>
      </c>
    </row>
    <row r="47" spans="1:16" s="54" customFormat="1" x14ac:dyDescent="0.25">
      <c r="A47" s="56" t="s">
        <v>156</v>
      </c>
      <c r="B47" s="53">
        <f>Assumption_Goat!D46</f>
        <v>0</v>
      </c>
      <c r="C47" s="53">
        <f>Assumption_Goat!E46</f>
        <v>0</v>
      </c>
      <c r="D47" s="53">
        <f>Assumption_Goat!F46</f>
        <v>555000</v>
      </c>
      <c r="E47" s="53">
        <f>Assumption_Goat!G46</f>
        <v>1110000</v>
      </c>
      <c r="F47" s="53">
        <f>Assumption_Goat!H46</f>
        <v>1110000</v>
      </c>
      <c r="G47" s="53">
        <f>Assumption_Goat!I46</f>
        <v>1110000</v>
      </c>
      <c r="H47" s="53">
        <f>Assumption_Goat!J46</f>
        <v>555000</v>
      </c>
      <c r="I47" s="53">
        <f>Assumption_Goat!K46</f>
        <v>0</v>
      </c>
      <c r="J47" s="53">
        <f>Assumption_Goat!L46</f>
        <v>0</v>
      </c>
      <c r="K47" s="53">
        <f>Assumption_Goat!M46</f>
        <v>0</v>
      </c>
      <c r="L47" s="53">
        <f>Assumption_Goat!N46</f>
        <v>0</v>
      </c>
      <c r="M47" s="53">
        <f>Assumption_Goat!O46</f>
        <v>0</v>
      </c>
      <c r="N47" s="53">
        <f>Assumption_Goat!P46</f>
        <v>0</v>
      </c>
      <c r="O47" s="53">
        <f>Assumption_Goat!Q46</f>
        <v>0</v>
      </c>
      <c r="P47" s="53">
        <f>Assumption_Goat!R46</f>
        <v>0</v>
      </c>
    </row>
    <row r="48" spans="1:16" x14ac:dyDescent="0.25">
      <c r="A48" s="127" t="s">
        <v>59</v>
      </c>
      <c r="B48" s="40">
        <f t="shared" ref="B48:P48" si="9">SUM(B42:B47)</f>
        <v>0</v>
      </c>
      <c r="C48" s="40">
        <f t="shared" si="9"/>
        <v>1040825</v>
      </c>
      <c r="D48" s="40">
        <f t="shared" si="9"/>
        <v>3122549.75</v>
      </c>
      <c r="E48" s="40">
        <f t="shared" si="9"/>
        <v>4597625.4124999996</v>
      </c>
      <c r="F48" s="40">
        <f t="shared" si="9"/>
        <v>5402005.8332749996</v>
      </c>
      <c r="G48" s="40">
        <f t="shared" si="9"/>
        <v>5200686.7332659997</v>
      </c>
      <c r="H48" s="40">
        <f t="shared" si="9"/>
        <v>4122243.6005986603</v>
      </c>
      <c r="I48" s="40">
        <f t="shared" si="9"/>
        <v>3491880.0366046461</v>
      </c>
      <c r="J48" s="40">
        <f t="shared" si="9"/>
        <v>3520398.8369706934</v>
      </c>
      <c r="K48" s="40">
        <f t="shared" si="9"/>
        <v>3652802.8253404004</v>
      </c>
      <c r="L48" s="40">
        <f t="shared" si="9"/>
        <v>3131007.9968945789</v>
      </c>
      <c r="M48" s="40">
        <f t="shared" si="9"/>
        <v>2254798.6263310891</v>
      </c>
      <c r="N48" s="40">
        <f t="shared" si="9"/>
        <v>1402857.96755664</v>
      </c>
      <c r="O48" s="40">
        <f t="shared" si="9"/>
        <v>458416.01574406878</v>
      </c>
      <c r="P48" s="40">
        <f t="shared" si="9"/>
        <v>462200.17590150947</v>
      </c>
    </row>
    <row r="49" spans="1:16" x14ac:dyDescent="0.25">
      <c r="B49" s="34"/>
      <c r="C49" s="34"/>
      <c r="D49" s="34"/>
      <c r="E49" s="34"/>
      <c r="F49" s="34"/>
      <c r="G49" s="34"/>
      <c r="H49" s="34"/>
      <c r="I49" s="34"/>
      <c r="J49" s="34"/>
      <c r="K49" s="34"/>
      <c r="L49" s="34"/>
    </row>
    <row r="50" spans="1:16" x14ac:dyDescent="0.25">
      <c r="A50" s="24" t="s">
        <v>60</v>
      </c>
      <c r="B50" s="36">
        <f t="shared" ref="B50:P50" si="10">B39-B48</f>
        <v>0</v>
      </c>
      <c r="C50" s="36">
        <f t="shared" si="10"/>
        <v>-1040825</v>
      </c>
      <c r="D50" s="36">
        <f t="shared" si="10"/>
        <v>-1179259.25</v>
      </c>
      <c r="E50" s="36">
        <f t="shared" si="10"/>
        <v>-2150763.5675999997</v>
      </c>
      <c r="F50" s="36">
        <f t="shared" si="10"/>
        <v>-776521.00882499944</v>
      </c>
      <c r="G50" s="36">
        <f t="shared" si="10"/>
        <v>138444.32124199998</v>
      </c>
      <c r="H50" s="36">
        <f t="shared" si="10"/>
        <v>-88636.871538956184</v>
      </c>
      <c r="I50" s="36">
        <f t="shared" si="10"/>
        <v>1954567.5520989639</v>
      </c>
      <c r="J50" s="36">
        <f t="shared" si="10"/>
        <v>1980513.2276199544</v>
      </c>
      <c r="K50" s="36">
        <f t="shared" si="10"/>
        <v>503026.22121654218</v>
      </c>
      <c r="L50" s="36">
        <f t="shared" si="10"/>
        <v>2247537.3505582265</v>
      </c>
      <c r="M50" s="36">
        <f t="shared" si="10"/>
        <v>2224448.3743312908</v>
      </c>
      <c r="N50" s="36">
        <f t="shared" si="10"/>
        <v>1134200.0908796089</v>
      </c>
      <c r="O50" s="36">
        <f t="shared" si="10"/>
        <v>1201273.21733107</v>
      </c>
      <c r="P50" s="36">
        <f t="shared" si="10"/>
        <v>736215.94950438093</v>
      </c>
    </row>
    <row r="51" spans="1:16" x14ac:dyDescent="0.25">
      <c r="B51" s="34"/>
      <c r="C51" s="34"/>
      <c r="D51" s="34"/>
      <c r="E51" s="34"/>
      <c r="F51" s="34"/>
      <c r="G51" s="34"/>
      <c r="H51" s="34"/>
      <c r="I51" s="34"/>
      <c r="J51" s="34"/>
      <c r="K51" s="34"/>
      <c r="L51" s="34"/>
    </row>
    <row r="52" spans="1:16" s="13" customFormat="1" x14ac:dyDescent="0.25">
      <c r="A52" s="24" t="s">
        <v>61</v>
      </c>
      <c r="B52" s="42">
        <f>B50/(1+Assumption_Hatchery!$C76)^B34</f>
        <v>0</v>
      </c>
      <c r="C52" s="42">
        <f>C50/(1+Assumption_Hatchery!$C76)^C34</f>
        <v>-954885.32110091741</v>
      </c>
      <c r="D52" s="42">
        <f>D50/(1+Assumption_Hatchery!$C76)^D34</f>
        <v>-992558.91759952856</v>
      </c>
      <c r="E52" s="42">
        <f>E50/(1+Assumption_Hatchery!$C76)^E34</f>
        <v>-1660784.0964179176</v>
      </c>
      <c r="F52" s="42">
        <f>F50/(1+Assumption_Hatchery!$C76)^F34</f>
        <v>-550107.0595734095</v>
      </c>
      <c r="G52" s="42">
        <f>G50/(1+Assumption_Hatchery!$C76)^G34</f>
        <v>89979.309629946496</v>
      </c>
      <c r="H52" s="42">
        <f>H50/(1+Assumption_Hatchery!$C76)^H34</f>
        <v>-52851.27045546985</v>
      </c>
      <c r="I52" s="42">
        <f>I50/(1+Assumption_Hatchery!$C76)^I34</f>
        <v>1069215.3848577079</v>
      </c>
      <c r="J52" s="42">
        <f>J50/(1+Assumption_Hatchery!$C76)^J34</f>
        <v>993952.80538833269</v>
      </c>
      <c r="K52" s="42">
        <f>K50/(1+Assumption_Hatchery!$C76)^K34</f>
        <v>231607.24607320814</v>
      </c>
      <c r="L52" s="42">
        <f>L50/(1+Assumption_Hatchery!$C76)^L34</f>
        <v>949384.06577749935</v>
      </c>
      <c r="M52" s="42">
        <f>M50/(1+Assumption_Hatchery!$C76)^M34</f>
        <v>862046.81898998539</v>
      </c>
      <c r="N52" s="42">
        <f>N50/(1+Assumption_Hatchery!$C76)^N34</f>
        <v>403247.51752345706</v>
      </c>
      <c r="O52" s="42">
        <f>O50/(1+Assumption_Hatchery!$C76)^O34</f>
        <v>391829.67256717611</v>
      </c>
      <c r="P52" s="42">
        <f>P50/(1+Assumption_Hatchery!$C76)^P34</f>
        <v>220310.02038884684</v>
      </c>
    </row>
    <row r="53" spans="1:16" x14ac:dyDescent="0.25">
      <c r="B53" s="34"/>
      <c r="C53" s="34"/>
      <c r="D53" s="34"/>
      <c r="E53" s="34"/>
      <c r="F53" s="34"/>
      <c r="G53" s="34"/>
      <c r="H53" s="34"/>
      <c r="I53" s="34"/>
      <c r="J53" s="34"/>
      <c r="K53" s="34"/>
      <c r="L53" s="34"/>
    </row>
    <row r="54" spans="1:16" s="13" customFormat="1" x14ac:dyDescent="0.25">
      <c r="A54" s="26" t="s">
        <v>62</v>
      </c>
      <c r="B54" s="37">
        <f>NPV(Assumption_Hatchery!C76,C50:P50)+B50</f>
        <v>1000386.1760489163</v>
      </c>
      <c r="C54" s="43"/>
      <c r="D54" s="43"/>
      <c r="E54" s="43"/>
      <c r="F54" s="43"/>
      <c r="G54" s="43"/>
      <c r="H54" s="43"/>
      <c r="I54" s="43"/>
      <c r="J54" s="43"/>
      <c r="K54" s="43"/>
      <c r="L54" s="43"/>
    </row>
    <row r="56" spans="1:16" s="13" customFormat="1" x14ac:dyDescent="0.25">
      <c r="A56" s="26" t="s">
        <v>25</v>
      </c>
      <c r="B56" s="38">
        <f>IRR(B50:P50)</f>
        <v>0.12343933206665936</v>
      </c>
      <c r="C56" s="4"/>
      <c r="D56" s="4"/>
      <c r="E56" s="4"/>
      <c r="F56" s="4"/>
      <c r="G56" s="4"/>
      <c r="H56" s="4"/>
      <c r="I56" s="4"/>
      <c r="J56" s="4"/>
      <c r="K56" s="4"/>
      <c r="L56" s="4"/>
    </row>
    <row r="58" spans="1:16" s="13" customFormat="1" x14ac:dyDescent="0.25">
      <c r="A58" s="27" t="s">
        <v>63</v>
      </c>
      <c r="B58" s="39">
        <f>B52</f>
        <v>0</v>
      </c>
      <c r="C58" s="39">
        <f>B58+C52</f>
        <v>-954885.32110091741</v>
      </c>
      <c r="D58" s="39">
        <f t="shared" ref="D58:P58" si="11">C58+D52</f>
        <v>-1947444.238700446</v>
      </c>
      <c r="E58" s="39">
        <f t="shared" si="11"/>
        <v>-3608228.3351183636</v>
      </c>
      <c r="F58" s="39">
        <f t="shared" si="11"/>
        <v>-4158335.3946917732</v>
      </c>
      <c r="G58" s="39">
        <f t="shared" si="11"/>
        <v>-4068356.0850618267</v>
      </c>
      <c r="H58" s="39">
        <f t="shared" si="11"/>
        <v>-4121207.3555172966</v>
      </c>
      <c r="I58" s="39">
        <f t="shared" si="11"/>
        <v>-3051991.9706595885</v>
      </c>
      <c r="J58" s="39">
        <f t="shared" si="11"/>
        <v>-2058039.1652712557</v>
      </c>
      <c r="K58" s="39">
        <f t="shared" si="11"/>
        <v>-1826431.9191980476</v>
      </c>
      <c r="L58" s="39">
        <f t="shared" si="11"/>
        <v>-877047.85342054826</v>
      </c>
      <c r="M58" s="39">
        <f t="shared" si="11"/>
        <v>-15001.034430562868</v>
      </c>
      <c r="N58" s="39">
        <f t="shared" si="11"/>
        <v>388246.4830928942</v>
      </c>
      <c r="O58" s="39">
        <f t="shared" si="11"/>
        <v>780076.15566007025</v>
      </c>
      <c r="P58" s="39">
        <f t="shared" si="11"/>
        <v>1000386.1760489171</v>
      </c>
    </row>
    <row r="59" spans="1:16" ht="38.25" customHeight="1" x14ac:dyDescent="0.25">
      <c r="A59" s="11"/>
      <c r="B59" s="32"/>
      <c r="C59" s="76"/>
      <c r="D59" s="77"/>
      <c r="E59" s="32"/>
      <c r="F59" s="126"/>
      <c r="G59" s="32"/>
      <c r="H59" s="32"/>
      <c r="I59" s="32"/>
      <c r="J59" s="32"/>
      <c r="K59" s="32"/>
      <c r="L59" s="32"/>
      <c r="M59" s="11"/>
    </row>
    <row r="60" spans="1:16" s="1" customFormat="1" x14ac:dyDescent="0.25">
      <c r="A60" s="25"/>
      <c r="B60" s="45"/>
      <c r="C60" s="45"/>
      <c r="D60" s="45"/>
      <c r="E60" s="45"/>
      <c r="F60" s="45"/>
      <c r="G60" s="45"/>
      <c r="H60" s="45"/>
      <c r="I60" s="45"/>
      <c r="J60" s="45"/>
      <c r="K60" s="45"/>
      <c r="L60" s="45"/>
    </row>
    <row r="62" spans="1:16" ht="26.25" x14ac:dyDescent="0.25">
      <c r="F62" s="20" t="s">
        <v>111</v>
      </c>
    </row>
    <row r="63" spans="1:16" ht="38.25" customHeight="1" x14ac:dyDescent="0.25">
      <c r="A63" s="11" t="str">
        <f>A2</f>
        <v>Aggregate Financial Analysis_Goat Rearing</v>
      </c>
      <c r="B63" s="32"/>
      <c r="C63" s="76"/>
      <c r="D63" s="77"/>
      <c r="E63" s="32"/>
      <c r="F63" s="32"/>
      <c r="G63" s="32"/>
      <c r="H63" s="32"/>
      <c r="I63" s="32"/>
      <c r="J63" s="32"/>
      <c r="K63" s="32"/>
      <c r="L63" s="32"/>
      <c r="M63" s="11"/>
    </row>
    <row r="65" spans="1:16" x14ac:dyDescent="0.25">
      <c r="A65" s="10" t="s">
        <v>22</v>
      </c>
      <c r="B65" s="28">
        <v>0</v>
      </c>
      <c r="C65" s="28">
        <v>1</v>
      </c>
      <c r="D65" s="28">
        <v>2</v>
      </c>
      <c r="E65" s="28">
        <v>3</v>
      </c>
      <c r="F65" s="28">
        <v>4</v>
      </c>
      <c r="G65" s="28">
        <v>5</v>
      </c>
      <c r="H65" s="28">
        <v>6</v>
      </c>
      <c r="I65" s="28">
        <v>7</v>
      </c>
      <c r="J65" s="28">
        <v>8</v>
      </c>
      <c r="K65" s="28">
        <v>9</v>
      </c>
      <c r="L65" s="28">
        <v>10</v>
      </c>
      <c r="M65" s="28">
        <v>11</v>
      </c>
      <c r="N65" s="28">
        <v>12</v>
      </c>
      <c r="O65" s="28">
        <v>13</v>
      </c>
      <c r="P65" s="28">
        <v>14</v>
      </c>
    </row>
    <row r="66" spans="1:16" x14ac:dyDescent="0.25">
      <c r="A66" s="24" t="s">
        <v>23</v>
      </c>
    </row>
    <row r="67" spans="1:16" x14ac:dyDescent="0.25">
      <c r="A67" s="10" t="str">
        <f>A6</f>
        <v>Goat Sale ($)</v>
      </c>
      <c r="B67" s="33">
        <f t="shared" ref="B67:P69" si="12">B6</f>
        <v>0</v>
      </c>
      <c r="C67" s="33">
        <f t="shared" si="12"/>
        <v>0</v>
      </c>
      <c r="D67" s="33">
        <f t="shared" si="12"/>
        <v>1943290.5</v>
      </c>
      <c r="E67" s="33">
        <f t="shared" si="12"/>
        <v>2446861.8448999999</v>
      </c>
      <c r="F67" s="33">
        <f t="shared" si="12"/>
        <v>4625484.8244500002</v>
      </c>
      <c r="G67" s="33">
        <f t="shared" si="12"/>
        <v>5339131.0545079997</v>
      </c>
      <c r="H67" s="33">
        <f t="shared" si="12"/>
        <v>4033606.7290597041</v>
      </c>
      <c r="I67" s="33">
        <f t="shared" si="12"/>
        <v>5446447.58870361</v>
      </c>
      <c r="J67" s="33">
        <f t="shared" si="12"/>
        <v>5500912.0645906478</v>
      </c>
      <c r="K67" s="33">
        <f t="shared" si="12"/>
        <v>4155829.0465569426</v>
      </c>
      <c r="L67" s="33">
        <f t="shared" si="12"/>
        <v>4910045.3474528054</v>
      </c>
      <c r="M67" s="33">
        <f t="shared" si="12"/>
        <v>3542247.0006623799</v>
      </c>
      <c r="N67" s="33">
        <f t="shared" si="12"/>
        <v>1605658.0584362489</v>
      </c>
      <c r="O67" s="33">
        <f t="shared" si="12"/>
        <v>722689.23307513888</v>
      </c>
      <c r="P67" s="33">
        <f t="shared" si="12"/>
        <v>729916.12540589029</v>
      </c>
    </row>
    <row r="68" spans="1:16" x14ac:dyDescent="0.25">
      <c r="A68" s="10" t="str">
        <f t="shared" ref="A68:A69" si="13">A7</f>
        <v>Residual ($)</v>
      </c>
      <c r="B68" s="33">
        <f t="shared" si="12"/>
        <v>0</v>
      </c>
      <c r="C68" s="33">
        <f t="shared" si="12"/>
        <v>0</v>
      </c>
      <c r="D68" s="33">
        <f t="shared" si="12"/>
        <v>0</v>
      </c>
      <c r="E68" s="33">
        <f t="shared" si="12"/>
        <v>0</v>
      </c>
      <c r="F68" s="33">
        <f t="shared" si="12"/>
        <v>0</v>
      </c>
      <c r="G68" s="33">
        <f t="shared" si="12"/>
        <v>0</v>
      </c>
      <c r="H68" s="33">
        <f t="shared" si="12"/>
        <v>0</v>
      </c>
      <c r="I68" s="33">
        <f t="shared" si="12"/>
        <v>0</v>
      </c>
      <c r="J68" s="33">
        <f t="shared" si="12"/>
        <v>0</v>
      </c>
      <c r="K68" s="33">
        <f t="shared" si="12"/>
        <v>0</v>
      </c>
      <c r="L68" s="33">
        <f t="shared" si="12"/>
        <v>56000</v>
      </c>
      <c r="M68" s="33">
        <f t="shared" si="12"/>
        <v>112000</v>
      </c>
      <c r="N68" s="33">
        <f t="shared" si="12"/>
        <v>106400</v>
      </c>
      <c r="O68" s="33">
        <f t="shared" si="12"/>
        <v>112000</v>
      </c>
      <c r="P68" s="33">
        <f t="shared" si="12"/>
        <v>56000</v>
      </c>
    </row>
    <row r="69" spans="1:16" x14ac:dyDescent="0.25">
      <c r="A69" s="10" t="str">
        <f t="shared" si="13"/>
        <v>Mother Goat Sale ($)</v>
      </c>
      <c r="B69" s="33">
        <f t="shared" si="12"/>
        <v>0</v>
      </c>
      <c r="C69" s="33">
        <f t="shared" si="12"/>
        <v>0</v>
      </c>
      <c r="D69" s="33">
        <f t="shared" si="12"/>
        <v>0</v>
      </c>
      <c r="E69" s="33">
        <f t="shared" si="12"/>
        <v>0</v>
      </c>
      <c r="F69" s="33">
        <f t="shared" si="12"/>
        <v>0</v>
      </c>
      <c r="G69" s="33">
        <f t="shared" si="12"/>
        <v>0</v>
      </c>
      <c r="H69" s="33">
        <f t="shared" si="12"/>
        <v>0</v>
      </c>
      <c r="I69" s="33">
        <f t="shared" si="12"/>
        <v>0</v>
      </c>
      <c r="J69" s="33">
        <f t="shared" si="12"/>
        <v>0</v>
      </c>
      <c r="K69" s="33">
        <f t="shared" si="12"/>
        <v>0</v>
      </c>
      <c r="L69" s="33">
        <f t="shared" si="12"/>
        <v>412500</v>
      </c>
      <c r="M69" s="33">
        <f t="shared" si="12"/>
        <v>825000</v>
      </c>
      <c r="N69" s="33">
        <f t="shared" si="12"/>
        <v>825000</v>
      </c>
      <c r="O69" s="33">
        <f t="shared" si="12"/>
        <v>825000</v>
      </c>
      <c r="P69" s="33">
        <f t="shared" si="12"/>
        <v>412500</v>
      </c>
    </row>
    <row r="70" spans="1:16" s="13" customFormat="1" x14ac:dyDescent="0.25">
      <c r="A70" s="24" t="s">
        <v>58</v>
      </c>
      <c r="B70" s="41">
        <f>(B67+B68+B69)</f>
        <v>0</v>
      </c>
      <c r="C70" s="41">
        <f t="shared" ref="C70:P70" si="14">(C67+C68+C69)</f>
        <v>0</v>
      </c>
      <c r="D70" s="41">
        <f t="shared" si="14"/>
        <v>1943290.5</v>
      </c>
      <c r="E70" s="41">
        <f t="shared" si="14"/>
        <v>2446861.8448999999</v>
      </c>
      <c r="F70" s="41">
        <f t="shared" si="14"/>
        <v>4625484.8244500002</v>
      </c>
      <c r="G70" s="41">
        <f t="shared" si="14"/>
        <v>5339131.0545079997</v>
      </c>
      <c r="H70" s="41">
        <f t="shared" si="14"/>
        <v>4033606.7290597041</v>
      </c>
      <c r="I70" s="41">
        <f t="shared" si="14"/>
        <v>5446447.58870361</v>
      </c>
      <c r="J70" s="41">
        <f t="shared" si="14"/>
        <v>5500912.0645906478</v>
      </c>
      <c r="K70" s="41">
        <f t="shared" si="14"/>
        <v>4155829.0465569426</v>
      </c>
      <c r="L70" s="41">
        <f t="shared" si="14"/>
        <v>5378545.3474528054</v>
      </c>
      <c r="M70" s="41">
        <f t="shared" si="14"/>
        <v>4479247.0006623799</v>
      </c>
      <c r="N70" s="41">
        <f t="shared" si="14"/>
        <v>2537058.0584362489</v>
      </c>
      <c r="O70" s="41">
        <f t="shared" si="14"/>
        <v>1659689.2330751389</v>
      </c>
      <c r="P70" s="41">
        <f t="shared" si="14"/>
        <v>1198416.1254058904</v>
      </c>
    </row>
    <row r="71" spans="1:16" x14ac:dyDescent="0.25">
      <c r="A71" s="24"/>
      <c r="B71" s="44"/>
      <c r="C71" s="44"/>
      <c r="D71" s="44"/>
      <c r="E71" s="44"/>
      <c r="F71" s="44"/>
      <c r="G71" s="44"/>
      <c r="H71" s="44"/>
      <c r="I71" s="44"/>
      <c r="J71" s="44"/>
      <c r="K71" s="44"/>
    </row>
    <row r="72" spans="1:16" x14ac:dyDescent="0.25">
      <c r="A72" s="24" t="s">
        <v>24</v>
      </c>
    </row>
    <row r="73" spans="1:16" x14ac:dyDescent="0.25">
      <c r="A73" s="9" t="str">
        <f>A12</f>
        <v>Slated House Construction</v>
      </c>
      <c r="B73" s="35">
        <f t="shared" ref="B73:P77" si="15">B12</f>
        <v>0</v>
      </c>
      <c r="C73" s="35">
        <f t="shared" si="15"/>
        <v>280000</v>
      </c>
      <c r="D73" s="35">
        <f t="shared" si="15"/>
        <v>560000</v>
      </c>
      <c r="E73" s="35">
        <f t="shared" si="15"/>
        <v>560000</v>
      </c>
      <c r="F73" s="35">
        <f t="shared" si="15"/>
        <v>560000</v>
      </c>
      <c r="G73" s="35">
        <f t="shared" si="15"/>
        <v>280000</v>
      </c>
      <c r="H73" s="35">
        <f t="shared" si="15"/>
        <v>0</v>
      </c>
      <c r="I73" s="35">
        <f t="shared" si="15"/>
        <v>0</v>
      </c>
      <c r="J73" s="35">
        <f t="shared" si="15"/>
        <v>0</v>
      </c>
      <c r="K73" s="35">
        <f t="shared" si="15"/>
        <v>0</v>
      </c>
      <c r="L73" s="35">
        <f t="shared" si="15"/>
        <v>0</v>
      </c>
      <c r="M73" s="35">
        <f t="shared" si="15"/>
        <v>0</v>
      </c>
      <c r="N73" s="35">
        <f t="shared" si="15"/>
        <v>0</v>
      </c>
      <c r="O73" s="35">
        <f t="shared" si="15"/>
        <v>0</v>
      </c>
      <c r="P73" s="35">
        <f t="shared" si="15"/>
        <v>0</v>
      </c>
    </row>
    <row r="74" spans="1:16" x14ac:dyDescent="0.25">
      <c r="A74" s="9" t="str">
        <f t="shared" ref="A74:A77" si="16">A13</f>
        <v>Mother Goat Purchase</v>
      </c>
      <c r="B74" s="35">
        <f t="shared" si="15"/>
        <v>0</v>
      </c>
      <c r="C74" s="35">
        <f t="shared" si="15"/>
        <v>375000</v>
      </c>
      <c r="D74" s="35">
        <f t="shared" si="15"/>
        <v>750000</v>
      </c>
      <c r="E74" s="35">
        <f t="shared" si="15"/>
        <v>750000</v>
      </c>
      <c r="F74" s="35">
        <f t="shared" si="15"/>
        <v>750000</v>
      </c>
      <c r="G74" s="35">
        <f t="shared" si="15"/>
        <v>375000</v>
      </c>
      <c r="H74" s="35">
        <f t="shared" si="15"/>
        <v>0</v>
      </c>
      <c r="I74" s="35">
        <f t="shared" si="15"/>
        <v>0</v>
      </c>
      <c r="J74" s="35">
        <f t="shared" si="15"/>
        <v>0</v>
      </c>
      <c r="K74" s="35">
        <f t="shared" si="15"/>
        <v>0</v>
      </c>
      <c r="L74" s="35">
        <f t="shared" si="15"/>
        <v>0</v>
      </c>
      <c r="M74" s="35">
        <f t="shared" si="15"/>
        <v>0</v>
      </c>
      <c r="N74" s="35">
        <f t="shared" si="15"/>
        <v>0</v>
      </c>
      <c r="O74" s="35">
        <f t="shared" si="15"/>
        <v>0</v>
      </c>
      <c r="P74" s="35">
        <f t="shared" si="15"/>
        <v>0</v>
      </c>
    </row>
    <row r="75" spans="1:16" x14ac:dyDescent="0.25">
      <c r="A75" s="9" t="str">
        <f t="shared" si="16"/>
        <v>Maintenance Cost</v>
      </c>
      <c r="B75" s="35">
        <f t="shared" si="15"/>
        <v>0</v>
      </c>
      <c r="C75" s="35">
        <f t="shared" si="15"/>
        <v>0</v>
      </c>
      <c r="D75" s="35">
        <f t="shared" si="15"/>
        <v>90000</v>
      </c>
      <c r="E75" s="35">
        <f t="shared" si="15"/>
        <v>173250.00000000006</v>
      </c>
      <c r="F75" s="35">
        <f t="shared" si="15"/>
        <v>210000</v>
      </c>
      <c r="G75" s="35">
        <f t="shared" si="15"/>
        <v>240000</v>
      </c>
      <c r="H75" s="35">
        <f t="shared" si="15"/>
        <v>277200.00000000006</v>
      </c>
      <c r="I75" s="35">
        <f t="shared" si="15"/>
        <v>240000</v>
      </c>
      <c r="J75" s="35">
        <f t="shared" si="15"/>
        <v>240000</v>
      </c>
      <c r="K75" s="35">
        <f t="shared" si="15"/>
        <v>277200.00000000006</v>
      </c>
      <c r="L75" s="35">
        <f t="shared" si="15"/>
        <v>210000</v>
      </c>
      <c r="M75" s="35">
        <f t="shared" si="15"/>
        <v>150000</v>
      </c>
      <c r="N75" s="35">
        <f t="shared" si="15"/>
        <v>103950.00000000003</v>
      </c>
      <c r="O75" s="35">
        <f t="shared" si="15"/>
        <v>30000</v>
      </c>
      <c r="P75" s="35">
        <f t="shared" si="15"/>
        <v>30000</v>
      </c>
    </row>
    <row r="76" spans="1:16" x14ac:dyDescent="0.25">
      <c r="A76" s="9" t="str">
        <f t="shared" si="16"/>
        <v>Medicine</v>
      </c>
      <c r="B76" s="35">
        <f t="shared" si="15"/>
        <v>0</v>
      </c>
      <c r="C76" s="35">
        <f t="shared" si="15"/>
        <v>50000</v>
      </c>
      <c r="D76" s="35">
        <f t="shared" si="15"/>
        <v>150000</v>
      </c>
      <c r="E76" s="35">
        <f t="shared" si="15"/>
        <v>291500.00000000012</v>
      </c>
      <c r="F76" s="35">
        <f t="shared" si="15"/>
        <v>350000</v>
      </c>
      <c r="G76" s="35">
        <f t="shared" si="15"/>
        <v>400000</v>
      </c>
      <c r="H76" s="35">
        <f t="shared" si="15"/>
        <v>466400.00000000012</v>
      </c>
      <c r="I76" s="35">
        <f t="shared" si="15"/>
        <v>400000</v>
      </c>
      <c r="J76" s="35">
        <f t="shared" si="15"/>
        <v>400000</v>
      </c>
      <c r="K76" s="35">
        <f t="shared" si="15"/>
        <v>466400.00000000012</v>
      </c>
      <c r="L76" s="35">
        <f t="shared" si="15"/>
        <v>350000</v>
      </c>
      <c r="M76" s="35">
        <f t="shared" si="15"/>
        <v>250000</v>
      </c>
      <c r="N76" s="35">
        <f t="shared" si="15"/>
        <v>174900.00000000006</v>
      </c>
      <c r="O76" s="35">
        <f t="shared" si="15"/>
        <v>50000</v>
      </c>
      <c r="P76" s="35">
        <f t="shared" si="15"/>
        <v>50000</v>
      </c>
    </row>
    <row r="77" spans="1:16" x14ac:dyDescent="0.25">
      <c r="A77" s="9" t="str">
        <f t="shared" si="16"/>
        <v>Labor</v>
      </c>
      <c r="B77" s="35">
        <f>B16</f>
        <v>0</v>
      </c>
      <c r="C77" s="35">
        <f t="shared" si="15"/>
        <v>335825</v>
      </c>
      <c r="D77" s="35">
        <f t="shared" si="15"/>
        <v>1017549.75</v>
      </c>
      <c r="E77" s="35">
        <f t="shared" si="15"/>
        <v>1712875.4124999999</v>
      </c>
      <c r="F77" s="35">
        <f t="shared" si="15"/>
        <v>2422005.8332750001</v>
      </c>
      <c r="G77" s="35">
        <f t="shared" si="15"/>
        <v>2795686.7332659997</v>
      </c>
      <c r="H77" s="35">
        <f t="shared" si="15"/>
        <v>2823643.6005986603</v>
      </c>
      <c r="I77" s="35">
        <f t="shared" si="15"/>
        <v>2851880.0366046461</v>
      </c>
      <c r="J77" s="35">
        <f t="shared" si="15"/>
        <v>2880398.8369706934</v>
      </c>
      <c r="K77" s="35">
        <f t="shared" si="15"/>
        <v>2909202.8253404004</v>
      </c>
      <c r="L77" s="35">
        <f t="shared" si="15"/>
        <v>2571007.9968945789</v>
      </c>
      <c r="M77" s="35">
        <f t="shared" si="15"/>
        <v>1854798.6263310888</v>
      </c>
      <c r="N77" s="35">
        <f t="shared" si="15"/>
        <v>1124007.9675566398</v>
      </c>
      <c r="O77" s="35">
        <f t="shared" si="15"/>
        <v>378416.01574406878</v>
      </c>
      <c r="P77" s="35">
        <f t="shared" si="15"/>
        <v>382200.17590150947</v>
      </c>
    </row>
    <row r="78" spans="1:16" s="54" customFormat="1" x14ac:dyDescent="0.25">
      <c r="A78" s="56" t="s">
        <v>156</v>
      </c>
      <c r="B78" s="53">
        <f>B17*Assumption_Goat!$C26</f>
        <v>0</v>
      </c>
      <c r="C78" s="53">
        <f>C17*Assumption_Goat!$C26</f>
        <v>0</v>
      </c>
      <c r="D78" s="53">
        <f>D17*Assumption_Goat!$C26</f>
        <v>0</v>
      </c>
      <c r="E78" s="53">
        <f>E17*Assumption_Goat!$C26</f>
        <v>0</v>
      </c>
      <c r="F78" s="53">
        <f>F17*Assumption_Goat!$C26</f>
        <v>0</v>
      </c>
      <c r="G78" s="53">
        <f>G17*Assumption_Goat!$C26</f>
        <v>0</v>
      </c>
      <c r="H78" s="53">
        <f>H17*Assumption_Goat!$C26</f>
        <v>0</v>
      </c>
      <c r="I78" s="53">
        <f>I17*Assumption_Goat!$C26</f>
        <v>0</v>
      </c>
      <c r="J78" s="53">
        <f>J17*Assumption_Goat!$C26</f>
        <v>0</v>
      </c>
      <c r="K78" s="53">
        <f>K17*Assumption_Goat!$C26</f>
        <v>0</v>
      </c>
      <c r="L78" s="53">
        <f>L17*Assumption_Goat!$C26</f>
        <v>0</v>
      </c>
      <c r="M78" s="53">
        <f>M17*Assumption_Goat!$C26</f>
        <v>0</v>
      </c>
      <c r="N78" s="53">
        <f>N17*Assumption_Goat!$C26</f>
        <v>0</v>
      </c>
      <c r="O78" s="53">
        <f>O17*Assumption_Goat!$C26</f>
        <v>0</v>
      </c>
      <c r="P78" s="53">
        <f>P17*Assumption_Goat!$C26</f>
        <v>0</v>
      </c>
    </row>
    <row r="79" spans="1:16" x14ac:dyDescent="0.25">
      <c r="A79" s="127" t="s">
        <v>59</v>
      </c>
      <c r="B79" s="40">
        <f t="shared" ref="B79:P79" si="17">SUM(B73:B78)</f>
        <v>0</v>
      </c>
      <c r="C79" s="40">
        <f t="shared" si="17"/>
        <v>1040825</v>
      </c>
      <c r="D79" s="40">
        <f t="shared" si="17"/>
        <v>2567549.75</v>
      </c>
      <c r="E79" s="40">
        <f t="shared" si="17"/>
        <v>3487625.4124999996</v>
      </c>
      <c r="F79" s="40">
        <f t="shared" si="17"/>
        <v>4292005.8332749996</v>
      </c>
      <c r="G79" s="40">
        <f t="shared" si="17"/>
        <v>4090686.7332659997</v>
      </c>
      <c r="H79" s="40">
        <f t="shared" si="17"/>
        <v>3567243.6005986603</v>
      </c>
      <c r="I79" s="40">
        <f t="shared" si="17"/>
        <v>3491880.0366046461</v>
      </c>
      <c r="J79" s="40">
        <f t="shared" si="17"/>
        <v>3520398.8369706934</v>
      </c>
      <c r="K79" s="40">
        <f t="shared" si="17"/>
        <v>3652802.8253404004</v>
      </c>
      <c r="L79" s="40">
        <f t="shared" si="17"/>
        <v>3131007.9968945789</v>
      </c>
      <c r="M79" s="40">
        <f t="shared" si="17"/>
        <v>2254798.6263310891</v>
      </c>
      <c r="N79" s="40">
        <f t="shared" si="17"/>
        <v>1402857.96755664</v>
      </c>
      <c r="O79" s="40">
        <f t="shared" si="17"/>
        <v>458416.01574406878</v>
      </c>
      <c r="P79" s="40">
        <f t="shared" si="17"/>
        <v>462200.17590150947</v>
      </c>
    </row>
    <row r="80" spans="1:16" x14ac:dyDescent="0.25">
      <c r="B80" s="34"/>
      <c r="C80" s="34"/>
      <c r="D80" s="34"/>
      <c r="E80" s="34"/>
      <c r="F80" s="34"/>
      <c r="G80" s="34"/>
      <c r="H80" s="34"/>
      <c r="I80" s="34"/>
      <c r="J80" s="34"/>
      <c r="K80" s="34"/>
      <c r="L80" s="34"/>
    </row>
    <row r="81" spans="1:16" x14ac:dyDescent="0.25">
      <c r="A81" s="24" t="s">
        <v>60</v>
      </c>
      <c r="B81" s="36">
        <f t="shared" ref="B81:P81" si="18">B70-B79</f>
        <v>0</v>
      </c>
      <c r="C81" s="36">
        <f t="shared" si="18"/>
        <v>-1040825</v>
      </c>
      <c r="D81" s="36">
        <f t="shared" si="18"/>
        <v>-624259.25</v>
      </c>
      <c r="E81" s="36">
        <f t="shared" si="18"/>
        <v>-1040763.5675999997</v>
      </c>
      <c r="F81" s="36">
        <f t="shared" si="18"/>
        <v>333478.99117500056</v>
      </c>
      <c r="G81" s="36">
        <f t="shared" si="18"/>
        <v>1248444.321242</v>
      </c>
      <c r="H81" s="36">
        <f t="shared" si="18"/>
        <v>466363.12846104382</v>
      </c>
      <c r="I81" s="36">
        <f t="shared" si="18"/>
        <v>1954567.5520989639</v>
      </c>
      <c r="J81" s="36">
        <f t="shared" si="18"/>
        <v>1980513.2276199544</v>
      </c>
      <c r="K81" s="36">
        <f t="shared" si="18"/>
        <v>503026.22121654218</v>
      </c>
      <c r="L81" s="36">
        <f t="shared" si="18"/>
        <v>2247537.3505582265</v>
      </c>
      <c r="M81" s="36">
        <f t="shared" si="18"/>
        <v>2224448.3743312908</v>
      </c>
      <c r="N81" s="36">
        <f t="shared" si="18"/>
        <v>1134200.0908796089</v>
      </c>
      <c r="O81" s="36">
        <f t="shared" si="18"/>
        <v>1201273.21733107</v>
      </c>
      <c r="P81" s="36">
        <f t="shared" si="18"/>
        <v>736215.94950438093</v>
      </c>
    </row>
    <row r="82" spans="1:16" x14ac:dyDescent="0.25">
      <c r="B82" s="34"/>
      <c r="C82" s="34"/>
      <c r="D82" s="34"/>
      <c r="E82" s="34"/>
      <c r="F82" s="34"/>
      <c r="G82" s="34"/>
      <c r="H82" s="34"/>
      <c r="I82" s="34"/>
      <c r="J82" s="34"/>
      <c r="K82" s="34"/>
      <c r="L82" s="34"/>
    </row>
    <row r="83" spans="1:16" s="13" customFormat="1" x14ac:dyDescent="0.25">
      <c r="A83" s="24" t="s">
        <v>61</v>
      </c>
      <c r="B83" s="42">
        <f>B81/(1+Assumption_Hatchery!$C76)^B65</f>
        <v>0</v>
      </c>
      <c r="C83" s="42">
        <f>C81/(1+Assumption_Hatchery!$C76)^C65</f>
        <v>-954885.32110091741</v>
      </c>
      <c r="D83" s="42">
        <f>D81/(1+Assumption_Hatchery!$C76)^D65</f>
        <v>-525426.52133658773</v>
      </c>
      <c r="E83" s="42">
        <f>E81/(1+Assumption_Hatchery!$C76)^E65</f>
        <v>-803660.4335501364</v>
      </c>
      <c r="F83" s="42">
        <f>F81/(1+Assumption_Hatchery!$C76)^F65</f>
        <v>236244.92470895854</v>
      </c>
      <c r="G83" s="42">
        <f>G81/(1+Assumption_Hatchery!$C76)^G65</f>
        <v>811403.14842110977</v>
      </c>
      <c r="H83" s="42">
        <f>H81/(1+Assumption_Hatchery!$C76)^H65</f>
        <v>278077.0959624949</v>
      </c>
      <c r="I83" s="42">
        <f>I81/(1+Assumption_Hatchery!$C76)^I65</f>
        <v>1069215.3848577079</v>
      </c>
      <c r="J83" s="42">
        <f>J81/(1+Assumption_Hatchery!$C76)^J65</f>
        <v>993952.80538833269</v>
      </c>
      <c r="K83" s="42">
        <f>K81/(1+Assumption_Hatchery!$C76)^K65</f>
        <v>231607.24607320814</v>
      </c>
      <c r="L83" s="42">
        <f>L81/(1+Assumption_Hatchery!$C76)^L65</f>
        <v>949384.06577749935</v>
      </c>
      <c r="M83" s="42">
        <f>M81/(1+Assumption_Hatchery!$C76)^M65</f>
        <v>862046.81898998539</v>
      </c>
      <c r="N83" s="42">
        <f>N81/(1+Assumption_Hatchery!$C76)^N65</f>
        <v>403247.51752345706</v>
      </c>
      <c r="O83" s="42">
        <f>O81/(1+Assumption_Hatchery!$C76)^O65</f>
        <v>391829.67256717611</v>
      </c>
      <c r="P83" s="42">
        <f>P81/(1+Assumption_Hatchery!$C76)^P65</f>
        <v>220310.02038884684</v>
      </c>
    </row>
    <row r="84" spans="1:16" x14ac:dyDescent="0.25">
      <c r="B84" s="34"/>
      <c r="C84" s="34"/>
      <c r="D84" s="34"/>
      <c r="E84" s="34"/>
      <c r="F84" s="34"/>
      <c r="G84" s="34"/>
      <c r="H84" s="34"/>
      <c r="I84" s="34"/>
      <c r="J84" s="34"/>
      <c r="K84" s="34"/>
      <c r="L84" s="34"/>
    </row>
    <row r="85" spans="1:16" s="13" customFormat="1" x14ac:dyDescent="0.25">
      <c r="A85" s="26" t="s">
        <v>62</v>
      </c>
      <c r="B85" s="37">
        <f>NPV(Assumption_Hatchery!C76,C81:P81)+B81</f>
        <v>4163346.4246711349</v>
      </c>
      <c r="C85" s="43"/>
      <c r="D85" s="43"/>
      <c r="E85" s="43"/>
      <c r="F85" s="43"/>
      <c r="G85" s="43"/>
      <c r="H85" s="43"/>
      <c r="I85" s="43"/>
      <c r="J85" s="43"/>
      <c r="K85" s="43"/>
      <c r="L85" s="43"/>
    </row>
    <row r="87" spans="1:16" s="13" customFormat="1" x14ac:dyDescent="0.25">
      <c r="A87" s="26" t="s">
        <v>25</v>
      </c>
      <c r="B87" s="38">
        <f>IRR(B81:P81)</f>
        <v>0.28616118745334762</v>
      </c>
      <c r="C87" s="4"/>
      <c r="D87" s="4"/>
      <c r="E87" s="4"/>
      <c r="F87" s="4"/>
      <c r="G87" s="4"/>
      <c r="H87" s="4"/>
      <c r="I87" s="4"/>
      <c r="J87" s="4"/>
      <c r="K87" s="4"/>
      <c r="L87" s="4"/>
    </row>
    <row r="89" spans="1:16" s="13" customFormat="1" x14ac:dyDescent="0.25">
      <c r="A89" s="27" t="s">
        <v>63</v>
      </c>
      <c r="B89" s="39">
        <f>B83</f>
        <v>0</v>
      </c>
      <c r="C89" s="39">
        <f>B89+C83</f>
        <v>-954885.32110091741</v>
      </c>
      <c r="D89" s="39">
        <f t="shared" ref="D89:P89" si="19">C89+D83</f>
        <v>-1480311.8424375053</v>
      </c>
      <c r="E89" s="39">
        <f t="shared" si="19"/>
        <v>-2283972.2759876419</v>
      </c>
      <c r="F89" s="39">
        <f t="shared" si="19"/>
        <v>-2047727.3512786834</v>
      </c>
      <c r="G89" s="39">
        <f t="shared" si="19"/>
        <v>-1236324.2028575735</v>
      </c>
      <c r="H89" s="39">
        <f t="shared" si="19"/>
        <v>-958247.10689507867</v>
      </c>
      <c r="I89" s="39">
        <f t="shared" si="19"/>
        <v>110968.27796262922</v>
      </c>
      <c r="J89" s="39">
        <f t="shared" si="19"/>
        <v>1104921.083350962</v>
      </c>
      <c r="K89" s="39">
        <f t="shared" si="19"/>
        <v>1336528.3294241701</v>
      </c>
      <c r="L89" s="39">
        <f t="shared" si="19"/>
        <v>2285912.3952016695</v>
      </c>
      <c r="M89" s="39">
        <f t="shared" si="19"/>
        <v>3147959.2141916547</v>
      </c>
      <c r="N89" s="39">
        <f t="shared" si="19"/>
        <v>3551206.731715112</v>
      </c>
      <c r="O89" s="39">
        <f t="shared" si="19"/>
        <v>3943036.4042822882</v>
      </c>
      <c r="P89" s="39">
        <f t="shared" si="19"/>
        <v>4163346.4246711349</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3:AD147"/>
  <sheetViews>
    <sheetView showGridLines="0" topLeftCell="A113" zoomScale="70" zoomScaleNormal="70" workbookViewId="0">
      <selection activeCell="S136" sqref="S136"/>
    </sheetView>
  </sheetViews>
  <sheetFormatPr defaultRowHeight="15" x14ac:dyDescent="0.25"/>
  <cols>
    <col min="2" max="2" width="50" customWidth="1"/>
    <col min="3" max="3" width="11.85546875" customWidth="1"/>
    <col min="4" max="4" width="19.5703125" customWidth="1"/>
    <col min="5" max="5" width="14.140625" customWidth="1"/>
    <col min="6" max="6" width="13" customWidth="1"/>
    <col min="7" max="7" width="12.7109375" customWidth="1"/>
    <col min="8" max="8" width="12.85546875" customWidth="1"/>
    <col min="9" max="9" width="14.140625" customWidth="1"/>
    <col min="10" max="10" width="12.5703125" customWidth="1"/>
    <col min="11" max="11" width="11.7109375" customWidth="1"/>
    <col min="12" max="12" width="13.85546875" customWidth="1"/>
    <col min="13" max="13" width="12.140625" customWidth="1"/>
    <col min="14" max="14" width="15.28515625" customWidth="1"/>
    <col min="15" max="15" width="12.28515625" customWidth="1"/>
    <col min="16" max="16" width="13.7109375" customWidth="1"/>
    <col min="17" max="17" width="13.28515625" customWidth="1"/>
    <col min="18" max="18" width="13.42578125" customWidth="1"/>
    <col min="19" max="20" width="11.7109375" customWidth="1"/>
    <col min="21" max="21" width="10.7109375" customWidth="1"/>
    <col min="22" max="22" width="12.140625" customWidth="1"/>
    <col min="23" max="23" width="14.85546875" customWidth="1"/>
    <col min="24" max="24" width="16.42578125" customWidth="1"/>
    <col min="25" max="25" width="13.7109375" customWidth="1"/>
    <col min="26" max="27" width="11.42578125" customWidth="1"/>
    <col min="28" max="28" width="15.28515625" customWidth="1"/>
    <col min="29" max="29" width="15.7109375" customWidth="1"/>
  </cols>
  <sheetData>
    <row r="3" spans="1:29" x14ac:dyDescent="0.25">
      <c r="D3" s="114"/>
      <c r="E3" s="114"/>
      <c r="F3" s="114"/>
      <c r="G3" s="114"/>
      <c r="H3" s="114"/>
      <c r="I3" s="114"/>
      <c r="J3" s="114"/>
      <c r="K3" s="114"/>
      <c r="L3" s="114"/>
      <c r="M3" s="114"/>
      <c r="N3" s="114"/>
      <c r="O3" s="114"/>
      <c r="P3" s="114"/>
      <c r="Q3" s="114"/>
      <c r="R3" s="114"/>
      <c r="S3" s="114"/>
      <c r="T3" s="114"/>
      <c r="U3" s="114"/>
      <c r="V3" s="114"/>
      <c r="W3" s="114"/>
      <c r="X3" s="114"/>
      <c r="Y3" s="114"/>
      <c r="Z3" s="114"/>
      <c r="AA3" s="114"/>
      <c r="AB3" s="114"/>
    </row>
    <row r="4" spans="1:29" x14ac:dyDescent="0.25">
      <c r="A4" s="70">
        <v>1</v>
      </c>
      <c r="B4" s="47" t="s">
        <v>224</v>
      </c>
    </row>
    <row r="6" spans="1:29" x14ac:dyDescent="0.25">
      <c r="B6" s="73" t="s">
        <v>235</v>
      </c>
      <c r="C6" s="75">
        <f>SUM(D9:S9)</f>
        <v>40000</v>
      </c>
      <c r="D6" t="s">
        <v>125</v>
      </c>
    </row>
    <row r="8" spans="1:29" x14ac:dyDescent="0.25">
      <c r="C8" s="8" t="s">
        <v>22</v>
      </c>
      <c r="D8" s="16">
        <v>0</v>
      </c>
      <c r="E8" s="16">
        <v>1</v>
      </c>
      <c r="F8" s="16">
        <v>2</v>
      </c>
      <c r="G8" s="16">
        <v>3</v>
      </c>
      <c r="H8" s="16">
        <v>4</v>
      </c>
      <c r="I8" s="16">
        <v>5</v>
      </c>
      <c r="J8" s="16">
        <v>6</v>
      </c>
      <c r="K8" s="16">
        <v>7</v>
      </c>
      <c r="L8" s="16">
        <v>8</v>
      </c>
      <c r="M8" s="16">
        <v>9</v>
      </c>
      <c r="N8" s="57" t="s">
        <v>133</v>
      </c>
      <c r="O8" s="66"/>
      <c r="P8" s="66"/>
      <c r="Q8" s="66"/>
      <c r="R8" s="66"/>
      <c r="S8" s="66"/>
      <c r="T8" s="66"/>
      <c r="U8" s="66"/>
      <c r="V8" s="66"/>
      <c r="W8" s="66"/>
      <c r="X8" s="66"/>
      <c r="Y8" s="66"/>
      <c r="Z8" s="66"/>
      <c r="AA8" s="66"/>
      <c r="AB8" s="66"/>
    </row>
    <row r="9" spans="1:29" x14ac:dyDescent="0.25">
      <c r="B9" s="73" t="s">
        <v>236</v>
      </c>
      <c r="C9" s="51"/>
      <c r="D9" s="107">
        <v>0</v>
      </c>
      <c r="E9" s="107">
        <v>3000</v>
      </c>
      <c r="F9" s="107">
        <v>5000</v>
      </c>
      <c r="G9" s="107">
        <v>5000</v>
      </c>
      <c r="H9" s="107">
        <v>5000</v>
      </c>
      <c r="I9" s="107">
        <v>2000</v>
      </c>
      <c r="J9" s="107">
        <v>0</v>
      </c>
      <c r="K9" s="107">
        <v>0</v>
      </c>
      <c r="L9" s="107">
        <v>0</v>
      </c>
      <c r="M9" s="214">
        <v>0</v>
      </c>
      <c r="N9" s="57">
        <f>SUM(D9:M9)</f>
        <v>20000</v>
      </c>
      <c r="O9" s="84"/>
      <c r="P9" s="84"/>
      <c r="Q9" s="84"/>
      <c r="R9" s="84"/>
      <c r="S9" s="84"/>
      <c r="T9" s="84"/>
      <c r="U9" s="84"/>
      <c r="V9" s="84"/>
      <c r="W9" s="84"/>
      <c r="X9" s="84"/>
      <c r="Y9" s="84"/>
      <c r="Z9" s="84"/>
      <c r="AA9" s="84"/>
      <c r="AB9" s="84"/>
    </row>
    <row r="10" spans="1:29" x14ac:dyDescent="0.25">
      <c r="B10" s="73" t="s">
        <v>237</v>
      </c>
      <c r="C10" s="51"/>
      <c r="D10" s="107"/>
      <c r="E10" s="107"/>
      <c r="F10" s="107"/>
      <c r="G10" s="107"/>
      <c r="H10" s="107"/>
      <c r="I10" s="107">
        <f>E9</f>
        <v>3000</v>
      </c>
      <c r="J10" s="107">
        <f t="shared" ref="J10:M10" si="0">F9</f>
        <v>5000</v>
      </c>
      <c r="K10" s="107">
        <f t="shared" si="0"/>
        <v>5000</v>
      </c>
      <c r="L10" s="107">
        <f t="shared" si="0"/>
        <v>5000</v>
      </c>
      <c r="M10" s="214">
        <f t="shared" si="0"/>
        <v>2000</v>
      </c>
      <c r="N10" s="57">
        <f t="shared" ref="N10" si="1">SUM(D10:M10)</f>
        <v>20000</v>
      </c>
      <c r="O10" s="84"/>
      <c r="P10" s="84"/>
      <c r="Q10" s="84"/>
      <c r="R10" s="84"/>
      <c r="S10" s="84"/>
      <c r="T10" s="84"/>
      <c r="U10" s="84"/>
      <c r="V10" s="84"/>
      <c r="W10" s="84"/>
      <c r="X10" s="84"/>
      <c r="Y10" s="84"/>
      <c r="Z10" s="84"/>
      <c r="AA10" s="84"/>
      <c r="AB10" s="84"/>
    </row>
    <row r="11" spans="1:29" ht="19.149999999999999" customHeight="1" x14ac:dyDescent="0.25">
      <c r="B11" s="73" t="s">
        <v>238</v>
      </c>
      <c r="C11" s="51"/>
      <c r="D11" s="70"/>
      <c r="E11" s="70">
        <f>E9</f>
        <v>3000</v>
      </c>
      <c r="F11" s="70">
        <f t="shared" ref="F11:L11" si="2">F9+E11-F10</f>
        <v>8000</v>
      </c>
      <c r="G11" s="70">
        <f t="shared" si="2"/>
        <v>13000</v>
      </c>
      <c r="H11" s="70">
        <f t="shared" si="2"/>
        <v>18000</v>
      </c>
      <c r="I11" s="70">
        <f t="shared" si="2"/>
        <v>17000</v>
      </c>
      <c r="J11" s="70">
        <f t="shared" si="2"/>
        <v>12000</v>
      </c>
      <c r="K11" s="70">
        <f t="shared" si="2"/>
        <v>7000</v>
      </c>
      <c r="L11" s="70">
        <f t="shared" si="2"/>
        <v>2000</v>
      </c>
      <c r="M11" s="206">
        <f>M10</f>
        <v>2000</v>
      </c>
      <c r="N11" s="57"/>
      <c r="O11" s="84"/>
      <c r="P11" s="84"/>
      <c r="Q11" s="84"/>
      <c r="R11" s="84"/>
      <c r="S11" s="84"/>
      <c r="T11" s="84"/>
      <c r="U11" s="84"/>
      <c r="V11" s="84"/>
      <c r="W11" s="84"/>
      <c r="X11" s="84"/>
      <c r="Y11" s="84"/>
      <c r="Z11" s="84"/>
      <c r="AA11" s="84"/>
      <c r="AB11" s="84"/>
    </row>
    <row r="12" spans="1:29" ht="19.149999999999999" customHeight="1" x14ac:dyDescent="0.25">
      <c r="B12" s="67"/>
      <c r="O12" s="114"/>
      <c r="P12" s="114"/>
      <c r="Q12" s="114"/>
      <c r="R12" s="114"/>
      <c r="S12" s="114"/>
      <c r="T12" s="114"/>
      <c r="U12" s="114"/>
      <c r="V12" s="114"/>
      <c r="W12" s="114"/>
      <c r="X12" s="114"/>
      <c r="Y12" s="114"/>
      <c r="Z12" s="114"/>
      <c r="AA12" s="114"/>
      <c r="AB12" s="114"/>
      <c r="AC12" s="92"/>
    </row>
    <row r="13" spans="1:29" ht="19.149999999999999" customHeight="1" x14ac:dyDescent="0.25">
      <c r="B13" s="105" t="s">
        <v>137</v>
      </c>
      <c r="AC13" s="92"/>
    </row>
    <row r="14" spans="1:29" ht="19.149999999999999" customHeight="1" x14ac:dyDescent="0.25">
      <c r="B14" t="s">
        <v>239</v>
      </c>
      <c r="AC14" s="92"/>
    </row>
    <row r="15" spans="1:29" ht="19.149999999999999" customHeight="1" x14ac:dyDescent="0.25">
      <c r="B15" s="263" t="s">
        <v>256</v>
      </c>
      <c r="C15" s="263"/>
      <c r="D15" s="263"/>
      <c r="E15" s="263"/>
      <c r="F15" s="263"/>
      <c r="G15" s="263"/>
      <c r="H15" s="263"/>
      <c r="AC15" s="92"/>
    </row>
    <row r="16" spans="1:29" ht="19.149999999999999" customHeight="1" x14ac:dyDescent="0.25">
      <c r="B16" s="263" t="s">
        <v>240</v>
      </c>
      <c r="C16" s="263"/>
      <c r="D16" s="263"/>
      <c r="E16" s="263"/>
      <c r="F16" s="263"/>
      <c r="G16" s="263"/>
      <c r="H16" s="263"/>
      <c r="I16" s="263"/>
      <c r="J16" s="263"/>
      <c r="AC16" s="92"/>
    </row>
    <row r="18" spans="1:12" x14ac:dyDescent="0.25">
      <c r="A18" s="70">
        <v>2</v>
      </c>
      <c r="B18" t="s">
        <v>146</v>
      </c>
      <c r="C18" s="107">
        <v>1</v>
      </c>
      <c r="D18" t="s">
        <v>90</v>
      </c>
    </row>
    <row r="19" spans="1:12" x14ac:dyDescent="0.25">
      <c r="B19" t="s">
        <v>91</v>
      </c>
      <c r="C19" s="107">
        <v>0</v>
      </c>
      <c r="D19" t="s">
        <v>90</v>
      </c>
    </row>
    <row r="20" spans="1:12" x14ac:dyDescent="0.25">
      <c r="B20" t="s">
        <v>147</v>
      </c>
      <c r="C20" s="75">
        <f>C18-C19</f>
        <v>1</v>
      </c>
    </row>
    <row r="21" spans="1:12" x14ac:dyDescent="0.25">
      <c r="C21" s="84"/>
    </row>
    <row r="22" spans="1:12" x14ac:dyDescent="0.25">
      <c r="B22" t="s">
        <v>251</v>
      </c>
      <c r="D22" t="s">
        <v>252</v>
      </c>
    </row>
    <row r="23" spans="1:12" x14ac:dyDescent="0.25">
      <c r="B23" s="226">
        <v>1</v>
      </c>
      <c r="C23" s="75">
        <f>B23*C26</f>
        <v>50</v>
      </c>
      <c r="D23" t="s">
        <v>12</v>
      </c>
    </row>
    <row r="24" spans="1:12" x14ac:dyDescent="0.25">
      <c r="B24" s="226">
        <v>0.5</v>
      </c>
      <c r="C24" s="75">
        <f>B24*C26</f>
        <v>25</v>
      </c>
    </row>
    <row r="26" spans="1:12" x14ac:dyDescent="0.25">
      <c r="B26" t="s">
        <v>165</v>
      </c>
      <c r="C26" s="107">
        <v>50</v>
      </c>
      <c r="D26" t="s">
        <v>12</v>
      </c>
      <c r="E26" t="s">
        <v>220</v>
      </c>
    </row>
    <row r="27" spans="1:12" x14ac:dyDescent="0.25">
      <c r="C27" s="84"/>
    </row>
    <row r="28" spans="1:12" x14ac:dyDescent="0.25">
      <c r="C28" s="84"/>
    </row>
    <row r="29" spans="1:12" ht="17.45" customHeight="1" x14ac:dyDescent="0.25">
      <c r="C29" s="130" t="s">
        <v>21</v>
      </c>
      <c r="E29" s="68"/>
      <c r="F29" s="68"/>
      <c r="G29" s="68"/>
      <c r="H29" s="68"/>
      <c r="I29" s="68"/>
      <c r="J29" s="68"/>
      <c r="K29" s="68"/>
      <c r="L29" s="68"/>
    </row>
    <row r="30" spans="1:12" ht="17.45" customHeight="1" x14ac:dyDescent="0.25">
      <c r="B30" s="6" t="s">
        <v>111</v>
      </c>
      <c r="C30" s="111">
        <v>0</v>
      </c>
      <c r="E30" s="101"/>
      <c r="F30" s="101"/>
      <c r="G30" s="101"/>
      <c r="H30" s="101"/>
      <c r="I30" s="101"/>
      <c r="J30" s="101"/>
      <c r="K30" s="101"/>
      <c r="L30" s="101"/>
    </row>
    <row r="32" spans="1:12" x14ac:dyDescent="0.25">
      <c r="C32" s="78"/>
    </row>
    <row r="33" spans="2:29" x14ac:dyDescent="0.25">
      <c r="C33" s="78"/>
    </row>
    <row r="34" spans="2:29" x14ac:dyDescent="0.25">
      <c r="C34" s="78"/>
    </row>
    <row r="35" spans="2:29" x14ac:dyDescent="0.25">
      <c r="B35" s="108" t="s">
        <v>106</v>
      </c>
      <c r="C35" s="8" t="s">
        <v>22</v>
      </c>
      <c r="D35" s="16">
        <v>0</v>
      </c>
      <c r="E35" s="16">
        <v>1</v>
      </c>
      <c r="F35" s="16">
        <v>2</v>
      </c>
      <c r="G35" s="16">
        <v>3</v>
      </c>
      <c r="H35" s="16">
        <v>4</v>
      </c>
      <c r="I35" s="16">
        <v>5</v>
      </c>
      <c r="J35" s="16">
        <v>6</v>
      </c>
      <c r="K35" s="16">
        <v>7</v>
      </c>
      <c r="L35" s="16">
        <v>8</v>
      </c>
      <c r="M35" s="16">
        <v>9</v>
      </c>
      <c r="N35" s="70" t="s">
        <v>133</v>
      </c>
      <c r="O35" s="16"/>
      <c r="P35" s="16"/>
      <c r="Q35" s="16"/>
      <c r="R35" s="16"/>
      <c r="S35" s="16"/>
      <c r="T35" s="16"/>
      <c r="U35" s="16"/>
      <c r="V35" s="16"/>
      <c r="W35" s="16"/>
      <c r="X35" s="16"/>
      <c r="Y35" s="16"/>
      <c r="Z35" s="16"/>
      <c r="AA35" s="16"/>
      <c r="AB35" s="16"/>
    </row>
    <row r="36" spans="2:29" x14ac:dyDescent="0.25">
      <c r="B36" s="51" t="s">
        <v>95</v>
      </c>
      <c r="C36" s="51"/>
      <c r="D36" s="82"/>
      <c r="E36" s="82">
        <f>D41</f>
        <v>0</v>
      </c>
      <c r="F36" s="82">
        <f t="shared" ref="F36:M36" si="3">E41</f>
        <v>0</v>
      </c>
      <c r="G36" s="82">
        <f t="shared" si="3"/>
        <v>0</v>
      </c>
      <c r="H36" s="82">
        <f t="shared" si="3"/>
        <v>0</v>
      </c>
      <c r="I36" s="82">
        <f t="shared" si="3"/>
        <v>0</v>
      </c>
      <c r="J36" s="112">
        <f t="shared" si="3"/>
        <v>0</v>
      </c>
      <c r="K36" s="82">
        <f t="shared" si="3"/>
        <v>0</v>
      </c>
      <c r="L36" s="82">
        <f t="shared" si="3"/>
        <v>0</v>
      </c>
      <c r="M36" s="188">
        <f t="shared" si="3"/>
        <v>0</v>
      </c>
      <c r="N36" s="51"/>
      <c r="O36" s="80"/>
      <c r="P36" s="80"/>
      <c r="Q36" s="80"/>
      <c r="R36" s="80"/>
      <c r="S36" s="80"/>
      <c r="T36" s="80"/>
      <c r="U36" s="80"/>
      <c r="V36" s="80"/>
      <c r="W36" s="80"/>
      <c r="X36" s="80"/>
      <c r="Y36" s="80"/>
      <c r="Z36" s="80"/>
      <c r="AA36" s="80"/>
      <c r="AB36" s="80"/>
      <c r="AC36" s="98"/>
    </row>
    <row r="37" spans="2:29" x14ac:dyDescent="0.25">
      <c r="B37" s="74" t="s">
        <v>96</v>
      </c>
      <c r="C37" s="51"/>
      <c r="D37" s="81">
        <f t="shared" ref="D37:M37" si="4">$C23*D9</f>
        <v>0</v>
      </c>
      <c r="E37" s="81">
        <f t="shared" si="4"/>
        <v>150000</v>
      </c>
      <c r="F37" s="81">
        <f t="shared" si="4"/>
        <v>250000</v>
      </c>
      <c r="G37" s="81">
        <f t="shared" si="4"/>
        <v>250000</v>
      </c>
      <c r="H37" s="81">
        <f t="shared" si="4"/>
        <v>250000</v>
      </c>
      <c r="I37" s="81">
        <f t="shared" si="4"/>
        <v>100000</v>
      </c>
      <c r="J37" s="81">
        <f t="shared" si="4"/>
        <v>0</v>
      </c>
      <c r="K37" s="81">
        <f t="shared" si="4"/>
        <v>0</v>
      </c>
      <c r="L37" s="81">
        <f t="shared" si="4"/>
        <v>0</v>
      </c>
      <c r="M37" s="81">
        <f t="shared" si="4"/>
        <v>0</v>
      </c>
      <c r="N37" s="213">
        <f t="shared" ref="N37:N40" si="5">SUM(D37:M37)</f>
        <v>1000000</v>
      </c>
      <c r="O37" s="83"/>
      <c r="P37" s="83"/>
      <c r="Q37" s="83"/>
      <c r="R37" s="83"/>
      <c r="S37" s="83"/>
      <c r="T37" s="83"/>
      <c r="U37" s="83"/>
      <c r="V37" s="83"/>
      <c r="W37" s="83"/>
      <c r="X37" s="83"/>
      <c r="Y37" s="83"/>
      <c r="Z37" s="83"/>
      <c r="AA37" s="83"/>
      <c r="AB37" s="83"/>
      <c r="AC37" s="98"/>
    </row>
    <row r="38" spans="2:29" x14ac:dyDescent="0.25">
      <c r="B38" s="51" t="s">
        <v>97</v>
      </c>
      <c r="C38" s="51"/>
      <c r="D38" s="82">
        <f>D36*$C127</f>
        <v>0</v>
      </c>
      <c r="E38" s="82">
        <f t="shared" ref="E38:M38" si="6">(E36+E37)*$C127</f>
        <v>36000</v>
      </c>
      <c r="F38" s="82">
        <f t="shared" si="6"/>
        <v>60000</v>
      </c>
      <c r="G38" s="82">
        <f t="shared" si="6"/>
        <v>60000</v>
      </c>
      <c r="H38" s="82">
        <f t="shared" si="6"/>
        <v>60000</v>
      </c>
      <c r="I38" s="82">
        <f t="shared" si="6"/>
        <v>24000</v>
      </c>
      <c r="J38" s="82">
        <f t="shared" si="6"/>
        <v>0</v>
      </c>
      <c r="K38" s="82">
        <f t="shared" si="6"/>
        <v>0</v>
      </c>
      <c r="L38" s="82">
        <f t="shared" si="6"/>
        <v>0</v>
      </c>
      <c r="M38" s="188">
        <f t="shared" si="6"/>
        <v>0</v>
      </c>
      <c r="N38" s="102">
        <f t="shared" si="5"/>
        <v>240000</v>
      </c>
      <c r="O38" s="80"/>
      <c r="P38" s="80"/>
      <c r="Q38" s="80"/>
      <c r="R38" s="80"/>
      <c r="S38" s="80"/>
      <c r="T38" s="80"/>
      <c r="U38" s="80"/>
      <c r="V38" s="80"/>
      <c r="W38" s="80"/>
      <c r="X38" s="80"/>
      <c r="Y38" s="80"/>
      <c r="Z38" s="80"/>
      <c r="AA38" s="80"/>
      <c r="AB38" s="80"/>
      <c r="AC38" s="98"/>
    </row>
    <row r="39" spans="2:29" x14ac:dyDescent="0.25">
      <c r="B39" s="51" t="s">
        <v>99</v>
      </c>
      <c r="C39" s="51"/>
      <c r="D39" s="82">
        <v>0</v>
      </c>
      <c r="E39" s="82">
        <f t="shared" ref="E39:M39" si="7">E37*$C20</f>
        <v>150000</v>
      </c>
      <c r="F39" s="82">
        <f t="shared" si="7"/>
        <v>250000</v>
      </c>
      <c r="G39" s="82">
        <f t="shared" si="7"/>
        <v>250000</v>
      </c>
      <c r="H39" s="82">
        <f t="shared" si="7"/>
        <v>250000</v>
      </c>
      <c r="I39" s="82">
        <f t="shared" si="7"/>
        <v>100000</v>
      </c>
      <c r="J39" s="82">
        <f t="shared" si="7"/>
        <v>0</v>
      </c>
      <c r="K39" s="82">
        <f t="shared" si="7"/>
        <v>0</v>
      </c>
      <c r="L39" s="82">
        <f t="shared" si="7"/>
        <v>0</v>
      </c>
      <c r="M39" s="188">
        <f t="shared" si="7"/>
        <v>0</v>
      </c>
      <c r="N39" s="102">
        <f t="shared" si="5"/>
        <v>1000000</v>
      </c>
      <c r="O39" s="80"/>
      <c r="P39" s="80"/>
      <c r="Q39" s="80"/>
      <c r="R39" s="80"/>
      <c r="S39" s="80"/>
      <c r="T39" s="80"/>
      <c r="U39" s="80"/>
      <c r="V39" s="80"/>
      <c r="W39" s="80"/>
      <c r="X39" s="80"/>
      <c r="Y39" s="80"/>
      <c r="Z39" s="80"/>
      <c r="AA39" s="80"/>
      <c r="AB39" s="80"/>
      <c r="AC39" s="98"/>
    </row>
    <row r="40" spans="2:29" x14ac:dyDescent="0.25">
      <c r="B40" s="51" t="s">
        <v>145</v>
      </c>
      <c r="C40" s="51"/>
      <c r="D40" s="82">
        <f>D38+D39</f>
        <v>0</v>
      </c>
      <c r="E40" s="82">
        <f>E38+E39</f>
        <v>186000</v>
      </c>
      <c r="F40" s="82">
        <f t="shared" ref="F40:M40" si="8">F38+F39</f>
        <v>310000</v>
      </c>
      <c r="G40" s="82">
        <f t="shared" si="8"/>
        <v>310000</v>
      </c>
      <c r="H40" s="82">
        <f t="shared" si="8"/>
        <v>310000</v>
      </c>
      <c r="I40" s="82">
        <f t="shared" si="8"/>
        <v>124000</v>
      </c>
      <c r="J40" s="112">
        <f t="shared" si="8"/>
        <v>0</v>
      </c>
      <c r="K40" s="82">
        <f t="shared" si="8"/>
        <v>0</v>
      </c>
      <c r="L40" s="82">
        <f t="shared" si="8"/>
        <v>0</v>
      </c>
      <c r="M40" s="188">
        <f t="shared" si="8"/>
        <v>0</v>
      </c>
      <c r="N40" s="102">
        <f t="shared" si="5"/>
        <v>1240000</v>
      </c>
      <c r="O40" s="80"/>
      <c r="P40" s="80"/>
      <c r="Q40" s="80"/>
      <c r="R40" s="80"/>
      <c r="S40" s="80"/>
      <c r="T40" s="80"/>
      <c r="U40" s="80"/>
      <c r="V40" s="80"/>
      <c r="W40" s="80"/>
      <c r="X40" s="80"/>
      <c r="Y40" s="80"/>
      <c r="Z40" s="80"/>
      <c r="AA40" s="80"/>
      <c r="AB40" s="80"/>
      <c r="AC40" s="98"/>
    </row>
    <row r="41" spans="2:29" x14ac:dyDescent="0.25">
      <c r="B41" s="51" t="s">
        <v>98</v>
      </c>
      <c r="C41" s="51"/>
      <c r="D41" s="82">
        <f>D36+D37-D40</f>
        <v>0</v>
      </c>
      <c r="E41" s="82">
        <f>E36+E37-E40+E38</f>
        <v>0</v>
      </c>
      <c r="F41" s="82">
        <f t="shared" ref="F41:M41" si="9">F36+F37-F40+F38</f>
        <v>0</v>
      </c>
      <c r="G41" s="82">
        <f t="shared" si="9"/>
        <v>0</v>
      </c>
      <c r="H41" s="82">
        <f t="shared" si="9"/>
        <v>0</v>
      </c>
      <c r="I41" s="82">
        <f t="shared" si="9"/>
        <v>0</v>
      </c>
      <c r="J41" s="112">
        <f t="shared" si="9"/>
        <v>0</v>
      </c>
      <c r="K41" s="82">
        <f t="shared" si="9"/>
        <v>0</v>
      </c>
      <c r="L41" s="82">
        <f t="shared" si="9"/>
        <v>0</v>
      </c>
      <c r="M41" s="188">
        <f t="shared" si="9"/>
        <v>0</v>
      </c>
      <c r="N41" s="102"/>
      <c r="O41" s="80"/>
      <c r="P41" s="80"/>
      <c r="Q41" s="80"/>
      <c r="R41" s="80"/>
      <c r="S41" s="80"/>
      <c r="T41" s="80"/>
      <c r="U41" s="80"/>
      <c r="V41" s="80"/>
      <c r="W41" s="80"/>
      <c r="X41" s="80"/>
      <c r="Y41" s="80"/>
      <c r="Z41" s="80"/>
      <c r="AA41" s="80"/>
      <c r="AB41" s="80"/>
      <c r="AC41" s="98"/>
    </row>
    <row r="42" spans="2:29" x14ac:dyDescent="0.25">
      <c r="C42" s="78"/>
      <c r="N42" s="102"/>
    </row>
    <row r="43" spans="2:29" x14ac:dyDescent="0.25">
      <c r="B43" s="47"/>
      <c r="C43" s="78"/>
    </row>
    <row r="44" spans="2:29" x14ac:dyDescent="0.25">
      <c r="B44" s="47"/>
      <c r="C44" s="78"/>
    </row>
    <row r="45" spans="2:29" x14ac:dyDescent="0.25">
      <c r="B45" s="108" t="s">
        <v>105</v>
      </c>
      <c r="C45" s="8" t="s">
        <v>22</v>
      </c>
      <c r="D45" s="16">
        <v>0</v>
      </c>
      <c r="E45" s="16">
        <v>1</v>
      </c>
      <c r="F45" s="16">
        <v>2</v>
      </c>
      <c r="G45" s="16">
        <v>3</v>
      </c>
      <c r="H45" s="16">
        <v>4</v>
      </c>
      <c r="I45" s="16">
        <v>5</v>
      </c>
      <c r="J45" s="16">
        <v>6</v>
      </c>
      <c r="K45" s="16">
        <v>7</v>
      </c>
      <c r="L45" s="16">
        <v>8</v>
      </c>
      <c r="M45" s="16">
        <v>9</v>
      </c>
      <c r="N45" s="70" t="s">
        <v>133</v>
      </c>
      <c r="O45" s="16"/>
      <c r="P45" s="16"/>
      <c r="Q45" s="16"/>
      <c r="R45" s="16"/>
      <c r="S45" s="16"/>
      <c r="T45" s="16"/>
      <c r="U45" s="16"/>
      <c r="V45" s="16"/>
      <c r="W45" s="16"/>
      <c r="X45" s="16"/>
      <c r="Y45" s="16"/>
      <c r="Z45" s="16"/>
      <c r="AA45" s="16"/>
      <c r="AB45" s="16"/>
    </row>
    <row r="46" spans="2:29" x14ac:dyDescent="0.25">
      <c r="B46" s="51" t="s">
        <v>95</v>
      </c>
      <c r="C46" s="51"/>
      <c r="D46" s="82"/>
      <c r="E46" s="82">
        <f>D51</f>
        <v>0</v>
      </c>
      <c r="F46" s="82">
        <f t="shared" ref="F46:M46" si="10">E51</f>
        <v>0</v>
      </c>
      <c r="G46" s="82">
        <f t="shared" si="10"/>
        <v>0</v>
      </c>
      <c r="H46" s="82">
        <f t="shared" si="10"/>
        <v>0</v>
      </c>
      <c r="I46" s="82">
        <f t="shared" si="10"/>
        <v>0</v>
      </c>
      <c r="J46" s="112">
        <f t="shared" si="10"/>
        <v>0</v>
      </c>
      <c r="K46" s="82">
        <f t="shared" si="10"/>
        <v>0</v>
      </c>
      <c r="L46" s="82">
        <f t="shared" si="10"/>
        <v>0</v>
      </c>
      <c r="M46" s="188">
        <f t="shared" si="10"/>
        <v>0</v>
      </c>
      <c r="N46" s="102"/>
      <c r="O46" s="80"/>
      <c r="P46" s="80"/>
      <c r="Q46" s="80"/>
      <c r="R46" s="80"/>
      <c r="S46" s="80"/>
      <c r="T46" s="80"/>
      <c r="U46" s="80"/>
      <c r="V46" s="80"/>
      <c r="W46" s="80"/>
      <c r="X46" s="80"/>
      <c r="Y46" s="80"/>
      <c r="Z46" s="80"/>
      <c r="AA46" s="80"/>
      <c r="AB46" s="80"/>
      <c r="AC46" s="98"/>
    </row>
    <row r="47" spans="2:29" x14ac:dyDescent="0.25">
      <c r="B47" s="74" t="s">
        <v>96</v>
      </c>
      <c r="C47" s="51"/>
      <c r="D47" s="81">
        <f>$C24*D9</f>
        <v>0</v>
      </c>
      <c r="E47" s="81">
        <f t="shared" ref="E47:M47" si="11">$C24*E9</f>
        <v>75000</v>
      </c>
      <c r="F47" s="81">
        <f t="shared" si="11"/>
        <v>125000</v>
      </c>
      <c r="G47" s="81">
        <f t="shared" si="11"/>
        <v>125000</v>
      </c>
      <c r="H47" s="81">
        <f t="shared" si="11"/>
        <v>125000</v>
      </c>
      <c r="I47" s="81">
        <f t="shared" si="11"/>
        <v>50000</v>
      </c>
      <c r="J47" s="81">
        <f t="shared" si="11"/>
        <v>0</v>
      </c>
      <c r="K47" s="81">
        <f t="shared" si="11"/>
        <v>0</v>
      </c>
      <c r="L47" s="81">
        <f t="shared" si="11"/>
        <v>0</v>
      </c>
      <c r="M47" s="81">
        <f t="shared" si="11"/>
        <v>0</v>
      </c>
      <c r="N47" s="102">
        <f t="shared" ref="N47:N50" si="12">SUM(D47:M47)</f>
        <v>500000</v>
      </c>
      <c r="O47" s="83"/>
      <c r="P47" s="83"/>
      <c r="Q47" s="83"/>
      <c r="R47" s="83"/>
      <c r="S47" s="83"/>
      <c r="T47" s="83"/>
      <c r="U47" s="83"/>
      <c r="V47" s="83"/>
      <c r="W47" s="83"/>
      <c r="X47" s="83"/>
      <c r="Y47" s="83"/>
      <c r="Z47" s="83"/>
      <c r="AA47" s="83"/>
      <c r="AB47" s="83"/>
      <c r="AC47" s="98"/>
    </row>
    <row r="48" spans="2:29" x14ac:dyDescent="0.25">
      <c r="B48" s="51" t="s">
        <v>97</v>
      </c>
      <c r="C48" s="51"/>
      <c r="D48" s="82">
        <v>0</v>
      </c>
      <c r="E48" s="82">
        <f t="shared" ref="E48:M48" si="13">(E46+E47)*$C127</f>
        <v>18000</v>
      </c>
      <c r="F48" s="82">
        <f t="shared" si="13"/>
        <v>30000</v>
      </c>
      <c r="G48" s="82">
        <f t="shared" si="13"/>
        <v>30000</v>
      </c>
      <c r="H48" s="82">
        <f t="shared" si="13"/>
        <v>30000</v>
      </c>
      <c r="I48" s="82">
        <f t="shared" si="13"/>
        <v>12000</v>
      </c>
      <c r="J48" s="82">
        <f t="shared" si="13"/>
        <v>0</v>
      </c>
      <c r="K48" s="82">
        <f t="shared" si="13"/>
        <v>0</v>
      </c>
      <c r="L48" s="82">
        <f t="shared" si="13"/>
        <v>0</v>
      </c>
      <c r="M48" s="188">
        <f t="shared" si="13"/>
        <v>0</v>
      </c>
      <c r="N48" s="102">
        <f t="shared" si="12"/>
        <v>120000</v>
      </c>
      <c r="O48" s="80"/>
      <c r="P48" s="80"/>
      <c r="Q48" s="80"/>
      <c r="R48" s="80"/>
      <c r="S48" s="80"/>
      <c r="T48" s="80"/>
      <c r="U48" s="80"/>
      <c r="V48" s="80"/>
      <c r="W48" s="80"/>
      <c r="X48" s="80"/>
      <c r="Y48" s="80"/>
      <c r="Z48" s="80"/>
      <c r="AA48" s="80"/>
      <c r="AB48" s="80"/>
      <c r="AC48" s="98"/>
    </row>
    <row r="49" spans="2:29" x14ac:dyDescent="0.25">
      <c r="B49" s="51" t="s">
        <v>99</v>
      </c>
      <c r="C49" s="51"/>
      <c r="D49" s="82">
        <v>0</v>
      </c>
      <c r="E49" s="82">
        <f t="shared" ref="E49:M49" si="14">E47*$C20</f>
        <v>75000</v>
      </c>
      <c r="F49" s="82">
        <f t="shared" si="14"/>
        <v>125000</v>
      </c>
      <c r="G49" s="82">
        <f t="shared" si="14"/>
        <v>125000</v>
      </c>
      <c r="H49" s="82">
        <f t="shared" si="14"/>
        <v>125000</v>
      </c>
      <c r="I49" s="82">
        <f t="shared" si="14"/>
        <v>50000</v>
      </c>
      <c r="J49" s="82">
        <f t="shared" si="14"/>
        <v>0</v>
      </c>
      <c r="K49" s="82">
        <f t="shared" si="14"/>
        <v>0</v>
      </c>
      <c r="L49" s="82">
        <f t="shared" si="14"/>
        <v>0</v>
      </c>
      <c r="M49" s="188">
        <f t="shared" si="14"/>
        <v>0</v>
      </c>
      <c r="N49" s="102">
        <f t="shared" si="12"/>
        <v>500000</v>
      </c>
      <c r="O49" s="80"/>
      <c r="P49" s="80"/>
      <c r="Q49" s="80"/>
      <c r="R49" s="80"/>
      <c r="S49" s="80"/>
      <c r="T49" s="80"/>
      <c r="U49" s="80"/>
      <c r="V49" s="80"/>
      <c r="W49" s="80"/>
      <c r="X49" s="80"/>
      <c r="Y49" s="80"/>
      <c r="Z49" s="80"/>
      <c r="AA49" s="80"/>
      <c r="AB49" s="80"/>
      <c r="AC49" s="98"/>
    </row>
    <row r="50" spans="2:29" x14ac:dyDescent="0.25">
      <c r="B50" s="51" t="s">
        <v>145</v>
      </c>
      <c r="C50" s="51"/>
      <c r="D50" s="82">
        <f>D48+D49</f>
        <v>0</v>
      </c>
      <c r="E50" s="82">
        <f t="shared" ref="E50:M50" si="15">E48+E49</f>
        <v>93000</v>
      </c>
      <c r="F50" s="82">
        <f t="shared" si="15"/>
        <v>155000</v>
      </c>
      <c r="G50" s="82">
        <f t="shared" si="15"/>
        <v>155000</v>
      </c>
      <c r="H50" s="82">
        <f t="shared" si="15"/>
        <v>155000</v>
      </c>
      <c r="I50" s="82">
        <f t="shared" si="15"/>
        <v>62000</v>
      </c>
      <c r="J50" s="112">
        <f t="shared" si="15"/>
        <v>0</v>
      </c>
      <c r="K50" s="82">
        <f t="shared" si="15"/>
        <v>0</v>
      </c>
      <c r="L50" s="82">
        <f t="shared" si="15"/>
        <v>0</v>
      </c>
      <c r="M50" s="188">
        <f t="shared" si="15"/>
        <v>0</v>
      </c>
      <c r="N50" s="102">
        <f t="shared" si="12"/>
        <v>620000</v>
      </c>
      <c r="O50" s="80"/>
      <c r="P50" s="80"/>
      <c r="Q50" s="80"/>
      <c r="R50" s="80"/>
      <c r="S50" s="80"/>
      <c r="T50" s="80"/>
      <c r="U50" s="80"/>
      <c r="V50" s="80"/>
      <c r="W50" s="80"/>
      <c r="X50" s="80"/>
      <c r="Y50" s="80"/>
      <c r="Z50" s="80"/>
      <c r="AA50" s="80"/>
      <c r="AB50" s="80"/>
      <c r="AC50" s="98"/>
    </row>
    <row r="51" spans="2:29" x14ac:dyDescent="0.25">
      <c r="B51" s="51" t="s">
        <v>98</v>
      </c>
      <c r="C51" s="51"/>
      <c r="D51" s="82">
        <f>D46+D47-D50</f>
        <v>0</v>
      </c>
      <c r="E51" s="82">
        <f>E46+E47-E50+E48</f>
        <v>0</v>
      </c>
      <c r="F51" s="82">
        <f t="shared" ref="F51:M51" si="16">F46+F47-F50+F48</f>
        <v>0</v>
      </c>
      <c r="G51" s="82">
        <f t="shared" si="16"/>
        <v>0</v>
      </c>
      <c r="H51" s="82">
        <f t="shared" si="16"/>
        <v>0</v>
      </c>
      <c r="I51" s="82">
        <f t="shared" si="16"/>
        <v>0</v>
      </c>
      <c r="J51" s="112">
        <f t="shared" si="16"/>
        <v>0</v>
      </c>
      <c r="K51" s="82">
        <f t="shared" si="16"/>
        <v>0</v>
      </c>
      <c r="L51" s="82">
        <f t="shared" si="16"/>
        <v>0</v>
      </c>
      <c r="M51" s="188">
        <f t="shared" si="16"/>
        <v>0</v>
      </c>
      <c r="N51" s="102"/>
      <c r="O51" s="80"/>
      <c r="P51" s="80"/>
      <c r="Q51" s="80"/>
      <c r="R51" s="80"/>
      <c r="S51" s="80"/>
      <c r="T51" s="80"/>
      <c r="U51" s="80"/>
      <c r="V51" s="80"/>
      <c r="W51" s="80"/>
      <c r="X51" s="80"/>
      <c r="Y51" s="80"/>
      <c r="Z51" s="80"/>
      <c r="AA51" s="80"/>
      <c r="AB51" s="80"/>
      <c r="AC51" s="98"/>
    </row>
    <row r="52" spans="2:29" x14ac:dyDescent="0.25">
      <c r="C52" s="79"/>
      <c r="D52" s="80"/>
      <c r="E52" s="80"/>
      <c r="F52" s="80"/>
      <c r="G52" s="80"/>
      <c r="H52" s="80"/>
      <c r="I52" s="80"/>
      <c r="J52" s="80"/>
      <c r="K52" s="80"/>
      <c r="L52" s="80"/>
      <c r="M52" s="80"/>
      <c r="N52" s="80"/>
      <c r="O52" s="80"/>
      <c r="P52" s="80"/>
      <c r="Q52" s="80"/>
      <c r="R52" s="80"/>
      <c r="S52" s="80"/>
      <c r="T52" s="80"/>
      <c r="U52" s="80"/>
      <c r="V52" s="80"/>
      <c r="W52" s="80"/>
    </row>
    <row r="53" spans="2:29" hidden="1" x14ac:dyDescent="0.25">
      <c r="B53" s="47" t="s">
        <v>100</v>
      </c>
      <c r="C53" s="78"/>
      <c r="T53" s="80"/>
      <c r="U53" s="80"/>
      <c r="V53" s="80"/>
      <c r="W53" s="80"/>
    </row>
    <row r="54" spans="2:29" hidden="1" x14ac:dyDescent="0.25">
      <c r="B54" s="47"/>
      <c r="C54" s="78"/>
      <c r="T54" s="80"/>
      <c r="U54" s="80"/>
      <c r="V54" s="80"/>
      <c r="W54" s="80"/>
    </row>
    <row r="55" spans="2:29" hidden="1" x14ac:dyDescent="0.25">
      <c r="B55" s="108" t="s">
        <v>105</v>
      </c>
      <c r="C55" s="8" t="s">
        <v>22</v>
      </c>
      <c r="D55" s="16">
        <v>0</v>
      </c>
      <c r="E55" s="16">
        <v>1</v>
      </c>
      <c r="F55" s="16">
        <v>2</v>
      </c>
      <c r="G55" s="16">
        <v>3</v>
      </c>
      <c r="H55" s="16">
        <v>4</v>
      </c>
      <c r="I55" s="16">
        <v>5</v>
      </c>
      <c r="J55" s="16">
        <v>6</v>
      </c>
      <c r="K55" s="16">
        <v>7</v>
      </c>
      <c r="L55" s="16">
        <v>8</v>
      </c>
      <c r="M55" s="16">
        <v>9</v>
      </c>
      <c r="N55" s="16">
        <v>10</v>
      </c>
      <c r="O55" s="16">
        <v>11</v>
      </c>
      <c r="P55" s="16">
        <v>12</v>
      </c>
      <c r="Q55" s="16">
        <v>13</v>
      </c>
      <c r="R55" s="16">
        <v>14</v>
      </c>
      <c r="S55" s="16">
        <v>15</v>
      </c>
      <c r="T55" s="16">
        <v>16</v>
      </c>
      <c r="U55" s="16">
        <v>17</v>
      </c>
      <c r="V55" s="16">
        <v>18</v>
      </c>
      <c r="W55" s="16">
        <v>19</v>
      </c>
      <c r="X55" s="16">
        <v>20</v>
      </c>
      <c r="Y55" s="16">
        <v>21</v>
      </c>
      <c r="Z55" s="16">
        <v>22</v>
      </c>
      <c r="AA55" s="16">
        <v>23</v>
      </c>
      <c r="AB55" s="16">
        <v>24</v>
      </c>
    </row>
    <row r="56" spans="2:29" hidden="1" x14ac:dyDescent="0.25">
      <c r="B56" s="51" t="s">
        <v>95</v>
      </c>
      <c r="C56" s="51"/>
      <c r="D56" s="82"/>
      <c r="E56" s="82" t="e">
        <f>D61</f>
        <v>#REF!</v>
      </c>
      <c r="F56" s="82" t="e">
        <f t="shared" ref="F56:AB56" si="17">E61</f>
        <v>#REF!</v>
      </c>
      <c r="G56" s="82" t="e">
        <f t="shared" si="17"/>
        <v>#REF!</v>
      </c>
      <c r="H56" s="82" t="e">
        <f t="shared" si="17"/>
        <v>#REF!</v>
      </c>
      <c r="I56" s="82" t="e">
        <f t="shared" si="17"/>
        <v>#REF!</v>
      </c>
      <c r="J56" s="112" t="e">
        <f t="shared" si="17"/>
        <v>#REF!</v>
      </c>
      <c r="K56" s="82" t="e">
        <f t="shared" si="17"/>
        <v>#REF!</v>
      </c>
      <c r="L56" s="82" t="e">
        <f t="shared" si="17"/>
        <v>#REF!</v>
      </c>
      <c r="M56" s="82" t="e">
        <f t="shared" si="17"/>
        <v>#REF!</v>
      </c>
      <c r="N56" s="82" t="e">
        <f t="shared" si="17"/>
        <v>#REF!</v>
      </c>
      <c r="O56" s="82" t="e">
        <f t="shared" si="17"/>
        <v>#REF!</v>
      </c>
      <c r="P56" s="82" t="e">
        <f t="shared" si="17"/>
        <v>#REF!</v>
      </c>
      <c r="Q56" s="82" t="e">
        <f t="shared" si="17"/>
        <v>#REF!</v>
      </c>
      <c r="R56" s="82" t="e">
        <f t="shared" si="17"/>
        <v>#REF!</v>
      </c>
      <c r="S56" s="82" t="e">
        <f t="shared" si="17"/>
        <v>#REF!</v>
      </c>
      <c r="T56" s="82" t="e">
        <f t="shared" si="17"/>
        <v>#REF!</v>
      </c>
      <c r="U56" s="82" t="e">
        <f t="shared" si="17"/>
        <v>#REF!</v>
      </c>
      <c r="V56" s="82" t="e">
        <f t="shared" si="17"/>
        <v>#REF!</v>
      </c>
      <c r="W56" s="82" t="e">
        <f t="shared" si="17"/>
        <v>#REF!</v>
      </c>
      <c r="X56" s="82" t="e">
        <f t="shared" si="17"/>
        <v>#REF!</v>
      </c>
      <c r="Y56" s="82" t="e">
        <f t="shared" si="17"/>
        <v>#REF!</v>
      </c>
      <c r="Z56" s="82" t="e">
        <f t="shared" si="17"/>
        <v>#REF!</v>
      </c>
      <c r="AA56" s="82" t="e">
        <f t="shared" si="17"/>
        <v>#REF!</v>
      </c>
      <c r="AB56" s="82" t="e">
        <f t="shared" si="17"/>
        <v>#REF!</v>
      </c>
      <c r="AC56" s="98"/>
    </row>
    <row r="57" spans="2:29" hidden="1" x14ac:dyDescent="0.25">
      <c r="B57" s="74" t="s">
        <v>96</v>
      </c>
      <c r="C57" s="51"/>
      <c r="D57" s="81" t="e">
        <f>$C23*#REF!</f>
        <v>#REF!</v>
      </c>
      <c r="E57" s="81" t="e">
        <f>$C23*#REF!</f>
        <v>#REF!</v>
      </c>
      <c r="F57" s="81" t="e">
        <f>$C23*#REF!</f>
        <v>#REF!</v>
      </c>
      <c r="G57" s="81" t="e">
        <f>$C23*#REF!</f>
        <v>#REF!</v>
      </c>
      <c r="H57" s="81" t="e">
        <f>$C23*#REF!</f>
        <v>#REF!</v>
      </c>
      <c r="I57" s="81" t="e">
        <f>$C23*#REF!</f>
        <v>#REF!</v>
      </c>
      <c r="J57" s="81" t="e">
        <f>$C23*#REF!</f>
        <v>#REF!</v>
      </c>
      <c r="K57" s="81" t="e">
        <f>$C23*#REF!</f>
        <v>#REF!</v>
      </c>
      <c r="L57" s="81" t="e">
        <f>$C23*#REF!</f>
        <v>#REF!</v>
      </c>
      <c r="M57" s="81" t="e">
        <f>$C23*#REF!</f>
        <v>#REF!</v>
      </c>
      <c r="N57" s="81" t="e">
        <f>$C23*#REF!</f>
        <v>#REF!</v>
      </c>
      <c r="O57" s="81" t="e">
        <f>$C23*#REF!</f>
        <v>#REF!</v>
      </c>
      <c r="P57" s="81" t="e">
        <f>$C23*#REF!</f>
        <v>#REF!</v>
      </c>
      <c r="Q57" s="81" t="e">
        <f>$C23*#REF!</f>
        <v>#REF!</v>
      </c>
      <c r="R57" s="81" t="e">
        <f>$C23*#REF!</f>
        <v>#REF!</v>
      </c>
      <c r="S57" s="81" t="e">
        <f>$C23*#REF!</f>
        <v>#REF!</v>
      </c>
      <c r="T57" s="81" t="e">
        <f>$C23*#REF!</f>
        <v>#REF!</v>
      </c>
      <c r="U57" s="81" t="e">
        <f>$C23*#REF!</f>
        <v>#REF!</v>
      </c>
      <c r="V57" s="81" t="e">
        <f>$C23*#REF!</f>
        <v>#REF!</v>
      </c>
      <c r="W57" s="81" t="e">
        <f>$C23*#REF!</f>
        <v>#REF!</v>
      </c>
      <c r="X57" s="81" t="e">
        <f>$C23*#REF!</f>
        <v>#REF!</v>
      </c>
      <c r="Y57" s="81" t="e">
        <f>$C23*#REF!</f>
        <v>#REF!</v>
      </c>
      <c r="Z57" s="81" t="e">
        <f>$C23*#REF!</f>
        <v>#REF!</v>
      </c>
      <c r="AA57" s="81" t="e">
        <f>$C23*#REF!</f>
        <v>#REF!</v>
      </c>
      <c r="AB57" s="81" t="e">
        <f>$C23*#REF!</f>
        <v>#REF!</v>
      </c>
      <c r="AC57" s="98" t="e">
        <f>SUM(D57:AB57)</f>
        <v>#REF!</v>
      </c>
    </row>
    <row r="58" spans="2:29" hidden="1" x14ac:dyDescent="0.25">
      <c r="B58" s="51" t="s">
        <v>97</v>
      </c>
      <c r="C58" s="51"/>
      <c r="D58" s="82">
        <v>0</v>
      </c>
      <c r="E58" s="82" t="e">
        <f t="shared" ref="E58:AB58" si="18">E56*$C127</f>
        <v>#REF!</v>
      </c>
      <c r="F58" s="82" t="e">
        <f t="shared" si="18"/>
        <v>#REF!</v>
      </c>
      <c r="G58" s="82" t="e">
        <f t="shared" si="18"/>
        <v>#REF!</v>
      </c>
      <c r="H58" s="82" t="e">
        <f t="shared" si="18"/>
        <v>#REF!</v>
      </c>
      <c r="I58" s="82" t="e">
        <f t="shared" si="18"/>
        <v>#REF!</v>
      </c>
      <c r="J58" s="82" t="e">
        <f t="shared" si="18"/>
        <v>#REF!</v>
      </c>
      <c r="K58" s="82" t="e">
        <f t="shared" si="18"/>
        <v>#REF!</v>
      </c>
      <c r="L58" s="82" t="e">
        <f t="shared" si="18"/>
        <v>#REF!</v>
      </c>
      <c r="M58" s="82" t="e">
        <f t="shared" si="18"/>
        <v>#REF!</v>
      </c>
      <c r="N58" s="82" t="e">
        <f t="shared" si="18"/>
        <v>#REF!</v>
      </c>
      <c r="O58" s="82" t="e">
        <f t="shared" si="18"/>
        <v>#REF!</v>
      </c>
      <c r="P58" s="82" t="e">
        <f t="shared" si="18"/>
        <v>#REF!</v>
      </c>
      <c r="Q58" s="82" t="e">
        <f t="shared" si="18"/>
        <v>#REF!</v>
      </c>
      <c r="R58" s="82" t="e">
        <f t="shared" si="18"/>
        <v>#REF!</v>
      </c>
      <c r="S58" s="82" t="e">
        <f t="shared" si="18"/>
        <v>#REF!</v>
      </c>
      <c r="T58" s="82" t="e">
        <f t="shared" si="18"/>
        <v>#REF!</v>
      </c>
      <c r="U58" s="82" t="e">
        <f t="shared" si="18"/>
        <v>#REF!</v>
      </c>
      <c r="V58" s="82" t="e">
        <f t="shared" si="18"/>
        <v>#REF!</v>
      </c>
      <c r="W58" s="82" t="e">
        <f t="shared" si="18"/>
        <v>#REF!</v>
      </c>
      <c r="X58" s="82" t="e">
        <f t="shared" si="18"/>
        <v>#REF!</v>
      </c>
      <c r="Y58" s="82" t="e">
        <f t="shared" si="18"/>
        <v>#REF!</v>
      </c>
      <c r="Z58" s="82" t="e">
        <f t="shared" si="18"/>
        <v>#REF!</v>
      </c>
      <c r="AA58" s="82" t="e">
        <f t="shared" si="18"/>
        <v>#REF!</v>
      </c>
      <c r="AB58" s="82" t="e">
        <f t="shared" si="18"/>
        <v>#REF!</v>
      </c>
      <c r="AC58" s="98" t="e">
        <f>SUM(D58:AB58)</f>
        <v>#REF!</v>
      </c>
    </row>
    <row r="59" spans="2:29" hidden="1" x14ac:dyDescent="0.25">
      <c r="B59" s="51" t="s">
        <v>99</v>
      </c>
      <c r="C59" s="51"/>
      <c r="D59" s="82">
        <f>D49</f>
        <v>0</v>
      </c>
      <c r="E59" s="82">
        <f t="shared" ref="E59:AB59" si="19">E49</f>
        <v>75000</v>
      </c>
      <c r="F59" s="82">
        <f t="shared" si="19"/>
        <v>125000</v>
      </c>
      <c r="G59" s="82">
        <f t="shared" si="19"/>
        <v>125000</v>
      </c>
      <c r="H59" s="82">
        <f t="shared" si="19"/>
        <v>125000</v>
      </c>
      <c r="I59" s="82">
        <f t="shared" si="19"/>
        <v>50000</v>
      </c>
      <c r="J59" s="82">
        <f t="shared" si="19"/>
        <v>0</v>
      </c>
      <c r="K59" s="82">
        <f t="shared" si="19"/>
        <v>0</v>
      </c>
      <c r="L59" s="82">
        <f t="shared" si="19"/>
        <v>0</v>
      </c>
      <c r="M59" s="82">
        <f t="shared" si="19"/>
        <v>0</v>
      </c>
      <c r="N59" s="82">
        <f t="shared" si="19"/>
        <v>500000</v>
      </c>
      <c r="O59" s="82">
        <f t="shared" si="19"/>
        <v>0</v>
      </c>
      <c r="P59" s="82">
        <f t="shared" si="19"/>
        <v>0</v>
      </c>
      <c r="Q59" s="82">
        <f t="shared" si="19"/>
        <v>0</v>
      </c>
      <c r="R59" s="82">
        <f t="shared" si="19"/>
        <v>0</v>
      </c>
      <c r="S59" s="82">
        <f t="shared" si="19"/>
        <v>0</v>
      </c>
      <c r="T59" s="82">
        <f t="shared" si="19"/>
        <v>0</v>
      </c>
      <c r="U59" s="82">
        <f t="shared" si="19"/>
        <v>0</v>
      </c>
      <c r="V59" s="82">
        <f t="shared" si="19"/>
        <v>0</v>
      </c>
      <c r="W59" s="82">
        <f t="shared" si="19"/>
        <v>0</v>
      </c>
      <c r="X59" s="82">
        <f t="shared" si="19"/>
        <v>0</v>
      </c>
      <c r="Y59" s="82">
        <f t="shared" si="19"/>
        <v>0</v>
      </c>
      <c r="Z59" s="82">
        <f t="shared" si="19"/>
        <v>0</v>
      </c>
      <c r="AA59" s="82">
        <f t="shared" si="19"/>
        <v>0</v>
      </c>
      <c r="AB59" s="82">
        <f t="shared" si="19"/>
        <v>0</v>
      </c>
      <c r="AC59" s="98">
        <f>SUM(D59:AB59)</f>
        <v>1000000</v>
      </c>
    </row>
    <row r="60" spans="2:29" hidden="1" x14ac:dyDescent="0.25">
      <c r="B60" s="51" t="s">
        <v>145</v>
      </c>
      <c r="C60" s="51"/>
      <c r="D60" s="82">
        <f>D58+D59</f>
        <v>0</v>
      </c>
      <c r="E60" s="82" t="e">
        <f t="shared" ref="E60:AB60" si="20">E58+E59</f>
        <v>#REF!</v>
      </c>
      <c r="F60" s="82" t="e">
        <f t="shared" si="20"/>
        <v>#REF!</v>
      </c>
      <c r="G60" s="82" t="e">
        <f t="shared" si="20"/>
        <v>#REF!</v>
      </c>
      <c r="H60" s="82" t="e">
        <f t="shared" si="20"/>
        <v>#REF!</v>
      </c>
      <c r="I60" s="82" t="e">
        <f t="shared" si="20"/>
        <v>#REF!</v>
      </c>
      <c r="J60" s="112" t="e">
        <f t="shared" si="20"/>
        <v>#REF!</v>
      </c>
      <c r="K60" s="82" t="e">
        <f t="shared" si="20"/>
        <v>#REF!</v>
      </c>
      <c r="L60" s="82" t="e">
        <f t="shared" si="20"/>
        <v>#REF!</v>
      </c>
      <c r="M60" s="82" t="e">
        <f t="shared" si="20"/>
        <v>#REF!</v>
      </c>
      <c r="N60" s="82" t="e">
        <f t="shared" si="20"/>
        <v>#REF!</v>
      </c>
      <c r="O60" s="82" t="e">
        <f t="shared" si="20"/>
        <v>#REF!</v>
      </c>
      <c r="P60" s="82" t="e">
        <f t="shared" si="20"/>
        <v>#REF!</v>
      </c>
      <c r="Q60" s="82" t="e">
        <f t="shared" si="20"/>
        <v>#REF!</v>
      </c>
      <c r="R60" s="82" t="e">
        <f t="shared" si="20"/>
        <v>#REF!</v>
      </c>
      <c r="S60" s="82" t="e">
        <f t="shared" si="20"/>
        <v>#REF!</v>
      </c>
      <c r="T60" s="82" t="e">
        <f t="shared" si="20"/>
        <v>#REF!</v>
      </c>
      <c r="U60" s="82" t="e">
        <f t="shared" si="20"/>
        <v>#REF!</v>
      </c>
      <c r="V60" s="82" t="e">
        <f t="shared" si="20"/>
        <v>#REF!</v>
      </c>
      <c r="W60" s="82" t="e">
        <f t="shared" si="20"/>
        <v>#REF!</v>
      </c>
      <c r="X60" s="82" t="e">
        <f t="shared" si="20"/>
        <v>#REF!</v>
      </c>
      <c r="Y60" s="82" t="e">
        <f t="shared" si="20"/>
        <v>#REF!</v>
      </c>
      <c r="Z60" s="82" t="e">
        <f t="shared" si="20"/>
        <v>#REF!</v>
      </c>
      <c r="AA60" s="82" t="e">
        <f t="shared" si="20"/>
        <v>#REF!</v>
      </c>
      <c r="AB60" s="82" t="e">
        <f t="shared" si="20"/>
        <v>#REF!</v>
      </c>
      <c r="AC60" s="98" t="e">
        <f>SUM(D60:AB60)</f>
        <v>#REF!</v>
      </c>
    </row>
    <row r="61" spans="2:29" hidden="1" x14ac:dyDescent="0.25">
      <c r="B61" s="51" t="s">
        <v>98</v>
      </c>
      <c r="C61" s="51"/>
      <c r="D61" s="82" t="e">
        <f>D56+D57-D60</f>
        <v>#REF!</v>
      </c>
      <c r="E61" s="82" t="e">
        <f>E56+E57-E60+E58</f>
        <v>#REF!</v>
      </c>
      <c r="F61" s="82" t="e">
        <f t="shared" ref="F61:AB61" si="21">F56+F57-F60+F58</f>
        <v>#REF!</v>
      </c>
      <c r="G61" s="82" t="e">
        <f t="shared" si="21"/>
        <v>#REF!</v>
      </c>
      <c r="H61" s="82" t="e">
        <f t="shared" si="21"/>
        <v>#REF!</v>
      </c>
      <c r="I61" s="82" t="e">
        <f t="shared" si="21"/>
        <v>#REF!</v>
      </c>
      <c r="J61" s="112" t="e">
        <f t="shared" si="21"/>
        <v>#REF!</v>
      </c>
      <c r="K61" s="82" t="e">
        <f t="shared" si="21"/>
        <v>#REF!</v>
      </c>
      <c r="L61" s="82" t="e">
        <f t="shared" si="21"/>
        <v>#REF!</v>
      </c>
      <c r="M61" s="82" t="e">
        <f t="shared" si="21"/>
        <v>#REF!</v>
      </c>
      <c r="N61" s="82" t="e">
        <f t="shared" si="21"/>
        <v>#REF!</v>
      </c>
      <c r="O61" s="82" t="e">
        <f t="shared" si="21"/>
        <v>#REF!</v>
      </c>
      <c r="P61" s="82" t="e">
        <f t="shared" si="21"/>
        <v>#REF!</v>
      </c>
      <c r="Q61" s="82" t="e">
        <f t="shared" si="21"/>
        <v>#REF!</v>
      </c>
      <c r="R61" s="82" t="e">
        <f t="shared" si="21"/>
        <v>#REF!</v>
      </c>
      <c r="S61" s="82" t="e">
        <f t="shared" si="21"/>
        <v>#REF!</v>
      </c>
      <c r="T61" s="82" t="e">
        <f t="shared" si="21"/>
        <v>#REF!</v>
      </c>
      <c r="U61" s="82" t="e">
        <f t="shared" si="21"/>
        <v>#REF!</v>
      </c>
      <c r="V61" s="82" t="e">
        <f t="shared" si="21"/>
        <v>#REF!</v>
      </c>
      <c r="W61" s="82" t="e">
        <f t="shared" si="21"/>
        <v>#REF!</v>
      </c>
      <c r="X61" s="82" t="e">
        <f t="shared" si="21"/>
        <v>#REF!</v>
      </c>
      <c r="Y61" s="82" t="e">
        <f t="shared" si="21"/>
        <v>#REF!</v>
      </c>
      <c r="Z61" s="82" t="e">
        <f t="shared" si="21"/>
        <v>#REF!</v>
      </c>
      <c r="AA61" s="82" t="e">
        <f t="shared" si="21"/>
        <v>#REF!</v>
      </c>
      <c r="AB61" s="82" t="e">
        <f t="shared" si="21"/>
        <v>#REF!</v>
      </c>
      <c r="AC61" s="98"/>
    </row>
    <row r="62" spans="2:29" hidden="1" x14ac:dyDescent="0.25">
      <c r="B62" s="108"/>
      <c r="C62" s="8"/>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2:29" hidden="1" x14ac:dyDescent="0.25">
      <c r="B63" s="47" t="s">
        <v>101</v>
      </c>
      <c r="C63" s="78"/>
      <c r="T63" s="80"/>
      <c r="U63" s="80"/>
      <c r="V63" s="80"/>
      <c r="W63" s="80"/>
    </row>
    <row r="64" spans="2:29" hidden="1" x14ac:dyDescent="0.25">
      <c r="B64" s="108" t="s">
        <v>105</v>
      </c>
      <c r="C64" s="78"/>
      <c r="T64" s="80"/>
      <c r="U64" s="80"/>
      <c r="V64" s="80"/>
      <c r="W64" s="80"/>
    </row>
    <row r="65" spans="1:29" hidden="1" x14ac:dyDescent="0.25">
      <c r="B65" s="51" t="s">
        <v>95</v>
      </c>
      <c r="C65" s="51"/>
      <c r="D65" s="82"/>
      <c r="E65" s="82">
        <f>D70</f>
        <v>0</v>
      </c>
      <c r="F65" s="82" t="e">
        <f t="shared" ref="F65:AB65" si="22">E70</f>
        <v>#REF!</v>
      </c>
      <c r="G65" s="82" t="e">
        <f t="shared" si="22"/>
        <v>#REF!</v>
      </c>
      <c r="H65" s="82" t="e">
        <f t="shared" si="22"/>
        <v>#REF!</v>
      </c>
      <c r="I65" s="82" t="e">
        <f t="shared" si="22"/>
        <v>#REF!</v>
      </c>
      <c r="J65" s="112" t="e">
        <f t="shared" si="22"/>
        <v>#REF!</v>
      </c>
      <c r="K65" s="82" t="e">
        <f t="shared" si="22"/>
        <v>#REF!</v>
      </c>
      <c r="L65" s="82" t="e">
        <f t="shared" si="22"/>
        <v>#REF!</v>
      </c>
      <c r="M65" s="82" t="e">
        <f t="shared" si="22"/>
        <v>#REF!</v>
      </c>
      <c r="N65" s="82" t="e">
        <f t="shared" si="22"/>
        <v>#REF!</v>
      </c>
      <c r="O65" s="82" t="e">
        <f t="shared" si="22"/>
        <v>#REF!</v>
      </c>
      <c r="P65" s="82" t="e">
        <f t="shared" si="22"/>
        <v>#REF!</v>
      </c>
      <c r="Q65" s="82" t="e">
        <f t="shared" si="22"/>
        <v>#REF!</v>
      </c>
      <c r="R65" s="82" t="e">
        <f t="shared" si="22"/>
        <v>#REF!</v>
      </c>
      <c r="S65" s="82" t="e">
        <f t="shared" si="22"/>
        <v>#REF!</v>
      </c>
      <c r="T65" s="82" t="e">
        <f t="shared" si="22"/>
        <v>#REF!</v>
      </c>
      <c r="U65" s="82" t="e">
        <f t="shared" si="22"/>
        <v>#REF!</v>
      </c>
      <c r="V65" s="82" t="e">
        <f t="shared" si="22"/>
        <v>#REF!</v>
      </c>
      <c r="W65" s="82" t="e">
        <f t="shared" si="22"/>
        <v>#REF!</v>
      </c>
      <c r="X65" s="82" t="e">
        <f t="shared" si="22"/>
        <v>#REF!</v>
      </c>
      <c r="Y65" s="82" t="e">
        <f t="shared" si="22"/>
        <v>#REF!</v>
      </c>
      <c r="Z65" s="82" t="e">
        <f t="shared" si="22"/>
        <v>#REF!</v>
      </c>
      <c r="AA65" s="82" t="e">
        <f t="shared" si="22"/>
        <v>#REF!</v>
      </c>
      <c r="AB65" s="82" t="e">
        <f t="shared" si="22"/>
        <v>#REF!</v>
      </c>
      <c r="AC65" s="98"/>
    </row>
    <row r="66" spans="1:29" hidden="1" x14ac:dyDescent="0.25">
      <c r="B66" s="74" t="s">
        <v>96</v>
      </c>
      <c r="C66" s="51"/>
      <c r="D66" s="81">
        <f>$C57*D44</f>
        <v>0</v>
      </c>
      <c r="E66" s="81" t="e">
        <f>$C23*#REF!</f>
        <v>#REF!</v>
      </c>
      <c r="F66" s="81" t="e">
        <f>$C23*#REF!</f>
        <v>#REF!</v>
      </c>
      <c r="G66" s="81" t="e">
        <f>$C23*#REF!</f>
        <v>#REF!</v>
      </c>
      <c r="H66" s="81" t="e">
        <f>$C23*#REF!</f>
        <v>#REF!</v>
      </c>
      <c r="I66" s="81" t="e">
        <f>$C23*#REF!</f>
        <v>#REF!</v>
      </c>
      <c r="J66" s="81" t="e">
        <f>$C23*#REF!</f>
        <v>#REF!</v>
      </c>
      <c r="K66" s="81" t="e">
        <f>$C23*#REF!</f>
        <v>#REF!</v>
      </c>
      <c r="L66" s="81" t="e">
        <f>$C23*#REF!</f>
        <v>#REF!</v>
      </c>
      <c r="M66" s="81" t="e">
        <f>$C23*#REF!</f>
        <v>#REF!</v>
      </c>
      <c r="N66" s="81" t="e">
        <f>$C23*#REF!</f>
        <v>#REF!</v>
      </c>
      <c r="O66" s="81" t="e">
        <f>$C23*#REF!</f>
        <v>#REF!</v>
      </c>
      <c r="P66" s="81" t="e">
        <f>$C23*#REF!</f>
        <v>#REF!</v>
      </c>
      <c r="Q66" s="81" t="e">
        <f>$C23*#REF!</f>
        <v>#REF!</v>
      </c>
      <c r="R66" s="81" t="e">
        <f>$C23*#REF!</f>
        <v>#REF!</v>
      </c>
      <c r="S66" s="81" t="e">
        <f>$C23*#REF!</f>
        <v>#REF!</v>
      </c>
      <c r="T66" s="81" t="e">
        <f>$C23*#REF!</f>
        <v>#REF!</v>
      </c>
      <c r="U66" s="81" t="e">
        <f>$C23*#REF!</f>
        <v>#REF!</v>
      </c>
      <c r="V66" s="81" t="e">
        <f>$C23*#REF!</f>
        <v>#REF!</v>
      </c>
      <c r="W66" s="81" t="e">
        <f>$C23*#REF!</f>
        <v>#REF!</v>
      </c>
      <c r="X66" s="81" t="e">
        <f>$C23*#REF!</f>
        <v>#REF!</v>
      </c>
      <c r="Y66" s="81" t="e">
        <f>$C23*#REF!</f>
        <v>#REF!</v>
      </c>
      <c r="Z66" s="81" t="e">
        <f>$C23*#REF!</f>
        <v>#REF!</v>
      </c>
      <c r="AA66" s="81" t="e">
        <f>$C23*#REF!</f>
        <v>#REF!</v>
      </c>
      <c r="AB66" s="81" t="e">
        <f>$C23*#REF!</f>
        <v>#REF!</v>
      </c>
      <c r="AC66" s="98" t="e">
        <f>SUM(D66:AB66)</f>
        <v>#REF!</v>
      </c>
    </row>
    <row r="67" spans="1:29" hidden="1" x14ac:dyDescent="0.25">
      <c r="B67" s="51" t="s">
        <v>97</v>
      </c>
      <c r="C67" s="51"/>
      <c r="D67" s="82">
        <v>0</v>
      </c>
      <c r="E67" s="82">
        <f t="shared" ref="E67:AB67" si="23">E65*$C127</f>
        <v>0</v>
      </c>
      <c r="F67" s="82" t="e">
        <f t="shared" si="23"/>
        <v>#REF!</v>
      </c>
      <c r="G67" s="82" t="e">
        <f t="shared" si="23"/>
        <v>#REF!</v>
      </c>
      <c r="H67" s="82" t="e">
        <f t="shared" si="23"/>
        <v>#REF!</v>
      </c>
      <c r="I67" s="82" t="e">
        <f t="shared" si="23"/>
        <v>#REF!</v>
      </c>
      <c r="J67" s="82" t="e">
        <f t="shared" si="23"/>
        <v>#REF!</v>
      </c>
      <c r="K67" s="82" t="e">
        <f t="shared" si="23"/>
        <v>#REF!</v>
      </c>
      <c r="L67" s="82" t="e">
        <f t="shared" si="23"/>
        <v>#REF!</v>
      </c>
      <c r="M67" s="82" t="e">
        <f t="shared" si="23"/>
        <v>#REF!</v>
      </c>
      <c r="N67" s="82" t="e">
        <f t="shared" si="23"/>
        <v>#REF!</v>
      </c>
      <c r="O67" s="82" t="e">
        <f t="shared" si="23"/>
        <v>#REF!</v>
      </c>
      <c r="P67" s="82" t="e">
        <f t="shared" si="23"/>
        <v>#REF!</v>
      </c>
      <c r="Q67" s="82" t="e">
        <f t="shared" si="23"/>
        <v>#REF!</v>
      </c>
      <c r="R67" s="82" t="e">
        <f t="shared" si="23"/>
        <v>#REF!</v>
      </c>
      <c r="S67" s="82" t="e">
        <f t="shared" si="23"/>
        <v>#REF!</v>
      </c>
      <c r="T67" s="82" t="e">
        <f t="shared" si="23"/>
        <v>#REF!</v>
      </c>
      <c r="U67" s="82" t="e">
        <f t="shared" si="23"/>
        <v>#REF!</v>
      </c>
      <c r="V67" s="82" t="e">
        <f t="shared" si="23"/>
        <v>#REF!</v>
      </c>
      <c r="W67" s="82" t="e">
        <f t="shared" si="23"/>
        <v>#REF!</v>
      </c>
      <c r="X67" s="82" t="e">
        <f t="shared" si="23"/>
        <v>#REF!</v>
      </c>
      <c r="Y67" s="82" t="e">
        <f t="shared" si="23"/>
        <v>#REF!</v>
      </c>
      <c r="Z67" s="82" t="e">
        <f t="shared" si="23"/>
        <v>#REF!</v>
      </c>
      <c r="AA67" s="82" t="e">
        <f t="shared" si="23"/>
        <v>#REF!</v>
      </c>
      <c r="AB67" s="82" t="e">
        <f t="shared" si="23"/>
        <v>#REF!</v>
      </c>
      <c r="AC67" s="98" t="e">
        <f>SUM(D67:AB67)</f>
        <v>#REF!</v>
      </c>
    </row>
    <row r="68" spans="1:29" hidden="1" x14ac:dyDescent="0.25">
      <c r="B68" s="51" t="s">
        <v>99</v>
      </c>
      <c r="C68" s="51"/>
      <c r="D68" s="82">
        <v>0</v>
      </c>
      <c r="E68" s="82">
        <f>E59</f>
        <v>75000</v>
      </c>
      <c r="F68" s="82">
        <f t="shared" ref="F68:AB68" si="24">F59</f>
        <v>125000</v>
      </c>
      <c r="G68" s="82">
        <f t="shared" si="24"/>
        <v>125000</v>
      </c>
      <c r="H68" s="82">
        <f t="shared" si="24"/>
        <v>125000</v>
      </c>
      <c r="I68" s="82">
        <f t="shared" si="24"/>
        <v>50000</v>
      </c>
      <c r="J68" s="82">
        <f t="shared" si="24"/>
        <v>0</v>
      </c>
      <c r="K68" s="82">
        <f t="shared" si="24"/>
        <v>0</v>
      </c>
      <c r="L68" s="82">
        <f t="shared" si="24"/>
        <v>0</v>
      </c>
      <c r="M68" s="82">
        <f t="shared" si="24"/>
        <v>0</v>
      </c>
      <c r="N68" s="82">
        <f t="shared" si="24"/>
        <v>500000</v>
      </c>
      <c r="O68" s="82">
        <f t="shared" si="24"/>
        <v>0</v>
      </c>
      <c r="P68" s="82">
        <f t="shared" si="24"/>
        <v>0</v>
      </c>
      <c r="Q68" s="82">
        <f t="shared" si="24"/>
        <v>0</v>
      </c>
      <c r="R68" s="82">
        <f t="shared" si="24"/>
        <v>0</v>
      </c>
      <c r="S68" s="82">
        <f t="shared" si="24"/>
        <v>0</v>
      </c>
      <c r="T68" s="82">
        <f t="shared" si="24"/>
        <v>0</v>
      </c>
      <c r="U68" s="82">
        <f t="shared" si="24"/>
        <v>0</v>
      </c>
      <c r="V68" s="82">
        <f t="shared" si="24"/>
        <v>0</v>
      </c>
      <c r="W68" s="82">
        <f t="shared" si="24"/>
        <v>0</v>
      </c>
      <c r="X68" s="82">
        <f t="shared" si="24"/>
        <v>0</v>
      </c>
      <c r="Y68" s="82">
        <f t="shared" si="24"/>
        <v>0</v>
      </c>
      <c r="Z68" s="82">
        <f t="shared" si="24"/>
        <v>0</v>
      </c>
      <c r="AA68" s="82">
        <f t="shared" si="24"/>
        <v>0</v>
      </c>
      <c r="AB68" s="82">
        <f t="shared" si="24"/>
        <v>0</v>
      </c>
      <c r="AC68" s="98">
        <f>SUM(D68:AB68)</f>
        <v>1000000</v>
      </c>
    </row>
    <row r="69" spans="1:29" hidden="1" x14ac:dyDescent="0.25">
      <c r="B69" s="51" t="s">
        <v>145</v>
      </c>
      <c r="C69" s="51"/>
      <c r="D69" s="82">
        <f>D67+D68</f>
        <v>0</v>
      </c>
      <c r="E69" s="82">
        <f t="shared" ref="E69:AB69" si="25">E67+E68</f>
        <v>75000</v>
      </c>
      <c r="F69" s="82" t="e">
        <f t="shared" si="25"/>
        <v>#REF!</v>
      </c>
      <c r="G69" s="82" t="e">
        <f t="shared" si="25"/>
        <v>#REF!</v>
      </c>
      <c r="H69" s="82" t="e">
        <f t="shared" si="25"/>
        <v>#REF!</v>
      </c>
      <c r="I69" s="82" t="e">
        <f t="shared" si="25"/>
        <v>#REF!</v>
      </c>
      <c r="J69" s="112" t="e">
        <f t="shared" si="25"/>
        <v>#REF!</v>
      </c>
      <c r="K69" s="82" t="e">
        <f t="shared" si="25"/>
        <v>#REF!</v>
      </c>
      <c r="L69" s="82" t="e">
        <f t="shared" si="25"/>
        <v>#REF!</v>
      </c>
      <c r="M69" s="82" t="e">
        <f t="shared" si="25"/>
        <v>#REF!</v>
      </c>
      <c r="N69" s="82" t="e">
        <f t="shared" si="25"/>
        <v>#REF!</v>
      </c>
      <c r="O69" s="82" t="e">
        <f t="shared" si="25"/>
        <v>#REF!</v>
      </c>
      <c r="P69" s="82" t="e">
        <f t="shared" si="25"/>
        <v>#REF!</v>
      </c>
      <c r="Q69" s="82" t="e">
        <f t="shared" si="25"/>
        <v>#REF!</v>
      </c>
      <c r="R69" s="82" t="e">
        <f t="shared" si="25"/>
        <v>#REF!</v>
      </c>
      <c r="S69" s="82" t="e">
        <f t="shared" si="25"/>
        <v>#REF!</v>
      </c>
      <c r="T69" s="82" t="e">
        <f t="shared" si="25"/>
        <v>#REF!</v>
      </c>
      <c r="U69" s="82" t="e">
        <f t="shared" si="25"/>
        <v>#REF!</v>
      </c>
      <c r="V69" s="82" t="e">
        <f t="shared" si="25"/>
        <v>#REF!</v>
      </c>
      <c r="W69" s="82" t="e">
        <f t="shared" si="25"/>
        <v>#REF!</v>
      </c>
      <c r="X69" s="82" t="e">
        <f t="shared" si="25"/>
        <v>#REF!</v>
      </c>
      <c r="Y69" s="82" t="e">
        <f t="shared" si="25"/>
        <v>#REF!</v>
      </c>
      <c r="Z69" s="82" t="e">
        <f t="shared" si="25"/>
        <v>#REF!</v>
      </c>
      <c r="AA69" s="82" t="e">
        <f t="shared" si="25"/>
        <v>#REF!</v>
      </c>
      <c r="AB69" s="82" t="e">
        <f t="shared" si="25"/>
        <v>#REF!</v>
      </c>
      <c r="AC69" s="98" t="e">
        <f>SUM(D69:AB69)</f>
        <v>#REF!</v>
      </c>
    </row>
    <row r="70" spans="1:29" hidden="1" x14ac:dyDescent="0.25">
      <c r="B70" s="51" t="s">
        <v>98</v>
      </c>
      <c r="C70" s="51"/>
      <c r="D70" s="82">
        <f>D65+D66-D69</f>
        <v>0</v>
      </c>
      <c r="E70" s="82" t="e">
        <f>E65+E66-E69+E67</f>
        <v>#REF!</v>
      </c>
      <c r="F70" s="82" t="e">
        <f t="shared" ref="F70:AB70" si="26">F65+F66-F69+F67</f>
        <v>#REF!</v>
      </c>
      <c r="G70" s="82" t="e">
        <f t="shared" si="26"/>
        <v>#REF!</v>
      </c>
      <c r="H70" s="82" t="e">
        <f t="shared" si="26"/>
        <v>#REF!</v>
      </c>
      <c r="I70" s="82" t="e">
        <f t="shared" si="26"/>
        <v>#REF!</v>
      </c>
      <c r="J70" s="112" t="e">
        <f t="shared" si="26"/>
        <v>#REF!</v>
      </c>
      <c r="K70" s="82" t="e">
        <f t="shared" si="26"/>
        <v>#REF!</v>
      </c>
      <c r="L70" s="82" t="e">
        <f t="shared" si="26"/>
        <v>#REF!</v>
      </c>
      <c r="M70" s="82" t="e">
        <f t="shared" si="26"/>
        <v>#REF!</v>
      </c>
      <c r="N70" s="82" t="e">
        <f t="shared" si="26"/>
        <v>#REF!</v>
      </c>
      <c r="O70" s="82" t="e">
        <f t="shared" si="26"/>
        <v>#REF!</v>
      </c>
      <c r="P70" s="82" t="e">
        <f t="shared" si="26"/>
        <v>#REF!</v>
      </c>
      <c r="Q70" s="82" t="e">
        <f t="shared" si="26"/>
        <v>#REF!</v>
      </c>
      <c r="R70" s="82" t="e">
        <f t="shared" si="26"/>
        <v>#REF!</v>
      </c>
      <c r="S70" s="82" t="e">
        <f t="shared" si="26"/>
        <v>#REF!</v>
      </c>
      <c r="T70" s="82" t="e">
        <f t="shared" si="26"/>
        <v>#REF!</v>
      </c>
      <c r="U70" s="82" t="e">
        <f t="shared" si="26"/>
        <v>#REF!</v>
      </c>
      <c r="V70" s="82" t="e">
        <f t="shared" si="26"/>
        <v>#REF!</v>
      </c>
      <c r="W70" s="82" t="e">
        <f t="shared" si="26"/>
        <v>#REF!</v>
      </c>
      <c r="X70" s="82" t="e">
        <f t="shared" si="26"/>
        <v>#REF!</v>
      </c>
      <c r="Y70" s="82" t="e">
        <f t="shared" si="26"/>
        <v>#REF!</v>
      </c>
      <c r="Z70" s="82" t="e">
        <f t="shared" si="26"/>
        <v>#REF!</v>
      </c>
      <c r="AA70" s="82" t="e">
        <f t="shared" si="26"/>
        <v>#REF!</v>
      </c>
      <c r="AB70" s="82" t="e">
        <f t="shared" si="26"/>
        <v>#REF!</v>
      </c>
      <c r="AC70" s="98"/>
    </row>
    <row r="71" spans="1:29" x14ac:dyDescent="0.25">
      <c r="B71" s="47"/>
      <c r="C71" s="78"/>
      <c r="T71" s="80"/>
      <c r="U71" s="80"/>
      <c r="V71" s="80"/>
      <c r="W71" s="80"/>
    </row>
    <row r="72" spans="1:29" x14ac:dyDescent="0.25">
      <c r="D72" s="80"/>
      <c r="E72" s="80"/>
      <c r="F72" s="80"/>
      <c r="G72" s="80"/>
      <c r="H72" s="80"/>
      <c r="I72" s="80"/>
      <c r="J72" s="80"/>
      <c r="K72" s="80"/>
      <c r="L72" s="80"/>
      <c r="M72" s="80"/>
      <c r="N72" s="80"/>
      <c r="O72" s="80"/>
      <c r="P72" s="80"/>
      <c r="Q72" s="80"/>
      <c r="R72" s="80"/>
      <c r="S72" s="80"/>
      <c r="T72" s="80"/>
      <c r="U72" s="80"/>
      <c r="V72" s="80"/>
      <c r="W72" s="80"/>
    </row>
    <row r="73" spans="1:29" x14ac:dyDescent="0.25">
      <c r="A73" s="70">
        <v>3</v>
      </c>
      <c r="B73" s="47" t="s">
        <v>142</v>
      </c>
      <c r="C73" s="151">
        <f>Assumption_Hatchery!C76</f>
        <v>0.09</v>
      </c>
      <c r="D73" s="80"/>
      <c r="E73" s="80"/>
      <c r="F73" s="80"/>
      <c r="G73" s="80"/>
      <c r="H73" s="80"/>
      <c r="I73" s="80"/>
      <c r="J73" s="80"/>
      <c r="K73" s="80"/>
      <c r="L73" s="80"/>
      <c r="M73" s="80"/>
      <c r="N73" s="80"/>
      <c r="O73" s="80"/>
      <c r="P73" s="80"/>
      <c r="Q73" s="80"/>
      <c r="R73" s="80"/>
      <c r="S73" s="80"/>
      <c r="T73" s="80"/>
      <c r="U73" s="80"/>
      <c r="V73" s="80"/>
      <c r="W73" s="80"/>
    </row>
    <row r="74" spans="1:29" x14ac:dyDescent="0.25">
      <c r="A74" s="100"/>
      <c r="C74" s="78"/>
      <c r="D74" s="80"/>
      <c r="E74" s="80"/>
      <c r="F74" s="80"/>
      <c r="G74" s="80"/>
      <c r="H74" s="80"/>
      <c r="I74" s="80"/>
      <c r="J74" s="80"/>
      <c r="K74" s="80"/>
      <c r="L74" s="80"/>
      <c r="M74" s="80"/>
      <c r="N74" s="80"/>
      <c r="O74" s="80"/>
      <c r="P74" s="80"/>
      <c r="Q74" s="80"/>
      <c r="R74" s="80"/>
      <c r="S74" s="80"/>
      <c r="T74" s="80"/>
      <c r="U74" s="80"/>
      <c r="V74" s="80"/>
      <c r="W74" s="80"/>
    </row>
    <row r="75" spans="1:29" x14ac:dyDescent="0.25">
      <c r="A75" s="70">
        <v>4</v>
      </c>
      <c r="B75" s="47" t="s">
        <v>148</v>
      </c>
      <c r="C75" s="78"/>
      <c r="D75" s="80"/>
      <c r="E75" s="80"/>
      <c r="F75" s="80"/>
      <c r="G75" s="80"/>
      <c r="H75" s="80"/>
      <c r="I75" s="80"/>
      <c r="J75" s="80"/>
      <c r="K75" s="80"/>
      <c r="L75" s="80"/>
      <c r="M75" s="80"/>
      <c r="N75" s="80"/>
      <c r="O75" s="80"/>
      <c r="P75" s="80"/>
      <c r="Q75" s="80"/>
      <c r="R75" s="80"/>
      <c r="S75" s="80"/>
      <c r="T75" s="80"/>
      <c r="U75" s="80"/>
      <c r="V75" s="80"/>
      <c r="W75" s="80"/>
    </row>
    <row r="76" spans="1:29" ht="48" customHeight="1" x14ac:dyDescent="0.25">
      <c r="B76" t="s">
        <v>149</v>
      </c>
      <c r="C76" s="274" t="s">
        <v>153</v>
      </c>
      <c r="D76" s="274"/>
      <c r="E76" s="274"/>
      <c r="F76" s="274"/>
      <c r="G76" s="80"/>
      <c r="H76" s="80"/>
      <c r="I76" s="80"/>
      <c r="J76" s="80"/>
      <c r="K76" s="80"/>
      <c r="L76" s="80"/>
      <c r="M76" s="80"/>
      <c r="N76" s="80"/>
      <c r="O76" s="80"/>
      <c r="P76" s="80"/>
      <c r="Q76" s="80"/>
      <c r="R76" s="80"/>
      <c r="S76" s="80"/>
      <c r="T76" s="80"/>
      <c r="U76" s="80"/>
      <c r="V76" s="80"/>
      <c r="W76" s="80"/>
    </row>
    <row r="77" spans="1:29" x14ac:dyDescent="0.25">
      <c r="B77" s="72"/>
      <c r="C77" s="17" t="s">
        <v>22</v>
      </c>
      <c r="D77" s="17">
        <v>1</v>
      </c>
      <c r="E77" s="17">
        <v>2</v>
      </c>
      <c r="F77" s="17">
        <v>3</v>
      </c>
      <c r="G77" s="80"/>
      <c r="H77" s="80"/>
      <c r="I77" s="80"/>
      <c r="J77" s="80"/>
      <c r="K77" s="80"/>
      <c r="L77" s="80"/>
      <c r="M77" s="80"/>
      <c r="N77" s="80"/>
      <c r="O77" s="80"/>
      <c r="P77" s="80"/>
      <c r="Q77" s="80"/>
      <c r="R77" s="80"/>
      <c r="S77" s="80"/>
      <c r="T77" s="80"/>
      <c r="U77" s="80"/>
      <c r="V77" s="80"/>
      <c r="W77" s="80"/>
    </row>
    <row r="78" spans="1:29" x14ac:dyDescent="0.25">
      <c r="B78" t="s">
        <v>92</v>
      </c>
      <c r="C78" s="70"/>
      <c r="D78" s="75">
        <f>Assumption_Hatchery!D81</f>
        <v>0</v>
      </c>
      <c r="E78" s="75">
        <f>Assumption_Hatchery!E81</f>
        <v>0</v>
      </c>
      <c r="F78" s="75">
        <f>Assumption_Hatchery!F81</f>
        <v>1</v>
      </c>
      <c r="G78" s="80"/>
      <c r="H78" s="80"/>
      <c r="I78" s="80"/>
      <c r="J78" s="80"/>
      <c r="K78" s="80"/>
      <c r="L78" s="80"/>
      <c r="M78" s="80"/>
      <c r="N78" s="80"/>
      <c r="O78" s="80"/>
      <c r="P78" s="80"/>
      <c r="Q78" s="80"/>
      <c r="R78" s="80"/>
      <c r="S78" s="80"/>
      <c r="T78" s="80"/>
      <c r="U78" s="80"/>
      <c r="V78" s="80"/>
      <c r="W78" s="80"/>
    </row>
    <row r="79" spans="1:29" x14ac:dyDescent="0.25">
      <c r="B79" t="s">
        <v>94</v>
      </c>
      <c r="C79" s="70"/>
      <c r="D79" s="151">
        <f>Assumption_Hatchery!D82</f>
        <v>0</v>
      </c>
      <c r="E79" s="151">
        <f>Assumption_Hatchery!E82</f>
        <v>0</v>
      </c>
      <c r="F79" s="151">
        <f>Assumption_Hatchery!F82</f>
        <v>0.5</v>
      </c>
      <c r="G79" s="80"/>
      <c r="H79" s="80"/>
      <c r="I79" s="80"/>
      <c r="J79" s="80"/>
      <c r="K79" s="80"/>
      <c r="L79" s="80"/>
      <c r="M79" s="80"/>
      <c r="N79" s="80"/>
      <c r="O79" s="80"/>
      <c r="P79" s="80"/>
      <c r="Q79" s="80"/>
      <c r="R79" s="80"/>
      <c r="S79" s="80"/>
      <c r="T79" s="80"/>
      <c r="U79" s="80"/>
      <c r="V79" s="80"/>
      <c r="W79" s="80"/>
    </row>
    <row r="80" spans="1:29" x14ac:dyDescent="0.25">
      <c r="C80" s="100"/>
      <c r="D80" s="78"/>
      <c r="E80" s="78"/>
      <c r="F80" s="78"/>
      <c r="G80" s="80"/>
      <c r="H80" s="80"/>
      <c r="I80" s="80"/>
      <c r="J80" s="80"/>
      <c r="K80" s="80"/>
      <c r="L80" s="80"/>
      <c r="M80" s="80"/>
      <c r="N80" s="80"/>
      <c r="O80" s="80"/>
      <c r="P80" s="80"/>
      <c r="Q80" s="80"/>
      <c r="R80" s="80"/>
      <c r="S80" s="80"/>
      <c r="T80" s="80"/>
      <c r="U80" s="80"/>
      <c r="V80" s="80"/>
      <c r="W80" s="80"/>
    </row>
    <row r="82" spans="2:30" x14ac:dyDescent="0.25">
      <c r="B82" s="72"/>
      <c r="C82" s="17" t="s">
        <v>22</v>
      </c>
      <c r="D82" s="17">
        <v>0</v>
      </c>
      <c r="E82" s="17">
        <v>1</v>
      </c>
      <c r="F82" s="17">
        <v>2</v>
      </c>
      <c r="G82" s="17">
        <v>3</v>
      </c>
      <c r="H82" s="17">
        <v>4</v>
      </c>
      <c r="I82" s="17">
        <v>5</v>
      </c>
      <c r="J82" s="17">
        <v>6</v>
      </c>
      <c r="K82" s="17">
        <v>7</v>
      </c>
      <c r="L82" s="17">
        <v>8</v>
      </c>
      <c r="M82" s="17">
        <v>9</v>
      </c>
      <c r="N82" s="17">
        <v>10</v>
      </c>
      <c r="O82" s="17">
        <v>11</v>
      </c>
      <c r="P82" s="17">
        <v>12</v>
      </c>
      <c r="Q82" s="17">
        <v>13</v>
      </c>
      <c r="R82" s="17">
        <v>14</v>
      </c>
      <c r="S82" s="17">
        <v>15</v>
      </c>
      <c r="T82" s="17">
        <v>16</v>
      </c>
      <c r="U82" s="17">
        <v>17</v>
      </c>
      <c r="V82" s="17">
        <v>18</v>
      </c>
      <c r="W82" s="17">
        <v>19</v>
      </c>
      <c r="X82" s="17">
        <v>20</v>
      </c>
      <c r="Y82" s="17">
        <v>21</v>
      </c>
      <c r="Z82" s="17">
        <v>22</v>
      </c>
      <c r="AA82" s="17">
        <v>23</v>
      </c>
      <c r="AB82" s="17">
        <v>24</v>
      </c>
    </row>
    <row r="83" spans="2:30" x14ac:dyDescent="0.25">
      <c r="B83" t="s">
        <v>92</v>
      </c>
      <c r="C83" s="70"/>
      <c r="D83" s="70"/>
      <c r="E83" s="70">
        <f>D78</f>
        <v>0</v>
      </c>
      <c r="F83" s="70">
        <f>E78</f>
        <v>0</v>
      </c>
      <c r="G83" s="70">
        <f>F78</f>
        <v>1</v>
      </c>
      <c r="H83" s="70">
        <f>D78</f>
        <v>0</v>
      </c>
      <c r="I83" s="70">
        <f t="shared" ref="I83:J83" si="27">E78</f>
        <v>0</v>
      </c>
      <c r="J83" s="70">
        <f t="shared" si="27"/>
        <v>1</v>
      </c>
      <c r="K83" s="70">
        <f>D78</f>
        <v>0</v>
      </c>
      <c r="L83" s="70">
        <f t="shared" ref="L83:M83" si="28">E78</f>
        <v>0</v>
      </c>
      <c r="M83" s="70">
        <f t="shared" si="28"/>
        <v>1</v>
      </c>
      <c r="N83" s="70">
        <f>D78</f>
        <v>0</v>
      </c>
      <c r="O83" s="70">
        <f t="shared" ref="O83:P83" si="29">E78</f>
        <v>0</v>
      </c>
      <c r="P83" s="70">
        <f t="shared" si="29"/>
        <v>1</v>
      </c>
      <c r="Q83" s="70">
        <f>D78</f>
        <v>0</v>
      </c>
      <c r="R83" s="70">
        <f t="shared" ref="R83:S83" si="30">E78</f>
        <v>0</v>
      </c>
      <c r="S83" s="70">
        <f t="shared" si="30"/>
        <v>1</v>
      </c>
      <c r="T83" s="70">
        <f>D78</f>
        <v>0</v>
      </c>
      <c r="U83" s="70">
        <f t="shared" ref="U83:V83" si="31">E78</f>
        <v>0</v>
      </c>
      <c r="V83" s="70">
        <f t="shared" si="31"/>
        <v>1</v>
      </c>
      <c r="W83" s="70">
        <f>D78</f>
        <v>0</v>
      </c>
      <c r="X83" s="70">
        <f t="shared" ref="X83:Y83" si="32">E78</f>
        <v>0</v>
      </c>
      <c r="Y83" s="70">
        <f t="shared" si="32"/>
        <v>1</v>
      </c>
      <c r="Z83" s="70">
        <f>D78</f>
        <v>0</v>
      </c>
      <c r="AA83" s="70">
        <f t="shared" ref="AA83:AB83" si="33">E78</f>
        <v>0</v>
      </c>
      <c r="AB83" s="70">
        <f t="shared" si="33"/>
        <v>1</v>
      </c>
    </row>
    <row r="84" spans="2:30" x14ac:dyDescent="0.25">
      <c r="B84" t="s">
        <v>94</v>
      </c>
      <c r="C84" s="70"/>
      <c r="D84" s="75"/>
      <c r="E84" s="63">
        <f>$D79</f>
        <v>0</v>
      </c>
      <c r="F84" s="115">
        <f>$E79</f>
        <v>0</v>
      </c>
      <c r="G84" s="115">
        <f>$F79</f>
        <v>0.5</v>
      </c>
      <c r="H84" s="63">
        <f>$D79</f>
        <v>0</v>
      </c>
      <c r="I84" s="115">
        <f>$E79</f>
        <v>0</v>
      </c>
      <c r="J84" s="115">
        <f>$F79</f>
        <v>0.5</v>
      </c>
      <c r="K84" s="63">
        <f>$D79</f>
        <v>0</v>
      </c>
      <c r="L84" s="115">
        <f>$E79</f>
        <v>0</v>
      </c>
      <c r="M84" s="115">
        <f>$F79</f>
        <v>0.5</v>
      </c>
      <c r="N84" s="63">
        <f>$D79</f>
        <v>0</v>
      </c>
      <c r="O84" s="115">
        <f>$E79</f>
        <v>0</v>
      </c>
      <c r="P84" s="115">
        <f>$F79</f>
        <v>0.5</v>
      </c>
      <c r="Q84" s="63">
        <f>$D79</f>
        <v>0</v>
      </c>
      <c r="R84" s="115">
        <f>$E79</f>
        <v>0</v>
      </c>
      <c r="S84" s="115">
        <f>$F79</f>
        <v>0.5</v>
      </c>
      <c r="T84" s="63">
        <f>$D79</f>
        <v>0</v>
      </c>
      <c r="U84" s="115">
        <f>$E79</f>
        <v>0</v>
      </c>
      <c r="V84" s="115">
        <f>$F79</f>
        <v>0.5</v>
      </c>
      <c r="W84" s="63">
        <f>$D79</f>
        <v>0</v>
      </c>
      <c r="X84" s="115">
        <f>$E79</f>
        <v>0</v>
      </c>
      <c r="Y84" s="115">
        <f>$F79</f>
        <v>0.5</v>
      </c>
      <c r="Z84" s="63">
        <f>$D79</f>
        <v>0</v>
      </c>
      <c r="AA84" s="115">
        <f>$E79</f>
        <v>0</v>
      </c>
      <c r="AB84" s="115">
        <f>$F79</f>
        <v>0.5</v>
      </c>
      <c r="AC84" s="116"/>
      <c r="AD84" s="116"/>
    </row>
    <row r="85" spans="2:30" x14ac:dyDescent="0.25">
      <c r="C85" s="100"/>
      <c r="D85" s="78"/>
      <c r="E85" s="78"/>
      <c r="F85" s="78"/>
      <c r="G85" s="78"/>
      <c r="H85" s="78"/>
      <c r="I85" s="78"/>
      <c r="J85" s="78"/>
      <c r="K85" s="78"/>
      <c r="L85" s="78"/>
      <c r="M85" s="78"/>
      <c r="N85" s="78"/>
      <c r="O85" s="78"/>
      <c r="P85" s="78"/>
      <c r="Q85" s="78"/>
      <c r="R85" s="78"/>
      <c r="S85" s="78"/>
      <c r="T85" s="78"/>
      <c r="U85" s="78"/>
      <c r="V85" s="78"/>
      <c r="W85" s="78"/>
      <c r="X85" s="78"/>
      <c r="Y85" s="114"/>
      <c r="Z85" s="114"/>
      <c r="AA85" s="114"/>
      <c r="AB85" s="114"/>
      <c r="AC85" s="114"/>
    </row>
    <row r="86" spans="2:30" x14ac:dyDescent="0.25">
      <c r="C86" s="100"/>
      <c r="D86" s="113"/>
      <c r="E86" s="113"/>
      <c r="F86" s="113"/>
      <c r="G86" s="113"/>
      <c r="H86" s="113"/>
      <c r="I86" s="113"/>
      <c r="J86" s="113"/>
      <c r="K86" s="113"/>
      <c r="L86" s="113"/>
      <c r="M86" s="113"/>
      <c r="N86" s="113"/>
      <c r="O86" s="113"/>
      <c r="P86" s="113"/>
      <c r="Q86" s="113"/>
      <c r="R86" s="113"/>
      <c r="S86" s="113"/>
      <c r="T86" s="113"/>
      <c r="U86" s="113"/>
      <c r="V86" s="113"/>
      <c r="W86" s="113"/>
      <c r="X86" s="113"/>
    </row>
    <row r="87" spans="2:30" x14ac:dyDescent="0.25">
      <c r="C87" s="100"/>
      <c r="D87" s="113"/>
      <c r="E87" s="113"/>
      <c r="F87" s="113"/>
      <c r="G87" s="113"/>
      <c r="H87" s="113"/>
      <c r="I87" s="113"/>
      <c r="J87" s="113"/>
      <c r="K87" s="113"/>
      <c r="L87" s="113"/>
      <c r="M87" s="113"/>
      <c r="N87" s="113"/>
      <c r="O87" s="113"/>
      <c r="P87" s="113"/>
      <c r="Q87" s="113"/>
      <c r="R87" s="113"/>
      <c r="S87" s="113"/>
      <c r="T87" s="113"/>
      <c r="U87" s="113"/>
      <c r="V87" s="113"/>
      <c r="W87" s="113"/>
      <c r="X87" s="113"/>
    </row>
    <row r="88" spans="2:30" x14ac:dyDescent="0.25">
      <c r="B88" s="47" t="s">
        <v>150</v>
      </c>
      <c r="C88" s="100"/>
      <c r="D88" s="113"/>
      <c r="E88" s="113"/>
      <c r="F88" s="113"/>
      <c r="G88" s="113"/>
      <c r="H88" s="113"/>
      <c r="I88" s="113"/>
      <c r="J88" s="113"/>
      <c r="K88" s="113"/>
      <c r="L88" s="113"/>
      <c r="M88" s="113"/>
      <c r="N88" s="113"/>
      <c r="O88" s="113"/>
      <c r="P88" s="113"/>
      <c r="Q88" s="113"/>
      <c r="R88" s="113"/>
      <c r="S88" s="113"/>
      <c r="T88" s="113"/>
      <c r="U88" s="113"/>
      <c r="V88" s="113"/>
      <c r="W88" s="113"/>
      <c r="X88" s="113"/>
    </row>
    <row r="89" spans="2:30" x14ac:dyDescent="0.25">
      <c r="C89" s="100"/>
      <c r="D89" s="113"/>
      <c r="E89" s="113"/>
      <c r="F89" s="113"/>
      <c r="G89" s="113"/>
      <c r="H89" s="113"/>
      <c r="I89" s="113"/>
      <c r="J89" s="113"/>
      <c r="K89" s="113"/>
      <c r="L89" s="113"/>
      <c r="M89" s="113"/>
      <c r="N89" s="113"/>
      <c r="O89" s="113"/>
      <c r="P89" s="113"/>
      <c r="Q89" s="113"/>
      <c r="R89" s="113"/>
      <c r="S89" s="113"/>
      <c r="T89" s="113"/>
      <c r="U89" s="113"/>
      <c r="V89" s="113"/>
      <c r="W89" s="113"/>
      <c r="X89" s="113"/>
    </row>
    <row r="90" spans="2:30" ht="38.450000000000003" customHeight="1" x14ac:dyDescent="0.25">
      <c r="B90" t="s">
        <v>149</v>
      </c>
      <c r="C90" s="274" t="s">
        <v>152</v>
      </c>
      <c r="D90" s="274"/>
      <c r="E90" s="274"/>
      <c r="F90" s="274"/>
      <c r="G90" s="80"/>
      <c r="H90" s="80"/>
      <c r="I90" s="80"/>
      <c r="J90" s="80"/>
      <c r="K90" s="80"/>
      <c r="L90" s="80"/>
      <c r="M90" s="80"/>
      <c r="N90" s="80"/>
      <c r="O90" s="80"/>
      <c r="P90" s="80"/>
      <c r="Q90" s="80"/>
      <c r="R90" s="80"/>
      <c r="S90" s="80"/>
      <c r="T90" s="80"/>
      <c r="U90" s="80"/>
      <c r="V90" s="80"/>
      <c r="W90" s="80"/>
    </row>
    <row r="91" spans="2:30" x14ac:dyDescent="0.25">
      <c r="B91" s="72"/>
      <c r="C91" s="17" t="s">
        <v>22</v>
      </c>
      <c r="D91" s="17">
        <v>1</v>
      </c>
      <c r="E91" s="17">
        <v>2</v>
      </c>
      <c r="F91" s="17">
        <v>3</v>
      </c>
      <c r="G91" s="80"/>
      <c r="H91" s="80"/>
      <c r="I91" s="80"/>
      <c r="J91" s="80"/>
      <c r="K91" s="80"/>
      <c r="L91" s="80"/>
      <c r="M91" s="80"/>
      <c r="N91" s="80"/>
      <c r="O91" s="80"/>
      <c r="P91" s="80"/>
      <c r="Q91" s="80"/>
      <c r="R91" s="80"/>
      <c r="S91" s="80"/>
      <c r="T91" s="80"/>
      <c r="U91" s="80"/>
      <c r="V91" s="80"/>
      <c r="W91" s="80"/>
    </row>
    <row r="92" spans="2:30" x14ac:dyDescent="0.25">
      <c r="B92" t="s">
        <v>92</v>
      </c>
      <c r="C92" s="70"/>
      <c r="D92" s="75">
        <f>Assumption_Hatchery!D95</f>
        <v>0</v>
      </c>
      <c r="E92" s="75">
        <f>Assumption_Hatchery!E95</f>
        <v>0</v>
      </c>
      <c r="F92" s="75">
        <f>Assumption_Hatchery!F95</f>
        <v>1</v>
      </c>
      <c r="G92" s="80"/>
      <c r="H92" s="80"/>
      <c r="I92" s="80"/>
      <c r="J92" s="80"/>
      <c r="K92" s="80"/>
      <c r="L92" s="80"/>
      <c r="M92" s="80"/>
      <c r="N92" s="80"/>
      <c r="O92" s="80"/>
      <c r="P92" s="80"/>
      <c r="Q92" s="80"/>
      <c r="R92" s="80"/>
      <c r="S92" s="80"/>
      <c r="T92" s="80"/>
      <c r="U92" s="80"/>
      <c r="V92" s="80"/>
      <c r="W92" s="80"/>
    </row>
    <row r="93" spans="2:30" x14ac:dyDescent="0.25">
      <c r="B93" t="s">
        <v>94</v>
      </c>
      <c r="C93" s="70"/>
      <c r="D93" s="151">
        <f>Assumption_Hatchery!D96</f>
        <v>0</v>
      </c>
      <c r="E93" s="151">
        <f>Assumption_Hatchery!E96</f>
        <v>0</v>
      </c>
      <c r="F93" s="151">
        <f>Assumption_Hatchery!F96</f>
        <v>0.5</v>
      </c>
      <c r="G93" s="80"/>
      <c r="H93" s="80"/>
      <c r="I93" s="80"/>
      <c r="J93" s="80"/>
      <c r="K93" s="80"/>
      <c r="L93" s="80"/>
      <c r="M93" s="80"/>
      <c r="N93" s="80"/>
      <c r="O93" s="80"/>
      <c r="P93" s="80"/>
      <c r="Q93" s="80"/>
      <c r="R93" s="80"/>
      <c r="S93" s="80"/>
      <c r="T93" s="80"/>
      <c r="U93" s="80"/>
      <c r="V93" s="80"/>
      <c r="W93" s="80"/>
    </row>
    <row r="94" spans="2:30" x14ac:dyDescent="0.25">
      <c r="C94" s="100"/>
      <c r="D94" s="78"/>
      <c r="E94" s="78"/>
      <c r="F94" s="78"/>
      <c r="G94" s="80"/>
      <c r="H94" s="80"/>
      <c r="I94" s="80"/>
      <c r="J94" s="80"/>
      <c r="K94" s="80"/>
      <c r="L94" s="80"/>
      <c r="M94" s="80"/>
      <c r="N94" s="80"/>
      <c r="O94" s="80"/>
      <c r="P94" s="80"/>
      <c r="Q94" s="80"/>
      <c r="R94" s="80"/>
      <c r="S94" s="80"/>
      <c r="T94" s="80"/>
      <c r="U94" s="80"/>
      <c r="V94" s="80"/>
      <c r="W94" s="80"/>
    </row>
    <row r="96" spans="2:30" x14ac:dyDescent="0.25">
      <c r="B96" s="72"/>
      <c r="C96" s="17" t="s">
        <v>22</v>
      </c>
      <c r="D96" s="17">
        <v>0</v>
      </c>
      <c r="E96" s="17">
        <v>1</v>
      </c>
      <c r="F96" s="17">
        <v>2</v>
      </c>
      <c r="G96" s="17">
        <v>3</v>
      </c>
      <c r="H96" s="17">
        <v>4</v>
      </c>
      <c r="I96" s="17">
        <v>5</v>
      </c>
      <c r="J96" s="17">
        <v>6</v>
      </c>
      <c r="K96" s="17">
        <v>7</v>
      </c>
      <c r="L96" s="17">
        <v>8</v>
      </c>
      <c r="M96" s="17">
        <v>9</v>
      </c>
      <c r="N96" s="17">
        <v>10</v>
      </c>
      <c r="O96" s="17">
        <v>11</v>
      </c>
      <c r="P96" s="17">
        <v>12</v>
      </c>
      <c r="Q96" s="17">
        <v>13</v>
      </c>
      <c r="R96" s="17">
        <v>14</v>
      </c>
      <c r="S96" s="17">
        <v>15</v>
      </c>
      <c r="T96" s="17">
        <v>16</v>
      </c>
      <c r="U96" s="17">
        <v>17</v>
      </c>
      <c r="V96" s="17">
        <v>18</v>
      </c>
      <c r="W96" s="17">
        <v>19</v>
      </c>
      <c r="X96" s="17">
        <v>20</v>
      </c>
      <c r="Y96" s="17">
        <v>21</v>
      </c>
      <c r="Z96" s="17">
        <v>22</v>
      </c>
      <c r="AA96" s="17">
        <v>23</v>
      </c>
      <c r="AB96" s="17">
        <v>24</v>
      </c>
    </row>
    <row r="97" spans="2:30" x14ac:dyDescent="0.25">
      <c r="B97" t="s">
        <v>92</v>
      </c>
      <c r="C97" s="70"/>
      <c r="D97" s="70"/>
      <c r="E97" s="70">
        <f>D92</f>
        <v>0</v>
      </c>
      <c r="F97" s="70">
        <f>E92</f>
        <v>0</v>
      </c>
      <c r="G97" s="70">
        <f>F92</f>
        <v>1</v>
      </c>
      <c r="H97" s="70">
        <f>D92</f>
        <v>0</v>
      </c>
      <c r="I97" s="70">
        <f t="shared" ref="I97:J97" si="34">E92</f>
        <v>0</v>
      </c>
      <c r="J97" s="70">
        <f t="shared" si="34"/>
        <v>1</v>
      </c>
      <c r="K97" s="70">
        <f>D92</f>
        <v>0</v>
      </c>
      <c r="L97" s="70">
        <f t="shared" ref="L97:M97" si="35">E92</f>
        <v>0</v>
      </c>
      <c r="M97" s="70">
        <f t="shared" si="35"/>
        <v>1</v>
      </c>
      <c r="N97" s="70">
        <f>D92</f>
        <v>0</v>
      </c>
      <c r="O97" s="70">
        <f t="shared" ref="O97:P97" si="36">E92</f>
        <v>0</v>
      </c>
      <c r="P97" s="70">
        <f t="shared" si="36"/>
        <v>1</v>
      </c>
      <c r="Q97" s="70">
        <f>D92</f>
        <v>0</v>
      </c>
      <c r="R97" s="70">
        <f t="shared" ref="R97:S97" si="37">E92</f>
        <v>0</v>
      </c>
      <c r="S97" s="70">
        <f t="shared" si="37"/>
        <v>1</v>
      </c>
      <c r="T97" s="70">
        <f>D92</f>
        <v>0</v>
      </c>
      <c r="U97" s="70">
        <f t="shared" ref="U97:V97" si="38">E92</f>
        <v>0</v>
      </c>
      <c r="V97" s="70">
        <f t="shared" si="38"/>
        <v>1</v>
      </c>
      <c r="W97" s="70">
        <f>D92</f>
        <v>0</v>
      </c>
      <c r="X97" s="70">
        <f t="shared" ref="X97:Y97" si="39">E92</f>
        <v>0</v>
      </c>
      <c r="Y97" s="70">
        <f t="shared" si="39"/>
        <v>1</v>
      </c>
      <c r="Z97" s="70">
        <f>D92</f>
        <v>0</v>
      </c>
      <c r="AA97" s="70">
        <f t="shared" ref="AA97:AB97" si="40">E92</f>
        <v>0</v>
      </c>
      <c r="AB97" s="70">
        <f t="shared" si="40"/>
        <v>1</v>
      </c>
    </row>
    <row r="98" spans="2:30" x14ac:dyDescent="0.25">
      <c r="B98" t="s">
        <v>94</v>
      </c>
      <c r="C98" s="70"/>
      <c r="D98" s="75"/>
      <c r="E98" s="63">
        <f>$D93</f>
        <v>0</v>
      </c>
      <c r="F98" s="115">
        <f>$E93</f>
        <v>0</v>
      </c>
      <c r="G98" s="115">
        <f>$F93</f>
        <v>0.5</v>
      </c>
      <c r="H98" s="63">
        <f>$D93</f>
        <v>0</v>
      </c>
      <c r="I98" s="115">
        <f>$E93</f>
        <v>0</v>
      </c>
      <c r="J98" s="115">
        <f>$F93</f>
        <v>0.5</v>
      </c>
      <c r="K98" s="63">
        <f>$D93</f>
        <v>0</v>
      </c>
      <c r="L98" s="115">
        <f>$E93</f>
        <v>0</v>
      </c>
      <c r="M98" s="115">
        <f>$F93</f>
        <v>0.5</v>
      </c>
      <c r="N98" s="63">
        <f>$D93</f>
        <v>0</v>
      </c>
      <c r="O98" s="115">
        <f>$E93</f>
        <v>0</v>
      </c>
      <c r="P98" s="115">
        <f>$F93</f>
        <v>0.5</v>
      </c>
      <c r="Q98" s="63">
        <f>$D93</f>
        <v>0</v>
      </c>
      <c r="R98" s="115">
        <f>$E93</f>
        <v>0</v>
      </c>
      <c r="S98" s="115">
        <f>$F93</f>
        <v>0.5</v>
      </c>
      <c r="T98" s="63">
        <f>$D93</f>
        <v>0</v>
      </c>
      <c r="U98" s="115">
        <f>$E93</f>
        <v>0</v>
      </c>
      <c r="V98" s="115">
        <f>$F93</f>
        <v>0.5</v>
      </c>
      <c r="W98" s="63">
        <f>$D93</f>
        <v>0</v>
      </c>
      <c r="X98" s="115">
        <f>$E93</f>
        <v>0</v>
      </c>
      <c r="Y98" s="115">
        <f>$F93</f>
        <v>0.5</v>
      </c>
      <c r="Z98" s="63">
        <f>$D93</f>
        <v>0</v>
      </c>
      <c r="AA98" s="115">
        <f>$E93</f>
        <v>0</v>
      </c>
      <c r="AB98" s="115">
        <f>$F93</f>
        <v>0.5</v>
      </c>
      <c r="AC98" s="116"/>
      <c r="AD98" s="116"/>
    </row>
    <row r="99" spans="2:30" x14ac:dyDescent="0.25">
      <c r="C99" s="100"/>
      <c r="D99" s="113"/>
      <c r="E99" s="113"/>
      <c r="F99" s="113"/>
      <c r="G99" s="113"/>
      <c r="H99" s="113"/>
      <c r="I99" s="113"/>
      <c r="J99" s="113"/>
      <c r="K99" s="113"/>
      <c r="L99" s="113"/>
      <c r="M99" s="113"/>
      <c r="N99" s="113"/>
      <c r="O99" s="113"/>
      <c r="P99" s="113"/>
      <c r="Q99" s="113"/>
      <c r="R99" s="113"/>
      <c r="S99" s="113"/>
      <c r="T99" s="113"/>
      <c r="U99" s="113"/>
      <c r="V99" s="113"/>
      <c r="W99" s="113"/>
      <c r="X99" s="113"/>
    </row>
    <row r="100" spans="2:30" x14ac:dyDescent="0.25">
      <c r="B100" s="47" t="s">
        <v>151</v>
      </c>
      <c r="C100" s="100"/>
      <c r="D100" s="113"/>
      <c r="E100" s="113"/>
      <c r="F100" s="113"/>
      <c r="G100" s="113"/>
      <c r="H100" s="113"/>
      <c r="I100" s="113"/>
      <c r="J100" s="113"/>
      <c r="K100" s="113"/>
      <c r="L100" s="113"/>
      <c r="M100" s="113"/>
      <c r="N100" s="113"/>
      <c r="O100" s="113"/>
      <c r="P100" s="113"/>
      <c r="Q100" s="113"/>
      <c r="R100" s="113"/>
      <c r="S100" s="113"/>
      <c r="T100" s="113"/>
      <c r="U100" s="113"/>
      <c r="V100" s="113"/>
      <c r="W100" s="113"/>
      <c r="X100" s="113"/>
    </row>
    <row r="101" spans="2:30" x14ac:dyDescent="0.25">
      <c r="C101" s="100"/>
      <c r="D101" s="113"/>
      <c r="E101" s="113"/>
      <c r="F101" s="113"/>
      <c r="G101" s="113"/>
      <c r="H101" s="113"/>
      <c r="I101" s="113"/>
      <c r="J101" s="113"/>
      <c r="K101" s="113"/>
      <c r="L101" s="113"/>
      <c r="M101" s="113"/>
      <c r="N101" s="113"/>
      <c r="O101" s="113"/>
      <c r="P101" s="113"/>
      <c r="Q101" s="113"/>
      <c r="R101" s="113"/>
      <c r="S101" s="113"/>
      <c r="T101" s="113"/>
      <c r="U101" s="113"/>
      <c r="V101" s="113"/>
      <c r="W101" s="113"/>
      <c r="X101" s="113"/>
    </row>
    <row r="102" spans="2:30" ht="28.15" customHeight="1" x14ac:dyDescent="0.25">
      <c r="B102" t="s">
        <v>149</v>
      </c>
      <c r="C102" s="274" t="s">
        <v>152</v>
      </c>
      <c r="D102" s="274"/>
      <c r="E102" s="274"/>
      <c r="F102" s="274"/>
      <c r="G102" s="80"/>
      <c r="H102" s="80"/>
      <c r="I102" s="80"/>
      <c r="J102" s="80"/>
      <c r="K102" s="80"/>
      <c r="L102" s="80"/>
      <c r="M102" s="80"/>
      <c r="N102" s="80"/>
      <c r="O102" s="80"/>
      <c r="P102" s="80"/>
      <c r="Q102" s="80"/>
      <c r="R102" s="80"/>
      <c r="S102" s="80"/>
      <c r="T102" s="80"/>
      <c r="U102" s="80"/>
      <c r="V102" s="80"/>
      <c r="W102" s="80"/>
    </row>
    <row r="103" spans="2:30" x14ac:dyDescent="0.25">
      <c r="B103" s="72"/>
      <c r="C103" s="17" t="s">
        <v>22</v>
      </c>
      <c r="D103" s="17">
        <v>1</v>
      </c>
      <c r="E103" s="17">
        <v>2</v>
      </c>
      <c r="F103" s="17">
        <v>3</v>
      </c>
      <c r="G103" s="80"/>
      <c r="H103" s="80"/>
      <c r="I103" s="80"/>
      <c r="J103" s="80"/>
      <c r="K103" s="80"/>
      <c r="L103" s="80"/>
      <c r="M103" s="80"/>
      <c r="N103" s="80"/>
      <c r="O103" s="80"/>
      <c r="P103" s="80"/>
      <c r="Q103" s="80"/>
      <c r="R103" s="80"/>
      <c r="S103" s="80"/>
      <c r="T103" s="80"/>
      <c r="U103" s="80"/>
      <c r="V103" s="80"/>
      <c r="W103" s="80"/>
    </row>
    <row r="104" spans="2:30" x14ac:dyDescent="0.25">
      <c r="B104" t="s">
        <v>92</v>
      </c>
      <c r="C104" s="70"/>
      <c r="D104" s="75">
        <f>Assumption_Hatchery!D107</f>
        <v>0</v>
      </c>
      <c r="E104" s="75">
        <f>Assumption_Hatchery!E107</f>
        <v>0</v>
      </c>
      <c r="F104" s="75">
        <f>Assumption_Hatchery!F107</f>
        <v>1</v>
      </c>
      <c r="G104" s="80"/>
      <c r="H104" s="80"/>
      <c r="I104" s="80"/>
      <c r="J104" s="80"/>
      <c r="K104" s="80"/>
      <c r="L104" s="80"/>
      <c r="M104" s="80"/>
      <c r="N104" s="80"/>
      <c r="O104" s="80"/>
      <c r="P104" s="80"/>
      <c r="Q104" s="80"/>
      <c r="R104" s="80"/>
      <c r="S104" s="80"/>
      <c r="T104" s="80"/>
      <c r="U104" s="80"/>
      <c r="V104" s="80"/>
      <c r="W104" s="80"/>
    </row>
    <row r="105" spans="2:30" x14ac:dyDescent="0.25">
      <c r="B105" t="s">
        <v>94</v>
      </c>
      <c r="C105" s="70"/>
      <c r="D105" s="151">
        <f>Assumption_Hatchery!D108</f>
        <v>0</v>
      </c>
      <c r="E105" s="151">
        <f>Assumption_Hatchery!E108</f>
        <v>0</v>
      </c>
      <c r="F105" s="151">
        <f>Assumption_Hatchery!F108</f>
        <v>0.5</v>
      </c>
      <c r="G105" s="80"/>
      <c r="H105" s="80"/>
      <c r="I105" s="80"/>
      <c r="J105" s="80"/>
      <c r="K105" s="80"/>
      <c r="L105" s="80"/>
      <c r="M105" s="80"/>
      <c r="N105" s="80"/>
      <c r="O105" s="80"/>
      <c r="P105" s="80"/>
      <c r="Q105" s="80"/>
      <c r="R105" s="80"/>
      <c r="S105" s="80"/>
      <c r="T105" s="80"/>
      <c r="U105" s="80"/>
      <c r="V105" s="80"/>
      <c r="W105" s="80"/>
    </row>
    <row r="106" spans="2:30" x14ac:dyDescent="0.25">
      <c r="C106" s="100"/>
      <c r="D106" s="78"/>
      <c r="E106" s="78"/>
      <c r="F106" s="78"/>
      <c r="G106" s="80"/>
      <c r="H106" s="80"/>
      <c r="I106" s="80"/>
      <c r="J106" s="80"/>
      <c r="K106" s="80"/>
      <c r="L106" s="80"/>
      <c r="M106" s="80"/>
      <c r="N106" s="80"/>
      <c r="O106" s="80"/>
      <c r="P106" s="80"/>
      <c r="Q106" s="80"/>
      <c r="R106" s="80"/>
      <c r="S106" s="80"/>
      <c r="T106" s="80"/>
      <c r="U106" s="80"/>
      <c r="V106" s="80"/>
      <c r="W106" s="80"/>
    </row>
    <row r="108" spans="2:30" x14ac:dyDescent="0.25">
      <c r="B108" s="72"/>
      <c r="C108" s="17" t="s">
        <v>22</v>
      </c>
      <c r="D108" s="17">
        <v>0</v>
      </c>
      <c r="E108" s="17">
        <v>1</v>
      </c>
      <c r="F108" s="17">
        <v>2</v>
      </c>
      <c r="G108" s="17">
        <v>3</v>
      </c>
      <c r="H108" s="17">
        <v>4</v>
      </c>
      <c r="I108" s="17">
        <v>5</v>
      </c>
      <c r="J108" s="17">
        <v>6</v>
      </c>
      <c r="K108" s="17">
        <v>7</v>
      </c>
      <c r="L108" s="17">
        <v>8</v>
      </c>
      <c r="M108" s="17">
        <v>9</v>
      </c>
      <c r="N108" s="17">
        <v>10</v>
      </c>
      <c r="O108" s="17">
        <v>11</v>
      </c>
      <c r="P108" s="17">
        <v>12</v>
      </c>
      <c r="Q108" s="17">
        <v>13</v>
      </c>
      <c r="R108" s="17">
        <v>14</v>
      </c>
      <c r="S108" s="17">
        <v>15</v>
      </c>
      <c r="T108" s="17">
        <v>16</v>
      </c>
      <c r="U108" s="17">
        <v>17</v>
      </c>
      <c r="V108" s="17">
        <v>18</v>
      </c>
      <c r="W108" s="17">
        <v>19</v>
      </c>
      <c r="X108" s="17">
        <v>20</v>
      </c>
      <c r="Y108" s="17">
        <v>21</v>
      </c>
      <c r="Z108" s="17">
        <v>22</v>
      </c>
      <c r="AA108" s="17">
        <v>23</v>
      </c>
      <c r="AB108" s="17">
        <v>24</v>
      </c>
    </row>
    <row r="109" spans="2:30" x14ac:dyDescent="0.25">
      <c r="B109" t="s">
        <v>92</v>
      </c>
      <c r="C109" s="70"/>
      <c r="D109" s="70"/>
      <c r="E109" s="70">
        <f>D104</f>
        <v>0</v>
      </c>
      <c r="F109" s="70">
        <f>E104</f>
        <v>0</v>
      </c>
      <c r="G109" s="70">
        <f>F104</f>
        <v>1</v>
      </c>
      <c r="H109" s="70">
        <f>D104</f>
        <v>0</v>
      </c>
      <c r="I109" s="70">
        <f t="shared" ref="I109:J109" si="41">E104</f>
        <v>0</v>
      </c>
      <c r="J109" s="70">
        <f t="shared" si="41"/>
        <v>1</v>
      </c>
      <c r="K109" s="70">
        <f>D104</f>
        <v>0</v>
      </c>
      <c r="L109" s="70">
        <f t="shared" ref="L109:M109" si="42">E104</f>
        <v>0</v>
      </c>
      <c r="M109" s="70">
        <f t="shared" si="42"/>
        <v>1</v>
      </c>
      <c r="N109" s="70">
        <f>D104</f>
        <v>0</v>
      </c>
      <c r="O109" s="70">
        <f t="shared" ref="O109:P109" si="43">E104</f>
        <v>0</v>
      </c>
      <c r="P109" s="70">
        <f t="shared" si="43"/>
        <v>1</v>
      </c>
      <c r="Q109" s="70">
        <f>D104</f>
        <v>0</v>
      </c>
      <c r="R109" s="70">
        <f t="shared" ref="R109:S109" si="44">E104</f>
        <v>0</v>
      </c>
      <c r="S109" s="70">
        <f t="shared" si="44"/>
        <v>1</v>
      </c>
      <c r="T109" s="70">
        <f>D104</f>
        <v>0</v>
      </c>
      <c r="U109" s="70">
        <f t="shared" ref="U109:V109" si="45">E104</f>
        <v>0</v>
      </c>
      <c r="V109" s="70">
        <f t="shared" si="45"/>
        <v>1</v>
      </c>
      <c r="W109" s="70">
        <f>D104</f>
        <v>0</v>
      </c>
      <c r="X109" s="70">
        <f t="shared" ref="X109:Y109" si="46">E104</f>
        <v>0</v>
      </c>
      <c r="Y109" s="70">
        <f t="shared" si="46"/>
        <v>1</v>
      </c>
      <c r="Z109" s="70">
        <f>D104</f>
        <v>0</v>
      </c>
      <c r="AA109" s="70">
        <f t="shared" ref="AA109:AB109" si="47">E104</f>
        <v>0</v>
      </c>
      <c r="AB109" s="70">
        <f t="shared" si="47"/>
        <v>1</v>
      </c>
    </row>
    <row r="110" spans="2:30" x14ac:dyDescent="0.25">
      <c r="B110" t="s">
        <v>94</v>
      </c>
      <c r="C110" s="70"/>
      <c r="D110" s="75"/>
      <c r="E110" s="63">
        <f>$D105</f>
        <v>0</v>
      </c>
      <c r="F110" s="115">
        <f>$E105</f>
        <v>0</v>
      </c>
      <c r="G110" s="115">
        <f>$F105</f>
        <v>0.5</v>
      </c>
      <c r="H110" s="63">
        <f>$D105</f>
        <v>0</v>
      </c>
      <c r="I110" s="115">
        <f>$E105</f>
        <v>0</v>
      </c>
      <c r="J110" s="115">
        <f>$F105</f>
        <v>0.5</v>
      </c>
      <c r="K110" s="63">
        <f>$D105</f>
        <v>0</v>
      </c>
      <c r="L110" s="115">
        <f>$E105</f>
        <v>0</v>
      </c>
      <c r="M110" s="115">
        <f>$F105</f>
        <v>0.5</v>
      </c>
      <c r="N110" s="63">
        <f>$D105</f>
        <v>0</v>
      </c>
      <c r="O110" s="115">
        <f>$E105</f>
        <v>0</v>
      </c>
      <c r="P110" s="115">
        <f>$F105</f>
        <v>0.5</v>
      </c>
      <c r="Q110" s="63">
        <f>$D105</f>
        <v>0</v>
      </c>
      <c r="R110" s="115">
        <f>$E105</f>
        <v>0</v>
      </c>
      <c r="S110" s="115">
        <f>$F105</f>
        <v>0.5</v>
      </c>
      <c r="T110" s="63">
        <f>$D105</f>
        <v>0</v>
      </c>
      <c r="U110" s="115">
        <f>$E105</f>
        <v>0</v>
      </c>
      <c r="V110" s="115">
        <f>$F105</f>
        <v>0.5</v>
      </c>
      <c r="W110" s="63">
        <f>$D105</f>
        <v>0</v>
      </c>
      <c r="X110" s="115">
        <f>$E105</f>
        <v>0</v>
      </c>
      <c r="Y110" s="115">
        <f>$F105</f>
        <v>0.5</v>
      </c>
      <c r="Z110" s="63">
        <f>$D105</f>
        <v>0</v>
      </c>
      <c r="AA110" s="115">
        <f>$E105</f>
        <v>0</v>
      </c>
      <c r="AB110" s="115">
        <f>$F105</f>
        <v>0.5</v>
      </c>
      <c r="AC110" s="116"/>
      <c r="AD110" s="116"/>
    </row>
    <row r="111" spans="2:30" x14ac:dyDescent="0.25">
      <c r="C111" s="100"/>
      <c r="D111" s="113"/>
      <c r="E111" s="113"/>
      <c r="F111" s="113"/>
      <c r="G111" s="113"/>
      <c r="H111" s="113"/>
      <c r="I111" s="113"/>
      <c r="J111" s="113"/>
      <c r="K111" s="113"/>
      <c r="L111" s="113"/>
      <c r="M111" s="113"/>
      <c r="N111" s="113"/>
      <c r="O111" s="113"/>
      <c r="P111" s="113"/>
      <c r="Q111" s="113"/>
      <c r="R111" s="113"/>
      <c r="S111" s="113"/>
      <c r="T111" s="113"/>
      <c r="U111" s="113"/>
      <c r="V111" s="113"/>
      <c r="W111" s="113"/>
      <c r="X111" s="113"/>
    </row>
    <row r="112" spans="2:30" x14ac:dyDescent="0.25">
      <c r="C112" s="100"/>
      <c r="D112" s="113"/>
      <c r="E112" s="113"/>
      <c r="F112" s="113"/>
      <c r="G112" s="113"/>
      <c r="H112" s="113"/>
      <c r="I112" s="113"/>
      <c r="J112" s="113"/>
      <c r="K112" s="113"/>
      <c r="L112" s="113"/>
      <c r="M112" s="113"/>
      <c r="N112" s="113"/>
      <c r="O112" s="113"/>
      <c r="P112" s="113"/>
      <c r="Q112" s="113"/>
      <c r="R112" s="113"/>
      <c r="S112" s="113"/>
      <c r="T112" s="113"/>
      <c r="U112" s="113"/>
      <c r="V112" s="113"/>
      <c r="W112" s="113"/>
      <c r="X112" s="113"/>
    </row>
    <row r="113" spans="1:24" x14ac:dyDescent="0.25">
      <c r="C113" s="78"/>
      <c r="D113" s="80"/>
      <c r="E113" s="80"/>
      <c r="F113" s="80"/>
      <c r="G113" s="80"/>
      <c r="H113" s="80"/>
      <c r="I113" s="80"/>
      <c r="J113" s="80"/>
      <c r="K113" s="80"/>
      <c r="L113" s="80"/>
      <c r="M113" s="80"/>
      <c r="N113" s="80"/>
      <c r="O113" s="80"/>
      <c r="P113" s="80"/>
      <c r="Q113" s="80"/>
      <c r="R113" s="80"/>
      <c r="S113" s="80"/>
      <c r="T113" s="80"/>
      <c r="U113" s="80"/>
      <c r="V113" s="80"/>
      <c r="W113" s="80"/>
    </row>
    <row r="114" spans="1:24" x14ac:dyDescent="0.25">
      <c r="A114" s="70">
        <v>5</v>
      </c>
      <c r="B114" s="47" t="s">
        <v>278</v>
      </c>
      <c r="C114" s="80"/>
      <c r="D114" s="98"/>
      <c r="E114" s="80"/>
      <c r="F114" s="80"/>
      <c r="G114" s="80"/>
      <c r="H114" s="80"/>
      <c r="P114" s="80"/>
      <c r="U114" s="80"/>
      <c r="V114" s="80"/>
      <c r="W114" s="80"/>
    </row>
    <row r="115" spans="1:24" x14ac:dyDescent="0.25">
      <c r="A115" s="100"/>
      <c r="B115" s="47"/>
      <c r="C115" s="80"/>
      <c r="D115" s="98"/>
      <c r="E115" s="80"/>
      <c r="F115" s="145"/>
      <c r="G115" s="145"/>
      <c r="H115" s="145"/>
      <c r="K115" s="265" t="s">
        <v>84</v>
      </c>
      <c r="L115" s="265"/>
      <c r="M115" s="265"/>
      <c r="N115" s="265"/>
      <c r="P115" s="270" t="s">
        <v>82</v>
      </c>
      <c r="Q115" s="270"/>
      <c r="R115" s="270"/>
      <c r="S115" s="270"/>
      <c r="U115" s="270" t="s">
        <v>85</v>
      </c>
      <c r="V115" s="270"/>
      <c r="W115" s="270"/>
      <c r="X115" s="270"/>
    </row>
    <row r="116" spans="1:24" ht="22.15" customHeight="1" x14ac:dyDescent="0.25">
      <c r="K116" s="271" t="s">
        <v>154</v>
      </c>
      <c r="L116" s="272"/>
      <c r="M116" s="272"/>
      <c r="N116" s="273"/>
      <c r="P116" s="271" t="s">
        <v>154</v>
      </c>
      <c r="Q116" s="272"/>
      <c r="R116" s="272"/>
      <c r="S116" s="273"/>
      <c r="U116" s="271" t="s">
        <v>154</v>
      </c>
      <c r="V116" s="272"/>
      <c r="W116" s="272"/>
      <c r="X116" s="273"/>
    </row>
    <row r="117" spans="1:24" ht="45" x14ac:dyDescent="0.25">
      <c r="B117" s="18" t="s">
        <v>6</v>
      </c>
      <c r="C117" s="14" t="s">
        <v>7</v>
      </c>
      <c r="D117" s="21" t="s">
        <v>8</v>
      </c>
      <c r="E117" s="260" t="s">
        <v>9</v>
      </c>
      <c r="F117" s="260"/>
      <c r="G117" s="260"/>
      <c r="H117" s="260"/>
      <c r="K117" s="97"/>
      <c r="L117" s="119" t="s">
        <v>287</v>
      </c>
      <c r="M117" s="97" t="s">
        <v>120</v>
      </c>
      <c r="N117" s="97" t="s">
        <v>119</v>
      </c>
      <c r="P117" s="97"/>
      <c r="Q117" s="119" t="s">
        <v>286</v>
      </c>
      <c r="R117" s="97" t="s">
        <v>120</v>
      </c>
      <c r="S117" s="97" t="s">
        <v>119</v>
      </c>
      <c r="U117" s="97"/>
      <c r="V117" s="119" t="s">
        <v>286</v>
      </c>
      <c r="W117" s="97" t="s">
        <v>120</v>
      </c>
      <c r="X117" s="97" t="s">
        <v>119</v>
      </c>
    </row>
    <row r="118" spans="1:24" ht="17.25" customHeight="1" x14ac:dyDescent="0.25">
      <c r="B118" s="6" t="s">
        <v>241</v>
      </c>
      <c r="C118" s="233">
        <v>400</v>
      </c>
      <c r="D118" s="5" t="s">
        <v>242</v>
      </c>
      <c r="E118" s="261" t="s">
        <v>247</v>
      </c>
      <c r="F118" s="261"/>
      <c r="G118" s="261"/>
      <c r="H118" s="261"/>
      <c r="K118" s="51" t="s">
        <v>89</v>
      </c>
      <c r="L118" s="164">
        <v>-7.4999999999999997E-2</v>
      </c>
      <c r="M118" s="63">
        <f>$F79*F78</f>
        <v>0.5</v>
      </c>
      <c r="N118" s="117">
        <f>L118*M118</f>
        <v>-3.7499999999999999E-2</v>
      </c>
      <c r="P118" s="51" t="s">
        <v>89</v>
      </c>
      <c r="Q118" s="151">
        <v>-0.01</v>
      </c>
      <c r="R118" s="63">
        <f>F93*F92</f>
        <v>0.5</v>
      </c>
      <c r="S118" s="117">
        <f>Q118*R118</f>
        <v>-5.0000000000000001E-3</v>
      </c>
      <c r="U118" s="51" t="s">
        <v>89</v>
      </c>
      <c r="V118" s="151">
        <v>-0.03</v>
      </c>
      <c r="W118" s="63">
        <f>F105*F104</f>
        <v>0.5</v>
      </c>
      <c r="X118" s="117">
        <f>V118*W118</f>
        <v>-1.4999999999999999E-2</v>
      </c>
    </row>
    <row r="119" spans="1:24" ht="17.25" customHeight="1" x14ac:dyDescent="0.25">
      <c r="B119" s="6" t="s">
        <v>243</v>
      </c>
      <c r="C119" s="208">
        <v>0.5</v>
      </c>
      <c r="D119" s="7" t="s">
        <v>244</v>
      </c>
      <c r="E119" s="261"/>
      <c r="F119" s="261"/>
      <c r="G119" s="261"/>
      <c r="H119" s="261"/>
      <c r="K119" s="51" t="s">
        <v>83</v>
      </c>
      <c r="L119" s="106">
        <v>0</v>
      </c>
      <c r="M119" s="63">
        <f>M118</f>
        <v>0.5</v>
      </c>
      <c r="N119" s="117">
        <f t="shared" ref="N119:N120" si="48">L119*M119</f>
        <v>0</v>
      </c>
      <c r="P119" s="51" t="s">
        <v>83</v>
      </c>
      <c r="Q119" s="106">
        <v>0</v>
      </c>
      <c r="R119" s="63">
        <f>R118</f>
        <v>0.5</v>
      </c>
      <c r="S119" s="117">
        <f t="shared" ref="S119:S122" si="49">Q119*R119</f>
        <v>0</v>
      </c>
      <c r="U119" s="51" t="s">
        <v>83</v>
      </c>
      <c r="V119" s="106">
        <v>0</v>
      </c>
      <c r="W119" s="63">
        <f>W118</f>
        <v>0.5</v>
      </c>
      <c r="X119" s="117">
        <f t="shared" ref="X119:X122" si="50">V119*W119</f>
        <v>0</v>
      </c>
    </row>
    <row r="120" spans="1:24" ht="17.25" customHeight="1" x14ac:dyDescent="0.25">
      <c r="B120" s="6" t="s">
        <v>245</v>
      </c>
      <c r="C120" s="209">
        <v>0.01</v>
      </c>
      <c r="D120" s="7" t="s">
        <v>246</v>
      </c>
      <c r="E120" s="261"/>
      <c r="F120" s="261"/>
      <c r="G120" s="261"/>
      <c r="H120" s="261"/>
      <c r="K120" s="51" t="s">
        <v>83</v>
      </c>
      <c r="L120" s="106">
        <v>0</v>
      </c>
      <c r="M120" s="63">
        <f t="shared" ref="M120:M121" si="51">M119</f>
        <v>0.5</v>
      </c>
      <c r="N120" s="117">
        <f t="shared" si="48"/>
        <v>0</v>
      </c>
      <c r="P120" s="51" t="s">
        <v>83</v>
      </c>
      <c r="Q120" s="106">
        <v>0</v>
      </c>
      <c r="R120" s="63">
        <f t="shared" ref="R120:R121" si="52">R119</f>
        <v>0.5</v>
      </c>
      <c r="S120" s="117">
        <f t="shared" si="49"/>
        <v>0</v>
      </c>
      <c r="U120" s="51" t="s">
        <v>83</v>
      </c>
      <c r="V120" s="106">
        <v>0</v>
      </c>
      <c r="W120" s="63">
        <f t="shared" ref="W120:W121" si="53">W119</f>
        <v>0.5</v>
      </c>
      <c r="X120" s="117">
        <f t="shared" si="50"/>
        <v>0</v>
      </c>
    </row>
    <row r="121" spans="1:24" s="219" customFormat="1" ht="32.450000000000003" customHeight="1" x14ac:dyDescent="0.25">
      <c r="B121" s="6" t="s">
        <v>258</v>
      </c>
      <c r="C121" s="209">
        <v>0.17</v>
      </c>
      <c r="D121" s="97" t="s">
        <v>254</v>
      </c>
      <c r="E121" s="281" t="s">
        <v>276</v>
      </c>
      <c r="F121" s="282"/>
      <c r="G121" s="282"/>
      <c r="H121" s="283"/>
      <c r="K121" s="220" t="s">
        <v>83</v>
      </c>
      <c r="L121" s="221">
        <v>0</v>
      </c>
      <c r="M121" s="88">
        <f t="shared" si="51"/>
        <v>0.5</v>
      </c>
      <c r="N121" s="222">
        <f t="shared" ref="N121" si="54">L121*M121</f>
        <v>0</v>
      </c>
      <c r="P121" s="220" t="s">
        <v>83</v>
      </c>
      <c r="Q121" s="221">
        <v>0</v>
      </c>
      <c r="R121" s="88">
        <f t="shared" si="52"/>
        <v>0.5</v>
      </c>
      <c r="S121" s="222">
        <f t="shared" ref="S121" si="55">Q121*R121</f>
        <v>0</v>
      </c>
      <c r="U121" s="220" t="s">
        <v>83</v>
      </c>
      <c r="V121" s="221">
        <v>0</v>
      </c>
      <c r="W121" s="88">
        <f t="shared" si="53"/>
        <v>0.5</v>
      </c>
      <c r="X121" s="222">
        <f t="shared" ref="X121" si="56">V121*W121</f>
        <v>0</v>
      </c>
    </row>
    <row r="122" spans="1:24" x14ac:dyDescent="0.25">
      <c r="B122" s="6" t="s">
        <v>253</v>
      </c>
      <c r="C122" s="106">
        <v>0.25</v>
      </c>
      <c r="D122" s="70" t="s">
        <v>254</v>
      </c>
      <c r="E122" s="278" t="s">
        <v>257</v>
      </c>
      <c r="F122" s="279"/>
      <c r="G122" s="279"/>
      <c r="H122" s="280"/>
      <c r="K122" s="51" t="s">
        <v>83</v>
      </c>
      <c r="L122" s="106">
        <v>0</v>
      </c>
      <c r="M122" s="63">
        <f>M120</f>
        <v>0.5</v>
      </c>
      <c r="N122" s="117">
        <f t="shared" ref="N122" si="57">L122*M122</f>
        <v>0</v>
      </c>
      <c r="P122" s="51" t="s">
        <v>83</v>
      </c>
      <c r="Q122" s="106">
        <v>0</v>
      </c>
      <c r="R122" s="63">
        <f>R120</f>
        <v>0.5</v>
      </c>
      <c r="S122" s="117">
        <f t="shared" si="49"/>
        <v>0</v>
      </c>
      <c r="U122" s="51" t="s">
        <v>83</v>
      </c>
      <c r="V122" s="106">
        <v>0</v>
      </c>
      <c r="W122" s="63">
        <f>W120</f>
        <v>0.5</v>
      </c>
      <c r="X122" s="117">
        <f t="shared" si="50"/>
        <v>0</v>
      </c>
    </row>
    <row r="123" spans="1:24" x14ac:dyDescent="0.25">
      <c r="L123" s="100"/>
      <c r="M123" s="100"/>
      <c r="N123" s="100"/>
      <c r="Q123" s="100"/>
      <c r="R123" s="100"/>
      <c r="S123" s="100"/>
      <c r="V123" s="100"/>
      <c r="W123" s="100"/>
      <c r="X123" s="100"/>
    </row>
    <row r="124" spans="1:24" x14ac:dyDescent="0.25">
      <c r="B124" s="18" t="s">
        <v>13</v>
      </c>
      <c r="C124" s="15" t="s">
        <v>7</v>
      </c>
      <c r="D124" s="22" t="s">
        <v>8</v>
      </c>
      <c r="E124" s="260" t="s">
        <v>9</v>
      </c>
      <c r="F124" s="260"/>
      <c r="G124" s="260"/>
      <c r="H124" s="260"/>
      <c r="L124" s="100"/>
      <c r="M124" s="100"/>
      <c r="N124" s="100"/>
      <c r="Q124" s="100"/>
      <c r="R124" s="100"/>
      <c r="S124" s="100"/>
      <c r="V124" s="100"/>
      <c r="W124" s="100"/>
      <c r="X124" s="100"/>
    </row>
    <row r="125" spans="1:24" x14ac:dyDescent="0.25">
      <c r="B125" s="6" t="s">
        <v>249</v>
      </c>
      <c r="C125" s="208">
        <v>23</v>
      </c>
      <c r="D125" s="7" t="s">
        <v>12</v>
      </c>
      <c r="E125" s="253" t="s">
        <v>202</v>
      </c>
      <c r="F125" s="254"/>
      <c r="G125" s="254"/>
      <c r="H125" s="255"/>
      <c r="K125" s="51" t="s">
        <v>83</v>
      </c>
      <c r="L125" s="106">
        <v>0</v>
      </c>
      <c r="M125" s="63">
        <f>M120</f>
        <v>0.5</v>
      </c>
      <c r="N125" s="117">
        <f t="shared" ref="N125:N126" si="58">L125*M125</f>
        <v>0</v>
      </c>
      <c r="P125" s="99" t="s">
        <v>86</v>
      </c>
      <c r="Q125" s="106">
        <v>0</v>
      </c>
      <c r="R125" s="63">
        <f>R120</f>
        <v>0.5</v>
      </c>
      <c r="S125" s="120">
        <f t="shared" ref="S125:S127" si="59">Q125*R125</f>
        <v>0</v>
      </c>
      <c r="U125" s="99" t="s">
        <v>86</v>
      </c>
      <c r="V125" s="106">
        <v>0</v>
      </c>
      <c r="W125" s="63">
        <f>W120</f>
        <v>0.5</v>
      </c>
      <c r="X125" s="150">
        <f t="shared" ref="X125:X127" si="60">V125*W125</f>
        <v>0</v>
      </c>
    </row>
    <row r="126" spans="1:24" x14ac:dyDescent="0.25">
      <c r="B126" s="6" t="s">
        <v>250</v>
      </c>
      <c r="C126" s="208">
        <v>27</v>
      </c>
      <c r="D126" s="7" t="s">
        <v>10</v>
      </c>
      <c r="E126" s="253" t="s">
        <v>202</v>
      </c>
      <c r="F126" s="254"/>
      <c r="G126" s="254"/>
      <c r="H126" s="255"/>
      <c r="K126" s="51" t="s">
        <v>86</v>
      </c>
      <c r="L126" s="106">
        <v>0.04</v>
      </c>
      <c r="M126" s="63">
        <f>M125</f>
        <v>0.5</v>
      </c>
      <c r="N126" s="117">
        <f t="shared" si="58"/>
        <v>0.02</v>
      </c>
      <c r="P126" s="51" t="s">
        <v>83</v>
      </c>
      <c r="Q126" s="232">
        <v>4.4999999999999998E-2</v>
      </c>
      <c r="R126" s="63">
        <f t="shared" ref="R126" si="61">R125</f>
        <v>0.5</v>
      </c>
      <c r="S126" s="120">
        <f t="shared" si="59"/>
        <v>2.2499999999999999E-2</v>
      </c>
      <c r="U126" s="51" t="s">
        <v>83</v>
      </c>
      <c r="V126" s="232">
        <v>5.3999999999999999E-2</v>
      </c>
      <c r="W126" s="63">
        <f t="shared" ref="W126" si="62">W125</f>
        <v>0.5</v>
      </c>
      <c r="X126" s="150">
        <f t="shared" si="60"/>
        <v>2.7E-2</v>
      </c>
    </row>
    <row r="127" spans="1:24" x14ac:dyDescent="0.25">
      <c r="B127" s="9" t="s">
        <v>18</v>
      </c>
      <c r="C127" s="111">
        <v>0.24</v>
      </c>
      <c r="D127" s="29" t="s">
        <v>19</v>
      </c>
      <c r="E127" s="256" t="s">
        <v>20</v>
      </c>
      <c r="F127" s="256"/>
      <c r="G127" s="256"/>
      <c r="H127" s="256"/>
      <c r="K127" s="51" t="s">
        <v>83</v>
      </c>
      <c r="L127" s="106">
        <v>0</v>
      </c>
      <c r="M127" s="63">
        <f>M126</f>
        <v>0.5</v>
      </c>
      <c r="N127" s="117">
        <f>L127*M127</f>
        <v>0</v>
      </c>
      <c r="P127" s="51" t="s">
        <v>83</v>
      </c>
      <c r="Q127" s="106">
        <v>0</v>
      </c>
      <c r="R127" s="63">
        <f>R126</f>
        <v>0.5</v>
      </c>
      <c r="S127" s="120">
        <f t="shared" si="59"/>
        <v>0</v>
      </c>
      <c r="U127" s="51" t="s">
        <v>83</v>
      </c>
      <c r="V127" s="106">
        <v>0</v>
      </c>
      <c r="W127" s="63">
        <f>W126</f>
        <v>0.5</v>
      </c>
      <c r="X127" s="150">
        <f t="shared" si="60"/>
        <v>0</v>
      </c>
    </row>
    <row r="128" spans="1:24" ht="29.45" customHeight="1" x14ac:dyDescent="0.25">
      <c r="B128" s="10"/>
      <c r="C128" s="68"/>
      <c r="D128" s="109"/>
      <c r="E128" s="285" t="s">
        <v>248</v>
      </c>
      <c r="F128" s="285"/>
      <c r="G128" s="285"/>
      <c r="H128" s="285"/>
      <c r="L128" s="78"/>
      <c r="M128" s="116"/>
      <c r="N128" s="153"/>
      <c r="O128" s="114"/>
      <c r="P128" s="114"/>
      <c r="Q128" s="78"/>
      <c r="R128" s="116"/>
      <c r="S128" s="154"/>
      <c r="T128" s="114"/>
      <c r="U128" s="114"/>
      <c r="V128" s="78"/>
      <c r="W128" s="116"/>
      <c r="X128" s="155"/>
    </row>
    <row r="129" spans="1:28" ht="12.6" customHeight="1" x14ac:dyDescent="0.25">
      <c r="B129" s="10"/>
      <c r="C129" s="161"/>
      <c r="D129" s="109"/>
      <c r="E129" s="110"/>
      <c r="F129" s="110"/>
      <c r="G129" s="110"/>
      <c r="H129" s="110"/>
      <c r="L129" s="231"/>
      <c r="M129" s="231"/>
      <c r="N129" s="231"/>
      <c r="O129" s="114"/>
      <c r="P129" s="284" t="s">
        <v>218</v>
      </c>
      <c r="Q129" s="274" t="s">
        <v>285</v>
      </c>
      <c r="R129" s="274"/>
      <c r="S129" s="274"/>
      <c r="T129" s="274"/>
      <c r="U129" s="274"/>
      <c r="V129" s="274"/>
      <c r="W129" s="274"/>
      <c r="X129" s="274"/>
    </row>
    <row r="130" spans="1:28" ht="18.600000000000001" customHeight="1" x14ac:dyDescent="0.25">
      <c r="B130" s="10"/>
      <c r="C130" s="161"/>
      <c r="D130" s="109"/>
      <c r="E130" s="110"/>
      <c r="F130" s="110"/>
      <c r="G130" s="217"/>
      <c r="H130" s="217"/>
      <c r="I130" s="215"/>
      <c r="L130" s="78"/>
      <c r="M130" s="78"/>
      <c r="N130" s="78"/>
      <c r="O130" s="114"/>
      <c r="P130" s="284"/>
      <c r="Q130" s="274"/>
      <c r="R130" s="274"/>
      <c r="S130" s="274"/>
      <c r="T130" s="274"/>
      <c r="U130" s="274"/>
      <c r="V130" s="274"/>
      <c r="W130" s="274"/>
      <c r="X130" s="274"/>
    </row>
    <row r="131" spans="1:28" x14ac:dyDescent="0.25">
      <c r="B131" s="10"/>
      <c r="C131" s="68"/>
      <c r="D131" s="109"/>
      <c r="E131" s="110"/>
      <c r="F131" s="110"/>
      <c r="G131" s="218"/>
      <c r="H131" s="218"/>
      <c r="I131" s="216"/>
      <c r="N131" s="98"/>
      <c r="O131" s="98"/>
      <c r="P131" s="98"/>
    </row>
    <row r="132" spans="1:28" x14ac:dyDescent="0.25">
      <c r="A132" s="70">
        <v>6</v>
      </c>
      <c r="B132" s="47" t="s">
        <v>277</v>
      </c>
      <c r="C132" s="100"/>
      <c r="D132" s="113"/>
      <c r="E132" s="113"/>
      <c r="F132" s="113"/>
      <c r="G132" s="113"/>
      <c r="H132" s="113"/>
      <c r="I132" s="113"/>
      <c r="J132" s="113"/>
      <c r="K132" s="113"/>
      <c r="L132" s="113"/>
      <c r="M132" s="113"/>
      <c r="N132" s="113"/>
      <c r="O132" s="113"/>
      <c r="P132" s="113"/>
      <c r="Q132" s="113"/>
      <c r="R132" s="113"/>
      <c r="S132" s="113"/>
      <c r="T132" s="113"/>
      <c r="U132" s="113"/>
      <c r="V132" s="113"/>
      <c r="W132" s="113"/>
      <c r="X132" s="113"/>
    </row>
    <row r="133" spans="1:28" x14ac:dyDescent="0.25">
      <c r="C133" s="100"/>
      <c r="D133" s="113"/>
      <c r="E133" s="113"/>
      <c r="F133" s="113"/>
      <c r="G133" s="113"/>
      <c r="H133" s="113"/>
      <c r="I133" s="113"/>
      <c r="J133" s="113"/>
      <c r="K133" s="113"/>
      <c r="L133" s="113"/>
      <c r="M133" s="113"/>
      <c r="N133" s="113"/>
      <c r="O133" s="113"/>
      <c r="P133" s="113"/>
      <c r="Q133" s="113"/>
      <c r="R133" s="113"/>
      <c r="S133" s="113"/>
      <c r="T133" s="113"/>
      <c r="U133" s="113"/>
      <c r="V133" s="113"/>
      <c r="W133" s="113"/>
      <c r="X133" s="113"/>
    </row>
    <row r="134" spans="1:28" x14ac:dyDescent="0.25">
      <c r="B134" s="18" t="s">
        <v>6</v>
      </c>
      <c r="C134" s="17" t="s">
        <v>22</v>
      </c>
      <c r="D134" s="17">
        <v>0</v>
      </c>
      <c r="E134" s="17">
        <v>1</v>
      </c>
      <c r="F134" s="17">
        <v>2</v>
      </c>
      <c r="G134" s="132">
        <v>3</v>
      </c>
      <c r="H134" s="17">
        <v>4</v>
      </c>
      <c r="I134" s="17">
        <v>5</v>
      </c>
      <c r="J134" s="132">
        <v>6</v>
      </c>
      <c r="K134" s="17">
        <v>7</v>
      </c>
      <c r="L134" s="17">
        <v>8</v>
      </c>
      <c r="M134" s="132">
        <v>9</v>
      </c>
      <c r="N134" s="16"/>
      <c r="O134" s="16"/>
      <c r="P134" s="191"/>
      <c r="Q134" s="16"/>
      <c r="R134" s="16"/>
      <c r="S134" s="191"/>
      <c r="T134" s="16"/>
      <c r="U134" s="16"/>
      <c r="V134" s="191"/>
      <c r="W134" s="16"/>
      <c r="X134" s="16"/>
      <c r="Y134" s="191"/>
      <c r="Z134" s="16"/>
      <c r="AA134" s="16"/>
      <c r="AB134" s="191"/>
    </row>
    <row r="135" spans="1:28" x14ac:dyDescent="0.25">
      <c r="B135" s="118" t="str">
        <f>B118</f>
        <v>Vegetable Production</v>
      </c>
      <c r="C135" s="70" t="str">
        <f>K118</f>
        <v>Decrease</v>
      </c>
      <c r="D135" s="128">
        <f>C118</f>
        <v>400</v>
      </c>
      <c r="E135" s="128">
        <f>D135</f>
        <v>400</v>
      </c>
      <c r="F135" s="128">
        <f>E135</f>
        <v>400</v>
      </c>
      <c r="G135" s="70">
        <f>F135*(1+$N118)</f>
        <v>385</v>
      </c>
      <c r="H135" s="128">
        <f>E135</f>
        <v>400</v>
      </c>
      <c r="I135" s="128">
        <f t="shared" ref="I135" si="63">F135</f>
        <v>400</v>
      </c>
      <c r="J135" s="70">
        <f>I135*(1+$N118)</f>
        <v>385</v>
      </c>
      <c r="K135" s="128">
        <f>H135</f>
        <v>400</v>
      </c>
      <c r="L135" s="128">
        <f>K135</f>
        <v>400</v>
      </c>
      <c r="M135" s="70">
        <f>L135*(1+$N118)</f>
        <v>385</v>
      </c>
      <c r="N135" s="192"/>
      <c r="O135" s="192"/>
      <c r="P135" s="100"/>
      <c r="Q135" s="192"/>
      <c r="R135" s="192"/>
      <c r="S135" s="100"/>
      <c r="T135" s="192"/>
      <c r="U135" s="192"/>
      <c r="V135" s="100"/>
      <c r="W135" s="192"/>
      <c r="X135" s="192"/>
      <c r="Y135" s="100"/>
      <c r="Z135" s="192"/>
      <c r="AA135" s="192"/>
      <c r="AB135" s="100"/>
    </row>
    <row r="136" spans="1:28" x14ac:dyDescent="0.25">
      <c r="B136" s="9" t="str">
        <f>B119</f>
        <v>Price of vegetable</v>
      </c>
      <c r="C136" s="70" t="str">
        <f>K119</f>
        <v>No change</v>
      </c>
      <c r="D136" s="129">
        <f>C119</f>
        <v>0.5</v>
      </c>
      <c r="E136" s="129">
        <f>D136</f>
        <v>0.5</v>
      </c>
      <c r="F136" s="129">
        <f t="shared" ref="F136:M139" si="64">E136</f>
        <v>0.5</v>
      </c>
      <c r="G136" s="138">
        <f t="shared" si="64"/>
        <v>0.5</v>
      </c>
      <c r="H136" s="129">
        <f t="shared" si="64"/>
        <v>0.5</v>
      </c>
      <c r="I136" s="129">
        <f t="shared" si="64"/>
        <v>0.5</v>
      </c>
      <c r="J136" s="138">
        <f t="shared" si="64"/>
        <v>0.5</v>
      </c>
      <c r="K136" s="129">
        <f t="shared" si="64"/>
        <v>0.5</v>
      </c>
      <c r="L136" s="129">
        <f t="shared" si="64"/>
        <v>0.5</v>
      </c>
      <c r="M136" s="138">
        <f t="shared" si="64"/>
        <v>0.5</v>
      </c>
      <c r="N136" s="194"/>
      <c r="O136" s="194"/>
      <c r="P136" s="210"/>
      <c r="Q136" s="194"/>
      <c r="R136" s="194"/>
      <c r="S136" s="210"/>
      <c r="T136" s="194"/>
      <c r="U136" s="194"/>
      <c r="V136" s="210"/>
      <c r="W136" s="194"/>
      <c r="X136" s="194"/>
      <c r="Y136" s="210"/>
      <c r="Z136" s="194"/>
      <c r="AA136" s="194"/>
      <c r="AB136" s="210"/>
    </row>
    <row r="137" spans="1:28" x14ac:dyDescent="0.25">
      <c r="B137" s="9" t="str">
        <f>B120</f>
        <v>Change in vegetable Price</v>
      </c>
      <c r="C137" s="70" t="str">
        <f>K120</f>
        <v>No change</v>
      </c>
      <c r="D137" s="63">
        <f>C120</f>
        <v>0.01</v>
      </c>
      <c r="E137" s="63">
        <f>D137</f>
        <v>0.01</v>
      </c>
      <c r="F137" s="63">
        <f>E137</f>
        <v>0.01</v>
      </c>
      <c r="G137" s="134">
        <f t="shared" si="64"/>
        <v>0.01</v>
      </c>
      <c r="H137" s="63">
        <f t="shared" si="64"/>
        <v>0.01</v>
      </c>
      <c r="I137" s="63">
        <f t="shared" si="64"/>
        <v>0.01</v>
      </c>
      <c r="J137" s="134">
        <f t="shared" si="64"/>
        <v>0.01</v>
      </c>
      <c r="K137" s="63">
        <f t="shared" si="64"/>
        <v>0.01</v>
      </c>
      <c r="L137" s="63">
        <f t="shared" si="64"/>
        <v>0.01</v>
      </c>
      <c r="M137" s="134">
        <f t="shared" si="64"/>
        <v>0.01</v>
      </c>
      <c r="N137" s="85"/>
      <c r="O137" s="85"/>
      <c r="P137" s="211"/>
      <c r="Q137" s="85"/>
      <c r="R137" s="85"/>
      <c r="S137" s="211"/>
      <c r="T137" s="85"/>
      <c r="U137" s="85"/>
      <c r="V137" s="211"/>
      <c r="W137" s="85"/>
      <c r="X137" s="85"/>
      <c r="Y137" s="211"/>
      <c r="Z137" s="85"/>
      <c r="AA137" s="85"/>
      <c r="AB137" s="211"/>
    </row>
    <row r="138" spans="1:28" x14ac:dyDescent="0.25">
      <c r="B138" s="9" t="str">
        <f>B121</f>
        <v>Vegetable sale after own consumption (Year 01)</v>
      </c>
      <c r="C138" s="70" t="str">
        <f>K121</f>
        <v>No change</v>
      </c>
      <c r="D138" s="63">
        <f>C121</f>
        <v>0.17</v>
      </c>
      <c r="E138" s="63">
        <f>D138</f>
        <v>0.17</v>
      </c>
      <c r="F138" s="63">
        <f t="shared" ref="F138" si="65">E138</f>
        <v>0.17</v>
      </c>
      <c r="G138" s="63">
        <f t="shared" si="64"/>
        <v>0.17</v>
      </c>
      <c r="H138" s="63">
        <f t="shared" si="64"/>
        <v>0.17</v>
      </c>
      <c r="I138" s="63">
        <f t="shared" si="64"/>
        <v>0.17</v>
      </c>
      <c r="J138" s="63">
        <f t="shared" si="64"/>
        <v>0.17</v>
      </c>
      <c r="K138" s="63">
        <f t="shared" si="64"/>
        <v>0.17</v>
      </c>
      <c r="L138" s="63">
        <f t="shared" si="64"/>
        <v>0.17</v>
      </c>
      <c r="M138" s="63">
        <f t="shared" si="64"/>
        <v>0.17</v>
      </c>
      <c r="N138" s="85"/>
      <c r="O138" s="85"/>
      <c r="P138" s="211"/>
      <c r="Q138" s="85"/>
      <c r="R138" s="85"/>
      <c r="S138" s="211"/>
      <c r="T138" s="85"/>
      <c r="U138" s="85"/>
      <c r="V138" s="211"/>
      <c r="W138" s="85"/>
      <c r="X138" s="85"/>
      <c r="Y138" s="211"/>
      <c r="Z138" s="85"/>
      <c r="AA138" s="85"/>
      <c r="AB138" s="211"/>
    </row>
    <row r="139" spans="1:28" x14ac:dyDescent="0.25">
      <c r="B139" s="51" t="str">
        <f>B122</f>
        <v>Vegetable sale after own consumption</v>
      </c>
      <c r="C139" s="70" t="str">
        <f>K122</f>
        <v>No change</v>
      </c>
      <c r="D139" s="63">
        <f>C122</f>
        <v>0.25</v>
      </c>
      <c r="E139" s="63">
        <f>D139</f>
        <v>0.25</v>
      </c>
      <c r="F139" s="63">
        <f t="shared" ref="F139" si="66">E139</f>
        <v>0.25</v>
      </c>
      <c r="G139" s="63">
        <f t="shared" si="64"/>
        <v>0.25</v>
      </c>
      <c r="H139" s="63">
        <f t="shared" si="64"/>
        <v>0.25</v>
      </c>
      <c r="I139" s="63">
        <f t="shared" si="64"/>
        <v>0.25</v>
      </c>
      <c r="J139" s="63">
        <f t="shared" si="64"/>
        <v>0.25</v>
      </c>
      <c r="K139" s="63">
        <f t="shared" si="64"/>
        <v>0.25</v>
      </c>
      <c r="L139" s="63">
        <f t="shared" si="64"/>
        <v>0.25</v>
      </c>
      <c r="M139" s="63">
        <f t="shared" si="64"/>
        <v>0.25</v>
      </c>
      <c r="P139" s="137"/>
      <c r="S139" s="137"/>
      <c r="V139" s="137"/>
      <c r="Y139" s="137"/>
      <c r="AB139" s="137"/>
    </row>
    <row r="140" spans="1:28" x14ac:dyDescent="0.25">
      <c r="J140" s="137"/>
      <c r="M140" s="137"/>
      <c r="P140" s="137"/>
      <c r="S140" s="137"/>
      <c r="V140" s="137"/>
      <c r="Y140" s="137"/>
      <c r="AB140" s="137"/>
    </row>
    <row r="141" spans="1:28" x14ac:dyDescent="0.25">
      <c r="B141" s="18" t="s">
        <v>13</v>
      </c>
      <c r="C141" s="17" t="s">
        <v>22</v>
      </c>
      <c r="D141" s="17">
        <v>0</v>
      </c>
      <c r="E141" s="17">
        <v>1</v>
      </c>
      <c r="F141" s="17">
        <v>2</v>
      </c>
      <c r="G141" s="132">
        <v>3</v>
      </c>
      <c r="H141" s="17">
        <v>4</v>
      </c>
      <c r="I141" s="17">
        <v>5</v>
      </c>
      <c r="J141" s="132">
        <v>6</v>
      </c>
      <c r="K141" s="17">
        <v>7</v>
      </c>
      <c r="L141" s="17">
        <v>8</v>
      </c>
      <c r="M141" s="132">
        <v>9</v>
      </c>
      <c r="N141" s="16"/>
      <c r="O141" s="16"/>
      <c r="P141" s="191"/>
      <c r="Q141" s="16"/>
      <c r="R141" s="16"/>
      <c r="S141" s="191"/>
      <c r="T141" s="16"/>
      <c r="U141" s="16"/>
      <c r="V141" s="191"/>
      <c r="W141" s="16"/>
      <c r="X141" s="16"/>
      <c r="Y141" s="191"/>
      <c r="Z141" s="16"/>
      <c r="AA141" s="16"/>
      <c r="AB141" s="191"/>
    </row>
    <row r="142" spans="1:28" x14ac:dyDescent="0.25">
      <c r="B142" s="118" t="str">
        <f>B125</f>
        <v>Land Preparation for cultivation (fenching.etc)</v>
      </c>
      <c r="C142" s="70" t="str">
        <f>K125</f>
        <v>No change</v>
      </c>
      <c r="D142" s="128">
        <f>C125</f>
        <v>23</v>
      </c>
      <c r="E142" s="128">
        <f t="shared" ref="E142:M144" si="67">D142</f>
        <v>23</v>
      </c>
      <c r="F142" s="128">
        <f t="shared" si="67"/>
        <v>23</v>
      </c>
      <c r="G142" s="70">
        <f>F142*(1+$N125)</f>
        <v>23</v>
      </c>
      <c r="H142" s="128">
        <f>F142</f>
        <v>23</v>
      </c>
      <c r="I142" s="128">
        <f>H142</f>
        <v>23</v>
      </c>
      <c r="J142" s="70">
        <f>I142*(1+$N125)</f>
        <v>23</v>
      </c>
      <c r="K142" s="128">
        <f>I142</f>
        <v>23</v>
      </c>
      <c r="L142" s="128">
        <f>K142</f>
        <v>23</v>
      </c>
      <c r="M142" s="70">
        <f>L142*(1+$N125)</f>
        <v>23</v>
      </c>
      <c r="N142" s="192"/>
      <c r="O142" s="192"/>
      <c r="P142" s="100"/>
      <c r="Q142" s="192"/>
      <c r="R142" s="192"/>
      <c r="S142" s="100"/>
      <c r="T142" s="192"/>
      <c r="U142" s="192"/>
      <c r="V142" s="100"/>
      <c r="W142" s="192"/>
      <c r="X142" s="192"/>
      <c r="Y142" s="100"/>
      <c r="Z142" s="192"/>
      <c r="AA142" s="192"/>
      <c r="AB142" s="100"/>
    </row>
    <row r="143" spans="1:28" x14ac:dyDescent="0.25">
      <c r="B143" s="118" t="str">
        <f>B126</f>
        <v>Organic Fartilizer/Seeds/Saplings etc.</v>
      </c>
      <c r="C143" s="70" t="str">
        <f>K126</f>
        <v>Increase</v>
      </c>
      <c r="D143" s="128">
        <f>C126</f>
        <v>27</v>
      </c>
      <c r="E143" s="128">
        <f t="shared" si="67"/>
        <v>27</v>
      </c>
      <c r="F143" s="128">
        <f t="shared" si="67"/>
        <v>27</v>
      </c>
      <c r="G143" s="70">
        <f>F143*(1+$N126)</f>
        <v>27.54</v>
      </c>
      <c r="H143" s="128">
        <f t="shared" ref="H143" si="68">F143</f>
        <v>27</v>
      </c>
      <c r="I143" s="128">
        <f t="shared" ref="I143" si="69">H143</f>
        <v>27</v>
      </c>
      <c r="J143" s="70">
        <f>I143*(1+$N126)</f>
        <v>27.54</v>
      </c>
      <c r="K143" s="128">
        <f t="shared" ref="K143" si="70">I143</f>
        <v>27</v>
      </c>
      <c r="L143" s="128">
        <f t="shared" ref="L143" si="71">K143</f>
        <v>27</v>
      </c>
      <c r="M143" s="70">
        <f>L143*(1+$N126)</f>
        <v>27.54</v>
      </c>
      <c r="N143" s="192"/>
      <c r="O143" s="192"/>
      <c r="P143" s="100"/>
      <c r="Q143" s="192"/>
      <c r="R143" s="192"/>
      <c r="S143" s="100"/>
      <c r="T143" s="192"/>
      <c r="U143" s="192"/>
      <c r="V143" s="100"/>
      <c r="W143" s="192"/>
      <c r="X143" s="192"/>
      <c r="Y143" s="100"/>
      <c r="Z143" s="192"/>
      <c r="AA143" s="192"/>
      <c r="AB143" s="100"/>
    </row>
    <row r="144" spans="1:28" x14ac:dyDescent="0.25">
      <c r="B144" s="125" t="str">
        <f>B127</f>
        <v>Interest Rate (Capital Cost)</v>
      </c>
      <c r="C144" s="70" t="str">
        <f>K127</f>
        <v>No change</v>
      </c>
      <c r="D144" s="63">
        <f>C127</f>
        <v>0.24</v>
      </c>
      <c r="E144" s="71">
        <f t="shared" ref="E144" si="72">D144</f>
        <v>0.24</v>
      </c>
      <c r="F144" s="71">
        <f t="shared" si="67"/>
        <v>0.24</v>
      </c>
      <c r="G144" s="136">
        <f t="shared" si="67"/>
        <v>0.24</v>
      </c>
      <c r="H144" s="71">
        <f t="shared" si="67"/>
        <v>0.24</v>
      </c>
      <c r="I144" s="71">
        <f t="shared" si="67"/>
        <v>0.24</v>
      </c>
      <c r="J144" s="136">
        <f t="shared" si="67"/>
        <v>0.24</v>
      </c>
      <c r="K144" s="71">
        <f t="shared" si="67"/>
        <v>0.24</v>
      </c>
      <c r="L144" s="71">
        <f t="shared" si="67"/>
        <v>0.24</v>
      </c>
      <c r="M144" s="136">
        <f t="shared" si="67"/>
        <v>0.24</v>
      </c>
      <c r="N144" s="113"/>
      <c r="O144" s="113"/>
      <c r="P144" s="212"/>
      <c r="Q144" s="113"/>
      <c r="R144" s="113"/>
      <c r="S144" s="212"/>
      <c r="T144" s="113"/>
      <c r="U144" s="113"/>
      <c r="V144" s="212"/>
      <c r="W144" s="113"/>
      <c r="X144" s="113"/>
      <c r="Y144" s="212"/>
      <c r="Z144" s="113"/>
      <c r="AA144" s="113"/>
      <c r="AB144" s="212"/>
    </row>
    <row r="145" spans="7:28" x14ac:dyDescent="0.25">
      <c r="G145" s="137"/>
      <c r="J145" s="137"/>
      <c r="M145" s="137"/>
      <c r="P145" s="137"/>
      <c r="S145" s="137"/>
      <c r="V145" s="137"/>
      <c r="Y145" s="137"/>
      <c r="AB145" s="137"/>
    </row>
    <row r="146" spans="7:28" x14ac:dyDescent="0.25">
      <c r="G146" s="137"/>
    </row>
    <row r="147" spans="7:28" x14ac:dyDescent="0.25">
      <c r="G147" s="137"/>
    </row>
  </sheetData>
  <mergeCells count="24">
    <mergeCell ref="P129:P130"/>
    <mergeCell ref="Q129:X130"/>
    <mergeCell ref="E125:H125"/>
    <mergeCell ref="E126:H126"/>
    <mergeCell ref="E127:H127"/>
    <mergeCell ref="E128:H128"/>
    <mergeCell ref="E122:H122"/>
    <mergeCell ref="E124:H124"/>
    <mergeCell ref="E121:H121"/>
    <mergeCell ref="E117:H117"/>
    <mergeCell ref="E118:H118"/>
    <mergeCell ref="E119:H119"/>
    <mergeCell ref="E120:H120"/>
    <mergeCell ref="K115:N115"/>
    <mergeCell ref="P115:S115"/>
    <mergeCell ref="U115:X115"/>
    <mergeCell ref="K116:N116"/>
    <mergeCell ref="P116:S116"/>
    <mergeCell ref="U116:X116"/>
    <mergeCell ref="B15:H15"/>
    <mergeCell ref="B16:J16"/>
    <mergeCell ref="C76:F76"/>
    <mergeCell ref="C90:F90"/>
    <mergeCell ref="C102:F10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2:K74"/>
  <sheetViews>
    <sheetView showGridLines="0" topLeftCell="A52" zoomScale="85" zoomScaleNormal="85" workbookViewId="0">
      <selection activeCell="C74" sqref="C74"/>
    </sheetView>
  </sheetViews>
  <sheetFormatPr defaultColWidth="9" defaultRowHeight="15" x14ac:dyDescent="0.25"/>
  <cols>
    <col min="1" max="1" width="40.7109375" style="10" customWidth="1"/>
    <col min="2" max="2" width="12.7109375" style="28" customWidth="1"/>
    <col min="3" max="3" width="13" style="28" customWidth="1"/>
    <col min="4" max="4" width="17" style="28" customWidth="1"/>
    <col min="5" max="6" width="12.5703125" style="28" customWidth="1"/>
    <col min="7" max="7" width="11.85546875" style="28" customWidth="1"/>
    <col min="8" max="8" width="12.28515625" style="28" customWidth="1"/>
    <col min="9" max="9" width="11.7109375" style="28" customWidth="1"/>
    <col min="10" max="10" width="13" style="28" customWidth="1"/>
    <col min="11" max="11" width="12.7109375" style="28" customWidth="1"/>
    <col min="12" max="16384" width="9" style="3"/>
  </cols>
  <sheetData>
    <row r="2" spans="1:11" ht="38.25" customHeight="1" x14ac:dyDescent="0.25">
      <c r="A2" s="11" t="s">
        <v>77</v>
      </c>
      <c r="B2" s="32"/>
      <c r="C2" s="76"/>
      <c r="D2" s="77"/>
      <c r="E2" s="32"/>
      <c r="F2" s="126" t="s">
        <v>106</v>
      </c>
      <c r="G2" s="32"/>
      <c r="H2" s="32"/>
      <c r="I2" s="32"/>
      <c r="J2" s="32"/>
      <c r="K2" s="32"/>
    </row>
    <row r="3" spans="1:11" ht="15" customHeight="1" x14ac:dyDescent="0.25">
      <c r="A3" s="23"/>
      <c r="B3" s="32"/>
      <c r="C3" s="32"/>
      <c r="D3" s="32"/>
      <c r="E3" s="32"/>
      <c r="F3" s="32"/>
      <c r="G3" s="32"/>
      <c r="H3" s="32"/>
      <c r="I3" s="32"/>
      <c r="J3" s="32"/>
      <c r="K3" s="32"/>
    </row>
    <row r="4" spans="1:11" x14ac:dyDescent="0.25">
      <c r="A4" s="10" t="s">
        <v>22</v>
      </c>
      <c r="B4" s="28">
        <v>0</v>
      </c>
      <c r="C4" s="28">
        <v>1</v>
      </c>
      <c r="D4" s="28">
        <v>2</v>
      </c>
      <c r="E4" s="28">
        <v>3</v>
      </c>
      <c r="F4" s="28">
        <v>4</v>
      </c>
      <c r="G4" s="28">
        <v>5</v>
      </c>
      <c r="H4" s="28">
        <v>6</v>
      </c>
      <c r="I4" s="28">
        <v>7</v>
      </c>
      <c r="J4" s="28">
        <v>8</v>
      </c>
      <c r="K4" s="28">
        <v>9</v>
      </c>
    </row>
    <row r="5" spans="1:11" x14ac:dyDescent="0.25">
      <c r="A5" s="24" t="s">
        <v>23</v>
      </c>
    </row>
    <row r="6" spans="1:11" x14ac:dyDescent="0.25">
      <c r="A6" s="10" t="s">
        <v>255</v>
      </c>
      <c r="B6" s="33">
        <f>Assumption_Vegatables!D11*Assumption_Vegatables!D135*Assumption_Vegatables!D136*Assumption_Vegatables!D138*(1+Assumption_Vegatables!D137)^Assumption_Vegatables!D134</f>
        <v>0</v>
      </c>
      <c r="C6" s="33">
        <f>Assumption_Vegatables!E11*Assumption_Vegatables!E135*Assumption_Vegatables!E136*Assumption_Vegatables!E138*(1+Assumption_Vegatables!E137)^Assumption_Vegatables!E134</f>
        <v>103020.00000000001</v>
      </c>
      <c r="D6" s="33">
        <f>Assumption_Vegatables!F11*Assumption_Vegatables!F135*Assumption_Vegatables!F136*Assumption_Vegatables!F139*(1+Assumption_Vegatables!F137)^Assumption_Vegatables!F134</f>
        <v>408040</v>
      </c>
      <c r="E6" s="33">
        <f>Assumption_Vegatables!G11*Assumption_Vegatables!G135*Assumption_Vegatables!G136*Assumption_Vegatables!G139*(1+Assumption_Vegatables!G137)^Assumption_Vegatables!G134</f>
        <v>644582.06312499999</v>
      </c>
      <c r="F6" s="33">
        <f>Assumption_Vegatables!H11*Assumption_Vegatables!H135*Assumption_Vegatables!H136*Assumption_Vegatables!H139*(1+Assumption_Vegatables!H137)^Assumption_Vegatables!H134</f>
        <v>936543.60900000005</v>
      </c>
      <c r="G6" s="33">
        <f>Assumption_Vegatables!I11*Assumption_Vegatables!I135*Assumption_Vegatables!I136*Assumption_Vegatables!I139*(1+Assumption_Vegatables!I137)^Assumption_Vegatables!I134</f>
        <v>893358.54258499993</v>
      </c>
      <c r="H6" s="33">
        <f>Assumption_Vegatables!J11*Assumption_Vegatables!J135*Assumption_Vegatables!J136*Assumption_Vegatables!J139*(1+Assumption_Vegatables!J137)^Assumption_Vegatables!J134</f>
        <v>613027.88697207754</v>
      </c>
      <c r="I6" s="33">
        <f>Assumption_Vegatables!K11*Assumption_Vegatables!K135*Assumption_Vegatables!K136*Assumption_Vegatables!K139*(1+Assumption_Vegatables!K137)^Assumption_Vegatables!K134</f>
        <v>375247.37323745346</v>
      </c>
      <c r="J6" s="33">
        <f>Assumption_Vegatables!L11*Assumption_Vegatables!L135*Assumption_Vegatables!L136*Assumption_Vegatables!L139*(1+Assumption_Vegatables!L137)^Assumption_Vegatables!L134</f>
        <v>108285.67056280802</v>
      </c>
      <c r="K6" s="33">
        <f>Assumption_Vegatables!M11*Assumption_Vegatables!M135*Assumption_Vegatables!M136*Assumption_Vegatables!M139*(1+Assumption_Vegatables!M137)^Assumption_Vegatables!M134</f>
        <v>105267.20749586976</v>
      </c>
    </row>
    <row r="7" spans="1:11" s="13" customFormat="1" x14ac:dyDescent="0.25">
      <c r="A7" s="24" t="s">
        <v>58</v>
      </c>
      <c r="B7" s="41">
        <f>B6</f>
        <v>0</v>
      </c>
      <c r="C7" s="41">
        <f t="shared" ref="C7:K7" si="0">C6</f>
        <v>103020.00000000001</v>
      </c>
      <c r="D7" s="41">
        <f t="shared" si="0"/>
        <v>408040</v>
      </c>
      <c r="E7" s="41">
        <f t="shared" si="0"/>
        <v>644582.06312499999</v>
      </c>
      <c r="F7" s="41">
        <f t="shared" si="0"/>
        <v>936543.60900000005</v>
      </c>
      <c r="G7" s="41">
        <f t="shared" si="0"/>
        <v>893358.54258499993</v>
      </c>
      <c r="H7" s="41">
        <f t="shared" si="0"/>
        <v>613027.88697207754</v>
      </c>
      <c r="I7" s="41">
        <f t="shared" si="0"/>
        <v>375247.37323745346</v>
      </c>
      <c r="J7" s="41">
        <f t="shared" si="0"/>
        <v>108285.67056280802</v>
      </c>
      <c r="K7" s="41">
        <f t="shared" si="0"/>
        <v>105267.20749586976</v>
      </c>
    </row>
    <row r="8" spans="1:11" x14ac:dyDescent="0.25">
      <c r="A8" s="24"/>
      <c r="B8" s="44"/>
      <c r="C8" s="44"/>
      <c r="D8" s="44"/>
      <c r="E8" s="44"/>
      <c r="F8" s="44"/>
      <c r="G8" s="44"/>
      <c r="H8" s="44"/>
      <c r="I8" s="44"/>
      <c r="J8" s="44"/>
      <c r="K8" s="44"/>
    </row>
    <row r="9" spans="1:11" x14ac:dyDescent="0.25">
      <c r="A9" s="24" t="s">
        <v>24</v>
      </c>
    </row>
    <row r="10" spans="1:11" ht="30" x14ac:dyDescent="0.25">
      <c r="A10" s="9" t="str">
        <f>Assumption_Vegatables!B142</f>
        <v>Land Preparation for cultivation (fenching.etc)</v>
      </c>
      <c r="B10" s="35">
        <f>Assumption_Vegatables!D142*Assumption_Vegatables!D11</f>
        <v>0</v>
      </c>
      <c r="C10" s="35">
        <f>Assumption_Vegatables!E142*Assumption_Vegatables!E11</f>
        <v>69000</v>
      </c>
      <c r="D10" s="35">
        <f>Assumption_Vegatables!F142*Assumption_Vegatables!F11</f>
        <v>184000</v>
      </c>
      <c r="E10" s="35">
        <f>Assumption_Vegatables!G142*Assumption_Vegatables!G11</f>
        <v>299000</v>
      </c>
      <c r="F10" s="35">
        <f>Assumption_Vegatables!H142*Assumption_Vegatables!H11</f>
        <v>414000</v>
      </c>
      <c r="G10" s="35">
        <f>Assumption_Vegatables!I142*Assumption_Vegatables!I11</f>
        <v>391000</v>
      </c>
      <c r="H10" s="35">
        <f>Assumption_Vegatables!J142*Assumption_Vegatables!J11</f>
        <v>276000</v>
      </c>
      <c r="I10" s="35">
        <f>Assumption_Vegatables!K142*Assumption_Vegatables!K11</f>
        <v>161000</v>
      </c>
      <c r="J10" s="35">
        <f>Assumption_Vegatables!L142*Assumption_Vegatables!L11</f>
        <v>46000</v>
      </c>
      <c r="K10" s="35">
        <f>Assumption_Vegatables!M142*Assumption_Vegatables!M11</f>
        <v>46000</v>
      </c>
    </row>
    <row r="11" spans="1:11" x14ac:dyDescent="0.25">
      <c r="A11" s="9" t="str">
        <f>Assumption_Vegatables!B143</f>
        <v>Organic Fartilizer/Seeds/Saplings etc.</v>
      </c>
      <c r="B11" s="35">
        <f>Assumption_Vegatables!D11*Assumption_Vegatables!D143</f>
        <v>0</v>
      </c>
      <c r="C11" s="35">
        <f>Assumption_Vegatables!E11*Assumption_Vegatables!E143</f>
        <v>81000</v>
      </c>
      <c r="D11" s="35">
        <f>Assumption_Vegatables!F11*Assumption_Vegatables!F143</f>
        <v>216000</v>
      </c>
      <c r="E11" s="35">
        <f>Assumption_Vegatables!G11*Assumption_Vegatables!G143</f>
        <v>358020</v>
      </c>
      <c r="F11" s="35">
        <f>Assumption_Vegatables!H11*Assumption_Vegatables!H143</f>
        <v>486000</v>
      </c>
      <c r="G11" s="35">
        <f>Assumption_Vegatables!I11*Assumption_Vegatables!I143</f>
        <v>459000</v>
      </c>
      <c r="H11" s="35">
        <f>Assumption_Vegatables!J11*Assumption_Vegatables!J143</f>
        <v>330480</v>
      </c>
      <c r="I11" s="35">
        <f>Assumption_Vegatables!K11*Assumption_Vegatables!K143</f>
        <v>189000</v>
      </c>
      <c r="J11" s="35">
        <f>Assumption_Vegatables!L11*Assumption_Vegatables!L143</f>
        <v>54000</v>
      </c>
      <c r="K11" s="35">
        <f>Assumption_Vegatables!M11*Assumption_Vegatables!M143</f>
        <v>55080</v>
      </c>
    </row>
    <row r="12" spans="1:11" s="54" customFormat="1" x14ac:dyDescent="0.25">
      <c r="A12" s="56" t="s">
        <v>156</v>
      </c>
      <c r="B12" s="53">
        <f>Assumption_Vegatables!D40</f>
        <v>0</v>
      </c>
      <c r="C12" s="53">
        <f>Assumption_Vegatables!E40</f>
        <v>186000</v>
      </c>
      <c r="D12" s="53">
        <f>Assumption_Vegatables!F40</f>
        <v>310000</v>
      </c>
      <c r="E12" s="53">
        <f>Assumption_Vegatables!G40</f>
        <v>310000</v>
      </c>
      <c r="F12" s="53">
        <f>Assumption_Vegatables!H40</f>
        <v>310000</v>
      </c>
      <c r="G12" s="53">
        <f>Assumption_Vegatables!I40</f>
        <v>124000</v>
      </c>
      <c r="H12" s="53">
        <f>Assumption_Vegatables!J40</f>
        <v>0</v>
      </c>
      <c r="I12" s="53">
        <f>Assumption_Vegatables!K40</f>
        <v>0</v>
      </c>
      <c r="J12" s="53">
        <f>Assumption_Vegatables!L40</f>
        <v>0</v>
      </c>
      <c r="K12" s="53">
        <f>Assumption_Vegatables!M40</f>
        <v>0</v>
      </c>
    </row>
    <row r="13" spans="1:11" x14ac:dyDescent="0.25">
      <c r="A13" s="127" t="s">
        <v>59</v>
      </c>
      <c r="B13" s="40">
        <f t="shared" ref="B13:K13" si="1">SUM(B10:B12)</f>
        <v>0</v>
      </c>
      <c r="C13" s="40">
        <f t="shared" si="1"/>
        <v>336000</v>
      </c>
      <c r="D13" s="40">
        <f t="shared" si="1"/>
        <v>710000</v>
      </c>
      <c r="E13" s="40">
        <f t="shared" si="1"/>
        <v>967020</v>
      </c>
      <c r="F13" s="40">
        <f t="shared" si="1"/>
        <v>1210000</v>
      </c>
      <c r="G13" s="40">
        <f t="shared" si="1"/>
        <v>974000</v>
      </c>
      <c r="H13" s="40">
        <f t="shared" si="1"/>
        <v>606480</v>
      </c>
      <c r="I13" s="40">
        <f t="shared" si="1"/>
        <v>350000</v>
      </c>
      <c r="J13" s="40">
        <f t="shared" si="1"/>
        <v>100000</v>
      </c>
      <c r="K13" s="40">
        <f t="shared" si="1"/>
        <v>101080</v>
      </c>
    </row>
    <row r="14" spans="1:11" x14ac:dyDescent="0.25">
      <c r="B14" s="34"/>
      <c r="C14" s="34"/>
      <c r="D14" s="34"/>
      <c r="E14" s="34"/>
      <c r="F14" s="34"/>
      <c r="G14" s="34"/>
      <c r="H14" s="34"/>
      <c r="I14" s="34"/>
      <c r="J14" s="34"/>
      <c r="K14" s="34"/>
    </row>
    <row r="15" spans="1:11" x14ac:dyDescent="0.25">
      <c r="A15" s="24" t="s">
        <v>60</v>
      </c>
      <c r="B15" s="36">
        <f t="shared" ref="B15:K15" si="2">B7-B13</f>
        <v>0</v>
      </c>
      <c r="C15" s="36">
        <f t="shared" si="2"/>
        <v>-232980</v>
      </c>
      <c r="D15" s="36">
        <f t="shared" si="2"/>
        <v>-301960</v>
      </c>
      <c r="E15" s="36">
        <f t="shared" si="2"/>
        <v>-322437.93687500001</v>
      </c>
      <c r="F15" s="36">
        <f t="shared" si="2"/>
        <v>-273456.39099999995</v>
      </c>
      <c r="G15" s="36">
        <f t="shared" si="2"/>
        <v>-80641.45741500007</v>
      </c>
      <c r="H15" s="36">
        <f t="shared" si="2"/>
        <v>6547.8869720775401</v>
      </c>
      <c r="I15" s="36">
        <f t="shared" si="2"/>
        <v>25247.373237453459</v>
      </c>
      <c r="J15" s="36">
        <f t="shared" si="2"/>
        <v>8285.6705628080235</v>
      </c>
      <c r="K15" s="36">
        <f t="shared" si="2"/>
        <v>4187.2074958697631</v>
      </c>
    </row>
    <row r="16" spans="1:11" x14ac:dyDescent="0.25">
      <c r="B16" s="34"/>
      <c r="C16" s="34"/>
      <c r="D16" s="34"/>
      <c r="E16" s="34"/>
      <c r="F16" s="34"/>
      <c r="G16" s="34"/>
      <c r="H16" s="34"/>
      <c r="I16" s="34"/>
      <c r="J16" s="34"/>
      <c r="K16" s="34"/>
    </row>
    <row r="17" spans="1:11" s="13" customFormat="1" x14ac:dyDescent="0.25">
      <c r="A17" s="24" t="s">
        <v>61</v>
      </c>
      <c r="B17" s="42">
        <f>B15/(1+Assumption_Hatchery!$C76)^B4</f>
        <v>0</v>
      </c>
      <c r="C17" s="42">
        <f>C15/(1+Assumption_Hatchery!$C76)^C4</f>
        <v>-213743.11926605503</v>
      </c>
      <c r="D17" s="42">
        <f>D15/(1+Assumption_Hatchery!$C76)^D4</f>
        <v>-254153.69076677045</v>
      </c>
      <c r="E17" s="42">
        <f>E15/(1+Assumption_Hatchery!$C76)^E4</f>
        <v>-248981.24819984724</v>
      </c>
      <c r="F17" s="42">
        <f>F15/(1+Assumption_Hatchery!$C76)^F4</f>
        <v>-193723.40151130184</v>
      </c>
      <c r="G17" s="42">
        <f>G15/(1+Assumption_Hatchery!$C76)^G4</f>
        <v>-52411.414210849973</v>
      </c>
      <c r="H17" s="42">
        <f>H15/(1+Assumption_Hatchery!$C76)^H4</f>
        <v>3904.2910615479173</v>
      </c>
      <c r="I17" s="42">
        <f>I15/(1+Assumption_Hatchery!$C76)^I4</f>
        <v>13811.177753227732</v>
      </c>
      <c r="J17" s="42">
        <f>J15/(1+Assumption_Hatchery!$C76)^J4</f>
        <v>4158.2986599506339</v>
      </c>
      <c r="K17" s="42">
        <f>K15/(1+Assumption_Hatchery!$C76)^K4</f>
        <v>1927.906649697326</v>
      </c>
    </row>
    <row r="18" spans="1:11" x14ac:dyDescent="0.25">
      <c r="B18" s="34"/>
      <c r="C18" s="34"/>
      <c r="D18" s="34"/>
      <c r="E18" s="34"/>
      <c r="F18" s="34"/>
      <c r="G18" s="34"/>
      <c r="H18" s="34"/>
      <c r="I18" s="34"/>
      <c r="J18" s="34"/>
      <c r="K18" s="34"/>
    </row>
    <row r="19" spans="1:11" s="13" customFormat="1" x14ac:dyDescent="0.25">
      <c r="A19" s="26" t="s">
        <v>62</v>
      </c>
      <c r="B19" s="37">
        <f>NPV(Assumption_Hatchery!C76,C15:K15)+B15</f>
        <v>-939211.19983040087</v>
      </c>
      <c r="C19" s="43"/>
      <c r="D19" s="43"/>
      <c r="E19" s="43"/>
      <c r="F19" s="43"/>
      <c r="G19" s="43"/>
      <c r="H19" s="43"/>
      <c r="I19" s="43"/>
      <c r="J19" s="43"/>
      <c r="K19" s="43"/>
    </row>
    <row r="21" spans="1:11" s="13" customFormat="1" x14ac:dyDescent="0.25">
      <c r="A21" s="26" t="s">
        <v>25</v>
      </c>
      <c r="B21" s="38" t="e">
        <f>IRR(B15:K15)</f>
        <v>#NUM!</v>
      </c>
      <c r="C21" s="4"/>
      <c r="D21" s="4"/>
      <c r="E21" s="4"/>
      <c r="F21" s="4"/>
      <c r="G21" s="4"/>
      <c r="H21" s="4"/>
      <c r="I21" s="4"/>
      <c r="J21" s="4"/>
      <c r="K21" s="4"/>
    </row>
    <row r="23" spans="1:11" s="13" customFormat="1" x14ac:dyDescent="0.25">
      <c r="A23" s="27" t="s">
        <v>63</v>
      </c>
      <c r="B23" s="39">
        <f>B17</f>
        <v>0</v>
      </c>
      <c r="C23" s="39">
        <f>B23+C17</f>
        <v>-213743.11926605503</v>
      </c>
      <c r="D23" s="39">
        <f t="shared" ref="D23:K23" si="3">C23+D17</f>
        <v>-467896.81003282545</v>
      </c>
      <c r="E23" s="39">
        <f t="shared" si="3"/>
        <v>-716878.05823267275</v>
      </c>
      <c r="F23" s="39">
        <f t="shared" si="3"/>
        <v>-910601.45974397461</v>
      </c>
      <c r="G23" s="39">
        <f t="shared" si="3"/>
        <v>-963012.87395482464</v>
      </c>
      <c r="H23" s="39">
        <f t="shared" si="3"/>
        <v>-959108.5828932767</v>
      </c>
      <c r="I23" s="39">
        <f t="shared" si="3"/>
        <v>-945297.40514004894</v>
      </c>
      <c r="J23" s="39">
        <f t="shared" si="3"/>
        <v>-941139.10648009833</v>
      </c>
      <c r="K23" s="39">
        <f t="shared" si="3"/>
        <v>-939211.19983040099</v>
      </c>
    </row>
    <row r="25" spans="1:11" s="1" customFormat="1" x14ac:dyDescent="0.25">
      <c r="A25" s="25"/>
      <c r="B25" s="45"/>
      <c r="C25" s="45"/>
      <c r="D25" s="45"/>
      <c r="E25" s="45"/>
      <c r="F25" s="45"/>
      <c r="G25" s="45"/>
      <c r="H25" s="45"/>
      <c r="I25" s="45"/>
      <c r="J25" s="45"/>
      <c r="K25" s="45"/>
    </row>
    <row r="27" spans="1:11" ht="38.25" customHeight="1" x14ac:dyDescent="0.25">
      <c r="A27" s="11" t="s">
        <v>77</v>
      </c>
      <c r="B27" s="32"/>
      <c r="C27" s="76"/>
      <c r="D27" s="77"/>
      <c r="E27" s="32"/>
      <c r="F27" s="126" t="s">
        <v>105</v>
      </c>
      <c r="G27" s="32"/>
      <c r="H27" s="32"/>
      <c r="I27" s="32"/>
      <c r="J27" s="32"/>
      <c r="K27" s="32"/>
    </row>
    <row r="28" spans="1:11" ht="38.25" customHeight="1" x14ac:dyDescent="0.25">
      <c r="A28" s="11"/>
      <c r="B28" s="32"/>
      <c r="C28" s="76"/>
      <c r="D28" s="77"/>
      <c r="E28" s="32"/>
      <c r="F28" s="126"/>
      <c r="G28" s="32"/>
      <c r="H28" s="32"/>
      <c r="I28" s="32"/>
      <c r="J28" s="32"/>
      <c r="K28" s="32"/>
    </row>
    <row r="29" spans="1:11" x14ac:dyDescent="0.25">
      <c r="A29" s="10" t="s">
        <v>22</v>
      </c>
      <c r="B29" s="28">
        <v>0</v>
      </c>
      <c r="C29" s="28">
        <v>1</v>
      </c>
      <c r="D29" s="28">
        <v>2</v>
      </c>
      <c r="E29" s="28">
        <v>3</v>
      </c>
      <c r="F29" s="28">
        <v>4</v>
      </c>
      <c r="G29" s="28">
        <v>5</v>
      </c>
      <c r="H29" s="28">
        <v>6</v>
      </c>
      <c r="I29" s="28">
        <v>7</v>
      </c>
      <c r="J29" s="28">
        <v>8</v>
      </c>
      <c r="K29" s="28">
        <v>9</v>
      </c>
    </row>
    <row r="30" spans="1:11" x14ac:dyDescent="0.25">
      <c r="A30" s="24" t="s">
        <v>23</v>
      </c>
    </row>
    <row r="31" spans="1:11" x14ac:dyDescent="0.25">
      <c r="A31" s="10" t="str">
        <f t="shared" ref="A31:K31" si="4">A6</f>
        <v>Vagetable Sale ($)</v>
      </c>
      <c r="B31" s="33">
        <f t="shared" si="4"/>
        <v>0</v>
      </c>
      <c r="C31" s="33">
        <f t="shared" si="4"/>
        <v>103020.00000000001</v>
      </c>
      <c r="D31" s="33">
        <f t="shared" si="4"/>
        <v>408040</v>
      </c>
      <c r="E31" s="33">
        <f t="shared" si="4"/>
        <v>644582.06312499999</v>
      </c>
      <c r="F31" s="33">
        <f t="shared" si="4"/>
        <v>936543.60900000005</v>
      </c>
      <c r="G31" s="33">
        <f t="shared" si="4"/>
        <v>893358.54258499993</v>
      </c>
      <c r="H31" s="33">
        <f t="shared" si="4"/>
        <v>613027.88697207754</v>
      </c>
      <c r="I31" s="33">
        <f t="shared" si="4"/>
        <v>375247.37323745346</v>
      </c>
      <c r="J31" s="33">
        <f t="shared" si="4"/>
        <v>108285.67056280802</v>
      </c>
      <c r="K31" s="33">
        <f t="shared" si="4"/>
        <v>105267.20749586976</v>
      </c>
    </row>
    <row r="32" spans="1:11" s="13" customFormat="1" x14ac:dyDescent="0.25">
      <c r="A32" s="24" t="s">
        <v>58</v>
      </c>
      <c r="B32" s="41">
        <f>B31</f>
        <v>0</v>
      </c>
      <c r="C32" s="41">
        <f t="shared" ref="C32:K32" si="5">C31</f>
        <v>103020.00000000001</v>
      </c>
      <c r="D32" s="41">
        <f t="shared" si="5"/>
        <v>408040</v>
      </c>
      <c r="E32" s="41">
        <f t="shared" si="5"/>
        <v>644582.06312499999</v>
      </c>
      <c r="F32" s="41">
        <f t="shared" si="5"/>
        <v>936543.60900000005</v>
      </c>
      <c r="G32" s="41">
        <f t="shared" si="5"/>
        <v>893358.54258499993</v>
      </c>
      <c r="H32" s="41">
        <f t="shared" si="5"/>
        <v>613027.88697207754</v>
      </c>
      <c r="I32" s="41">
        <f t="shared" si="5"/>
        <v>375247.37323745346</v>
      </c>
      <c r="J32" s="41">
        <f t="shared" si="5"/>
        <v>108285.67056280802</v>
      </c>
      <c r="K32" s="41">
        <f t="shared" si="5"/>
        <v>105267.20749586976</v>
      </c>
    </row>
    <row r="33" spans="1:11" x14ac:dyDescent="0.25">
      <c r="A33" s="24"/>
      <c r="B33" s="44"/>
      <c r="C33" s="44"/>
      <c r="D33" s="44"/>
      <c r="E33" s="44"/>
      <c r="F33" s="44"/>
      <c r="G33" s="44"/>
      <c r="H33" s="44"/>
      <c r="I33" s="44"/>
      <c r="J33" s="44"/>
      <c r="K33" s="44"/>
    </row>
    <row r="34" spans="1:11" x14ac:dyDescent="0.25">
      <c r="A34" s="24" t="s">
        <v>24</v>
      </c>
    </row>
    <row r="35" spans="1:11" ht="30" x14ac:dyDescent="0.25">
      <c r="A35" s="9" t="str">
        <f>A10</f>
        <v>Land Preparation for cultivation (fenching.etc)</v>
      </c>
      <c r="B35" s="35">
        <f>B10</f>
        <v>0</v>
      </c>
      <c r="C35" s="35">
        <f t="shared" ref="C35:K35" si="6">C10</f>
        <v>69000</v>
      </c>
      <c r="D35" s="35">
        <f t="shared" si="6"/>
        <v>184000</v>
      </c>
      <c r="E35" s="35">
        <f t="shared" si="6"/>
        <v>299000</v>
      </c>
      <c r="F35" s="35">
        <f t="shared" si="6"/>
        <v>414000</v>
      </c>
      <c r="G35" s="35">
        <f t="shared" si="6"/>
        <v>391000</v>
      </c>
      <c r="H35" s="35">
        <f t="shared" si="6"/>
        <v>276000</v>
      </c>
      <c r="I35" s="35">
        <f t="shared" si="6"/>
        <v>161000</v>
      </c>
      <c r="J35" s="35">
        <f t="shared" si="6"/>
        <v>46000</v>
      </c>
      <c r="K35" s="35">
        <f t="shared" si="6"/>
        <v>46000</v>
      </c>
    </row>
    <row r="36" spans="1:11" x14ac:dyDescent="0.25">
      <c r="A36" s="9" t="str">
        <f>A11</f>
        <v>Organic Fartilizer/Seeds/Saplings etc.</v>
      </c>
      <c r="B36" s="35">
        <f>B11</f>
        <v>0</v>
      </c>
      <c r="C36" s="35">
        <f t="shared" ref="C36:K36" si="7">C11</f>
        <v>81000</v>
      </c>
      <c r="D36" s="35">
        <f t="shared" si="7"/>
        <v>216000</v>
      </c>
      <c r="E36" s="35">
        <f t="shared" si="7"/>
        <v>358020</v>
      </c>
      <c r="F36" s="35">
        <f t="shared" si="7"/>
        <v>486000</v>
      </c>
      <c r="G36" s="35">
        <f t="shared" si="7"/>
        <v>459000</v>
      </c>
      <c r="H36" s="35">
        <f t="shared" si="7"/>
        <v>330480</v>
      </c>
      <c r="I36" s="35">
        <f t="shared" si="7"/>
        <v>189000</v>
      </c>
      <c r="J36" s="35">
        <f t="shared" si="7"/>
        <v>54000</v>
      </c>
      <c r="K36" s="35">
        <f t="shared" si="7"/>
        <v>55080</v>
      </c>
    </row>
    <row r="37" spans="1:11" s="54" customFormat="1" x14ac:dyDescent="0.25">
      <c r="A37" s="56" t="s">
        <v>156</v>
      </c>
      <c r="B37" s="53">
        <f>Assumption_Vegatables!D50</f>
        <v>0</v>
      </c>
      <c r="C37" s="53">
        <f>Assumption_Vegatables!E50</f>
        <v>93000</v>
      </c>
      <c r="D37" s="53">
        <f>Assumption_Vegatables!F50</f>
        <v>155000</v>
      </c>
      <c r="E37" s="53">
        <f>Assumption_Vegatables!G50</f>
        <v>155000</v>
      </c>
      <c r="F37" s="53">
        <f>Assumption_Vegatables!H50</f>
        <v>155000</v>
      </c>
      <c r="G37" s="53">
        <f>Assumption_Vegatables!I50</f>
        <v>62000</v>
      </c>
      <c r="H37" s="53">
        <f>Assumption_Vegatables!J50</f>
        <v>0</v>
      </c>
      <c r="I37" s="53">
        <f>Assumption_Vegatables!K50</f>
        <v>0</v>
      </c>
      <c r="J37" s="53">
        <f>Assumption_Vegatables!L50</f>
        <v>0</v>
      </c>
      <c r="K37" s="53">
        <f>Assumption_Vegatables!M50</f>
        <v>0</v>
      </c>
    </row>
    <row r="38" spans="1:11" x14ac:dyDescent="0.25">
      <c r="A38" s="127" t="s">
        <v>59</v>
      </c>
      <c r="B38" s="40">
        <f t="shared" ref="B38:K38" si="8">SUM(B35:B37)</f>
        <v>0</v>
      </c>
      <c r="C38" s="40">
        <f t="shared" si="8"/>
        <v>243000</v>
      </c>
      <c r="D38" s="40">
        <f t="shared" si="8"/>
        <v>555000</v>
      </c>
      <c r="E38" s="40">
        <f t="shared" si="8"/>
        <v>812020</v>
      </c>
      <c r="F38" s="40">
        <f t="shared" si="8"/>
        <v>1055000</v>
      </c>
      <c r="G38" s="40">
        <f t="shared" si="8"/>
        <v>912000</v>
      </c>
      <c r="H38" s="40">
        <f t="shared" si="8"/>
        <v>606480</v>
      </c>
      <c r="I38" s="40">
        <f t="shared" si="8"/>
        <v>350000</v>
      </c>
      <c r="J38" s="40">
        <f t="shared" si="8"/>
        <v>100000</v>
      </c>
      <c r="K38" s="40">
        <f t="shared" si="8"/>
        <v>101080</v>
      </c>
    </row>
    <row r="39" spans="1:11" x14ac:dyDescent="0.25">
      <c r="B39" s="34"/>
      <c r="C39" s="34"/>
      <c r="D39" s="34"/>
      <c r="E39" s="34"/>
      <c r="F39" s="34"/>
      <c r="G39" s="34"/>
      <c r="H39" s="34"/>
      <c r="I39" s="34"/>
      <c r="J39" s="34"/>
      <c r="K39" s="34"/>
    </row>
    <row r="40" spans="1:11" x14ac:dyDescent="0.25">
      <c r="A40" s="24" t="s">
        <v>60</v>
      </c>
      <c r="B40" s="36">
        <f t="shared" ref="B40:K40" si="9">B32-B38</f>
        <v>0</v>
      </c>
      <c r="C40" s="36">
        <f t="shared" si="9"/>
        <v>-139980</v>
      </c>
      <c r="D40" s="36">
        <f t="shared" si="9"/>
        <v>-146960</v>
      </c>
      <c r="E40" s="36">
        <f t="shared" si="9"/>
        <v>-167437.93687500001</v>
      </c>
      <c r="F40" s="36">
        <f t="shared" si="9"/>
        <v>-118456.39099999995</v>
      </c>
      <c r="G40" s="36">
        <f t="shared" si="9"/>
        <v>-18641.45741500007</v>
      </c>
      <c r="H40" s="36">
        <f t="shared" si="9"/>
        <v>6547.8869720775401</v>
      </c>
      <c r="I40" s="36">
        <f t="shared" si="9"/>
        <v>25247.373237453459</v>
      </c>
      <c r="J40" s="36">
        <f t="shared" si="9"/>
        <v>8285.6705628080235</v>
      </c>
      <c r="K40" s="36">
        <f t="shared" si="9"/>
        <v>4187.2074958697631</v>
      </c>
    </row>
    <row r="41" spans="1:11" x14ac:dyDescent="0.25">
      <c r="B41" s="34"/>
      <c r="C41" s="34"/>
      <c r="D41" s="34"/>
      <c r="E41" s="34"/>
      <c r="F41" s="34"/>
      <c r="G41" s="34"/>
      <c r="H41" s="34"/>
      <c r="I41" s="34"/>
      <c r="J41" s="34"/>
      <c r="K41" s="34"/>
    </row>
    <row r="42" spans="1:11" s="13" customFormat="1" x14ac:dyDescent="0.25">
      <c r="A42" s="24" t="s">
        <v>61</v>
      </c>
      <c r="B42" s="42">
        <f>B40/(1+Assumption_Hatchery!$C76)^B29</f>
        <v>0</v>
      </c>
      <c r="C42" s="42">
        <f>C40/(1+Assumption_Hatchery!$C76)^C29</f>
        <v>-128422.01834862384</v>
      </c>
      <c r="D42" s="42">
        <f>D40/(1+Assumption_Hatchery!$C76)^D29</f>
        <v>-123693.29181045365</v>
      </c>
      <c r="E42" s="42">
        <f>E40/(1+Assumption_Hatchery!$C76)^E29</f>
        <v>-129292.80879038229</v>
      </c>
      <c r="F42" s="42">
        <f>F40/(1+Assumption_Hatchery!$C76)^F29</f>
        <v>-83917.493796196402</v>
      </c>
      <c r="G42" s="42">
        <f>G40/(1+Assumption_Hatchery!$C76)^G29</f>
        <v>-12115.668260352564</v>
      </c>
      <c r="H42" s="42">
        <f>H40/(1+Assumption_Hatchery!$C76)^H29</f>
        <v>3904.2910615479173</v>
      </c>
      <c r="I42" s="42">
        <f>I40/(1+Assumption_Hatchery!$C76)^I29</f>
        <v>13811.177753227732</v>
      </c>
      <c r="J42" s="42">
        <f>J40/(1+Assumption_Hatchery!$C76)^J29</f>
        <v>4158.2986599506339</v>
      </c>
      <c r="K42" s="42">
        <f>K40/(1+Assumption_Hatchery!$C76)^K29</f>
        <v>1927.906649697326</v>
      </c>
    </row>
    <row r="43" spans="1:11" x14ac:dyDescent="0.25">
      <c r="B43" s="34"/>
      <c r="C43" s="34"/>
      <c r="D43" s="34"/>
      <c r="E43" s="34"/>
      <c r="F43" s="34"/>
      <c r="G43" s="34"/>
      <c r="H43" s="34"/>
      <c r="I43" s="34"/>
      <c r="J43" s="34"/>
      <c r="K43" s="34"/>
    </row>
    <row r="44" spans="1:11" s="13" customFormat="1" x14ac:dyDescent="0.25">
      <c r="A44" s="26" t="s">
        <v>62</v>
      </c>
      <c r="B44" s="37">
        <f>NPV(Assumption_Hatchery!C76,C40:K40)+B40</f>
        <v>-453639.60688158509</v>
      </c>
      <c r="C44" s="43"/>
      <c r="D44" s="43"/>
      <c r="E44" s="43"/>
      <c r="F44" s="43"/>
      <c r="G44" s="43"/>
      <c r="H44" s="43"/>
      <c r="I44" s="43"/>
      <c r="J44" s="43"/>
      <c r="K44" s="43"/>
    </row>
    <row r="46" spans="1:11" s="13" customFormat="1" x14ac:dyDescent="0.25">
      <c r="A46" s="26" t="s">
        <v>25</v>
      </c>
      <c r="B46" s="38" t="e">
        <f>IRR(B40:K40)</f>
        <v>#NUM!</v>
      </c>
      <c r="C46" s="4"/>
      <c r="D46" s="4"/>
      <c r="E46" s="4"/>
      <c r="F46" s="4"/>
      <c r="G46" s="4"/>
      <c r="H46" s="4"/>
      <c r="I46" s="4"/>
      <c r="J46" s="4"/>
      <c r="K46" s="4"/>
    </row>
    <row r="48" spans="1:11" s="13" customFormat="1" x14ac:dyDescent="0.25">
      <c r="A48" s="27" t="s">
        <v>63</v>
      </c>
      <c r="B48" s="39">
        <f>B42</f>
        <v>0</v>
      </c>
      <c r="C48" s="39">
        <f>B48+C42</f>
        <v>-128422.01834862384</v>
      </c>
      <c r="D48" s="39">
        <f t="shared" ref="D48:K48" si="10">C48+D42</f>
        <v>-252115.31015907749</v>
      </c>
      <c r="E48" s="39">
        <f t="shared" si="10"/>
        <v>-381408.11894945975</v>
      </c>
      <c r="F48" s="39">
        <f t="shared" si="10"/>
        <v>-465325.61274565617</v>
      </c>
      <c r="G48" s="39">
        <f t="shared" si="10"/>
        <v>-477441.28100600874</v>
      </c>
      <c r="H48" s="39">
        <f t="shared" si="10"/>
        <v>-473536.9899444608</v>
      </c>
      <c r="I48" s="39">
        <f t="shared" si="10"/>
        <v>-459725.8121912331</v>
      </c>
      <c r="J48" s="39">
        <f t="shared" si="10"/>
        <v>-455567.51353128249</v>
      </c>
      <c r="K48" s="39">
        <f t="shared" si="10"/>
        <v>-453639.60688158515</v>
      </c>
    </row>
    <row r="49" spans="1:11" ht="38.25" customHeight="1" x14ac:dyDescent="0.25">
      <c r="A49" s="11"/>
      <c r="B49" s="32"/>
      <c r="C49" s="76"/>
      <c r="D49" s="77"/>
      <c r="E49" s="32"/>
      <c r="F49" s="126"/>
      <c r="G49" s="32"/>
      <c r="H49" s="32"/>
      <c r="I49" s="32"/>
      <c r="J49" s="32"/>
      <c r="K49" s="32"/>
    </row>
    <row r="50" spans="1:11" s="1" customFormat="1" x14ac:dyDescent="0.25">
      <c r="A50" s="25"/>
      <c r="B50" s="45"/>
      <c r="C50" s="45"/>
      <c r="D50" s="45"/>
      <c r="E50" s="45"/>
      <c r="F50" s="45"/>
      <c r="G50" s="45"/>
      <c r="H50" s="45"/>
      <c r="I50" s="45"/>
      <c r="J50" s="45"/>
      <c r="K50" s="45"/>
    </row>
    <row r="52" spans="1:11" ht="26.25" x14ac:dyDescent="0.25">
      <c r="F52" s="20" t="s">
        <v>111</v>
      </c>
    </row>
    <row r="53" spans="1:11" ht="38.25" customHeight="1" x14ac:dyDescent="0.25">
      <c r="A53" s="11" t="s">
        <v>77</v>
      </c>
      <c r="B53" s="32"/>
      <c r="C53" s="76"/>
      <c r="D53" s="77"/>
      <c r="E53" s="32"/>
      <c r="F53" s="32"/>
      <c r="G53" s="32"/>
      <c r="H53" s="32"/>
      <c r="I53" s="32"/>
      <c r="J53" s="32"/>
      <c r="K53" s="32"/>
    </row>
    <row r="55" spans="1:11" x14ac:dyDescent="0.25">
      <c r="A55" s="10" t="s">
        <v>22</v>
      </c>
      <c r="B55" s="28">
        <v>0</v>
      </c>
      <c r="C55" s="28">
        <v>1</v>
      </c>
      <c r="D55" s="28">
        <v>2</v>
      </c>
      <c r="E55" s="28">
        <v>3</v>
      </c>
      <c r="F55" s="28">
        <v>4</v>
      </c>
      <c r="G55" s="28">
        <v>5</v>
      </c>
      <c r="H55" s="28">
        <v>6</v>
      </c>
      <c r="I55" s="28">
        <v>7</v>
      </c>
      <c r="J55" s="28">
        <v>8</v>
      </c>
      <c r="K55" s="28">
        <v>9</v>
      </c>
    </row>
    <row r="56" spans="1:11" x14ac:dyDescent="0.25">
      <c r="A56" s="24" t="s">
        <v>23</v>
      </c>
    </row>
    <row r="57" spans="1:11" x14ac:dyDescent="0.25">
      <c r="A57" s="10" t="str">
        <f t="shared" ref="A57:K57" si="11">A6</f>
        <v>Vagetable Sale ($)</v>
      </c>
      <c r="B57" s="33">
        <f t="shared" si="11"/>
        <v>0</v>
      </c>
      <c r="C57" s="33">
        <f t="shared" si="11"/>
        <v>103020.00000000001</v>
      </c>
      <c r="D57" s="33">
        <f t="shared" si="11"/>
        <v>408040</v>
      </c>
      <c r="E57" s="33">
        <f t="shared" si="11"/>
        <v>644582.06312499999</v>
      </c>
      <c r="F57" s="33">
        <f t="shared" si="11"/>
        <v>936543.60900000005</v>
      </c>
      <c r="G57" s="33">
        <f t="shared" si="11"/>
        <v>893358.54258499993</v>
      </c>
      <c r="H57" s="33">
        <f t="shared" si="11"/>
        <v>613027.88697207754</v>
      </c>
      <c r="I57" s="33">
        <f t="shared" si="11"/>
        <v>375247.37323745346</v>
      </c>
      <c r="J57" s="33">
        <f t="shared" si="11"/>
        <v>108285.67056280802</v>
      </c>
      <c r="K57" s="33">
        <f t="shared" si="11"/>
        <v>105267.20749586976</v>
      </c>
    </row>
    <row r="58" spans="1:11" s="13" customFormat="1" x14ac:dyDescent="0.25">
      <c r="A58" s="24" t="s">
        <v>58</v>
      </c>
      <c r="B58" s="41">
        <f>B57</f>
        <v>0</v>
      </c>
      <c r="C58" s="41">
        <f t="shared" ref="C58:K58" si="12">C57</f>
        <v>103020.00000000001</v>
      </c>
      <c r="D58" s="41">
        <f t="shared" si="12"/>
        <v>408040</v>
      </c>
      <c r="E58" s="41">
        <f t="shared" si="12"/>
        <v>644582.06312499999</v>
      </c>
      <c r="F58" s="41">
        <f t="shared" si="12"/>
        <v>936543.60900000005</v>
      </c>
      <c r="G58" s="41">
        <f t="shared" si="12"/>
        <v>893358.54258499993</v>
      </c>
      <c r="H58" s="41">
        <f t="shared" si="12"/>
        <v>613027.88697207754</v>
      </c>
      <c r="I58" s="41">
        <f t="shared" si="12"/>
        <v>375247.37323745346</v>
      </c>
      <c r="J58" s="41">
        <f t="shared" si="12"/>
        <v>108285.67056280802</v>
      </c>
      <c r="K58" s="41">
        <f t="shared" si="12"/>
        <v>105267.20749586976</v>
      </c>
    </row>
    <row r="59" spans="1:11" x14ac:dyDescent="0.25">
      <c r="A59" s="24"/>
      <c r="B59" s="44"/>
      <c r="C59" s="44"/>
      <c r="D59" s="44"/>
      <c r="E59" s="44"/>
      <c r="F59" s="44"/>
      <c r="G59" s="44"/>
      <c r="H59" s="44"/>
      <c r="I59" s="44"/>
      <c r="J59" s="44"/>
      <c r="K59" s="44"/>
    </row>
    <row r="60" spans="1:11" x14ac:dyDescent="0.25">
      <c r="A60" s="24" t="s">
        <v>24</v>
      </c>
    </row>
    <row r="61" spans="1:11" ht="30" x14ac:dyDescent="0.25">
      <c r="A61" s="9" t="str">
        <f>A10</f>
        <v>Land Preparation for cultivation (fenching.etc)</v>
      </c>
      <c r="B61" s="35">
        <f>B10</f>
        <v>0</v>
      </c>
      <c r="C61" s="35">
        <f t="shared" ref="C61:K61" si="13">C10</f>
        <v>69000</v>
      </c>
      <c r="D61" s="35">
        <f t="shared" si="13"/>
        <v>184000</v>
      </c>
      <c r="E61" s="35">
        <f t="shared" si="13"/>
        <v>299000</v>
      </c>
      <c r="F61" s="35">
        <f t="shared" si="13"/>
        <v>414000</v>
      </c>
      <c r="G61" s="35">
        <f t="shared" si="13"/>
        <v>391000</v>
      </c>
      <c r="H61" s="35">
        <f t="shared" si="13"/>
        <v>276000</v>
      </c>
      <c r="I61" s="35">
        <f t="shared" si="13"/>
        <v>161000</v>
      </c>
      <c r="J61" s="35">
        <f t="shared" si="13"/>
        <v>46000</v>
      </c>
      <c r="K61" s="35">
        <f t="shared" si="13"/>
        <v>46000</v>
      </c>
    </row>
    <row r="62" spans="1:11" x14ac:dyDescent="0.25">
      <c r="A62" s="9" t="str">
        <f>A11</f>
        <v>Organic Fartilizer/Seeds/Saplings etc.</v>
      </c>
      <c r="B62" s="35">
        <f>B11</f>
        <v>0</v>
      </c>
      <c r="C62" s="35">
        <f t="shared" ref="C62:K62" si="14">C11</f>
        <v>81000</v>
      </c>
      <c r="D62" s="35">
        <f t="shared" si="14"/>
        <v>216000</v>
      </c>
      <c r="E62" s="35">
        <f t="shared" si="14"/>
        <v>358020</v>
      </c>
      <c r="F62" s="35">
        <f t="shared" si="14"/>
        <v>486000</v>
      </c>
      <c r="G62" s="35">
        <f t="shared" si="14"/>
        <v>459000</v>
      </c>
      <c r="H62" s="35">
        <f t="shared" si="14"/>
        <v>330480</v>
      </c>
      <c r="I62" s="35">
        <f t="shared" si="14"/>
        <v>189000</v>
      </c>
      <c r="J62" s="35">
        <f t="shared" si="14"/>
        <v>54000</v>
      </c>
      <c r="K62" s="35">
        <f t="shared" si="14"/>
        <v>55080</v>
      </c>
    </row>
    <row r="63" spans="1:11" s="54" customFormat="1" x14ac:dyDescent="0.25">
      <c r="A63" s="56" t="s">
        <v>156</v>
      </c>
      <c r="B63" s="53">
        <f>B12*Assumption_Vegatables!$C30</f>
        <v>0</v>
      </c>
      <c r="C63" s="53">
        <f>C12*Assumption_Vegatables!$C30</f>
        <v>0</v>
      </c>
      <c r="D63" s="53">
        <f>D12*Assumption_Vegatables!$C30</f>
        <v>0</v>
      </c>
      <c r="E63" s="53">
        <f>E12*Assumption_Vegatables!$C30</f>
        <v>0</v>
      </c>
      <c r="F63" s="53">
        <f>F12*Assumption_Vegatables!$C30</f>
        <v>0</v>
      </c>
      <c r="G63" s="53">
        <f>G12*Assumption_Vegatables!$C30</f>
        <v>0</v>
      </c>
      <c r="H63" s="53">
        <f>H12*Assumption_Vegatables!$C30</f>
        <v>0</v>
      </c>
      <c r="I63" s="53">
        <f>I12*Assumption_Vegatables!$C30</f>
        <v>0</v>
      </c>
      <c r="J63" s="53">
        <f>J12*Assumption_Vegatables!$C30</f>
        <v>0</v>
      </c>
      <c r="K63" s="53">
        <f>K12*Assumption_Vegatables!$C30</f>
        <v>0</v>
      </c>
    </row>
    <row r="64" spans="1:11" x14ac:dyDescent="0.25">
      <c r="A64" s="127" t="s">
        <v>59</v>
      </c>
      <c r="B64" s="40">
        <f t="shared" ref="B64:K64" si="15">SUM(B61:B63)</f>
        <v>0</v>
      </c>
      <c r="C64" s="40">
        <f t="shared" si="15"/>
        <v>150000</v>
      </c>
      <c r="D64" s="40">
        <f t="shared" si="15"/>
        <v>400000</v>
      </c>
      <c r="E64" s="40">
        <f t="shared" si="15"/>
        <v>657020</v>
      </c>
      <c r="F64" s="40">
        <f t="shared" si="15"/>
        <v>900000</v>
      </c>
      <c r="G64" s="40">
        <f t="shared" si="15"/>
        <v>850000</v>
      </c>
      <c r="H64" s="40">
        <f t="shared" si="15"/>
        <v>606480</v>
      </c>
      <c r="I64" s="40">
        <f t="shared" si="15"/>
        <v>350000</v>
      </c>
      <c r="J64" s="40">
        <f t="shared" si="15"/>
        <v>100000</v>
      </c>
      <c r="K64" s="40">
        <f t="shared" si="15"/>
        <v>101080</v>
      </c>
    </row>
    <row r="65" spans="1:11" x14ac:dyDescent="0.25">
      <c r="B65" s="34"/>
      <c r="C65" s="34"/>
      <c r="D65" s="34"/>
      <c r="E65" s="34"/>
      <c r="F65" s="34"/>
      <c r="G65" s="34"/>
      <c r="H65" s="34"/>
      <c r="I65" s="34"/>
      <c r="J65" s="34"/>
      <c r="K65" s="34"/>
    </row>
    <row r="66" spans="1:11" x14ac:dyDescent="0.25">
      <c r="A66" s="24" t="s">
        <v>60</v>
      </c>
      <c r="B66" s="36">
        <f t="shared" ref="B66:K66" si="16">B58-B64</f>
        <v>0</v>
      </c>
      <c r="C66" s="36">
        <f t="shared" si="16"/>
        <v>-46979.999999999985</v>
      </c>
      <c r="D66" s="36">
        <f t="shared" si="16"/>
        <v>8040</v>
      </c>
      <c r="E66" s="36">
        <f t="shared" si="16"/>
        <v>-12437.936875000014</v>
      </c>
      <c r="F66" s="36">
        <f t="shared" si="16"/>
        <v>36543.609000000055</v>
      </c>
      <c r="G66" s="36">
        <f t="shared" si="16"/>
        <v>43358.54258499993</v>
      </c>
      <c r="H66" s="36">
        <f t="shared" si="16"/>
        <v>6547.8869720775401</v>
      </c>
      <c r="I66" s="36">
        <f t="shared" si="16"/>
        <v>25247.373237453459</v>
      </c>
      <c r="J66" s="36">
        <f t="shared" si="16"/>
        <v>8285.6705628080235</v>
      </c>
      <c r="K66" s="36">
        <f t="shared" si="16"/>
        <v>4187.2074958697631</v>
      </c>
    </row>
    <row r="67" spans="1:11" x14ac:dyDescent="0.25">
      <c r="B67" s="34"/>
      <c r="C67" s="34"/>
      <c r="D67" s="34"/>
      <c r="E67" s="34"/>
      <c r="F67" s="34"/>
      <c r="G67" s="34"/>
      <c r="H67" s="34"/>
      <c r="I67" s="34"/>
      <c r="J67" s="34"/>
      <c r="K67" s="34"/>
    </row>
    <row r="68" spans="1:11" s="13" customFormat="1" x14ac:dyDescent="0.25">
      <c r="A68" s="24" t="s">
        <v>61</v>
      </c>
      <c r="B68" s="42">
        <f>B66/(1+Assumption_Hatchery!$C76)^B55</f>
        <v>0</v>
      </c>
      <c r="C68" s="42">
        <f>C66/(1+Assumption_Hatchery!$C76)^C55</f>
        <v>-43100.917431192647</v>
      </c>
      <c r="D68" s="42">
        <f>D66/(1+Assumption_Hatchery!$C76)^D55</f>
        <v>6767.1071458631423</v>
      </c>
      <c r="E68" s="42">
        <f>E66/(1+Assumption_Hatchery!$C76)^E55</f>
        <v>-9604.3693809173474</v>
      </c>
      <c r="F68" s="42">
        <f>F66/(1+Assumption_Hatchery!$C76)^F55</f>
        <v>25888.413918909053</v>
      </c>
      <c r="G68" s="42">
        <f>G66/(1+Assumption_Hatchery!$C76)^G55</f>
        <v>28180.077690144844</v>
      </c>
      <c r="H68" s="42">
        <f>H66/(1+Assumption_Hatchery!$C76)^H55</f>
        <v>3904.2910615479173</v>
      </c>
      <c r="I68" s="42">
        <f>I66/(1+Assumption_Hatchery!$C76)^I55</f>
        <v>13811.177753227732</v>
      </c>
      <c r="J68" s="42">
        <f>J66/(1+Assumption_Hatchery!$C76)^J55</f>
        <v>4158.2986599506339</v>
      </c>
      <c r="K68" s="42">
        <f>K66/(1+Assumption_Hatchery!$C76)^K55</f>
        <v>1927.906649697326</v>
      </c>
    </row>
    <row r="69" spans="1:11" x14ac:dyDescent="0.25">
      <c r="B69" s="34"/>
      <c r="C69" s="34"/>
      <c r="D69" s="34"/>
      <c r="E69" s="34"/>
      <c r="F69" s="34"/>
      <c r="G69" s="34"/>
      <c r="H69" s="34"/>
      <c r="I69" s="34"/>
      <c r="J69" s="34"/>
      <c r="K69" s="34"/>
    </row>
    <row r="70" spans="1:11" s="13" customFormat="1" x14ac:dyDescent="0.25">
      <c r="A70" s="26" t="s">
        <v>62</v>
      </c>
      <c r="B70" s="37">
        <f>NPV(Assumption_Hatchery!C76,C66:K66)+B66</f>
        <v>31931.986067230649</v>
      </c>
      <c r="C70" s="43"/>
      <c r="D70" s="43"/>
      <c r="E70" s="43"/>
      <c r="F70" s="43"/>
      <c r="G70" s="43"/>
      <c r="H70" s="43"/>
      <c r="I70" s="43"/>
      <c r="J70" s="43"/>
      <c r="K70" s="43"/>
    </row>
    <row r="72" spans="1:11" s="13" customFormat="1" x14ac:dyDescent="0.25">
      <c r="A72" s="26" t="s">
        <v>25</v>
      </c>
      <c r="B72" s="38">
        <f>IRR(B66:K66)</f>
        <v>0.24446057380309849</v>
      </c>
      <c r="C72" s="4"/>
      <c r="D72" s="4"/>
      <c r="E72" s="4"/>
      <c r="F72" s="4"/>
      <c r="G72" s="4"/>
      <c r="H72" s="4"/>
      <c r="I72" s="4"/>
      <c r="J72" s="4"/>
      <c r="K72" s="4"/>
    </row>
    <row r="74" spans="1:11" s="13" customFormat="1" x14ac:dyDescent="0.25">
      <c r="A74" s="27" t="s">
        <v>63</v>
      </c>
      <c r="B74" s="39">
        <f>B68</f>
        <v>0</v>
      </c>
      <c r="C74" s="39">
        <f>B74+C68</f>
        <v>-43100.917431192647</v>
      </c>
      <c r="D74" s="39">
        <f t="shared" ref="D74:K74" si="17">C74+D68</f>
        <v>-36333.810285329506</v>
      </c>
      <c r="E74" s="39">
        <f t="shared" si="17"/>
        <v>-45938.179666246855</v>
      </c>
      <c r="F74" s="39">
        <f t="shared" si="17"/>
        <v>-20049.765747337802</v>
      </c>
      <c r="G74" s="39">
        <f t="shared" si="17"/>
        <v>8130.3119428070422</v>
      </c>
      <c r="H74" s="39">
        <f t="shared" si="17"/>
        <v>12034.60300435496</v>
      </c>
      <c r="I74" s="39">
        <f t="shared" si="17"/>
        <v>25845.780757582692</v>
      </c>
      <c r="J74" s="39">
        <f t="shared" si="17"/>
        <v>30004.079417533325</v>
      </c>
      <c r="K74" s="39">
        <f t="shared" si="17"/>
        <v>31931.986067230649</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2:K74"/>
  <sheetViews>
    <sheetView showGridLines="0" topLeftCell="A52" zoomScale="85" zoomScaleNormal="85" workbookViewId="0">
      <selection activeCell="E57" sqref="E57"/>
    </sheetView>
  </sheetViews>
  <sheetFormatPr defaultColWidth="9" defaultRowHeight="15" x14ac:dyDescent="0.25"/>
  <cols>
    <col min="1" max="1" width="40.7109375" style="10" customWidth="1"/>
    <col min="2" max="2" width="12.7109375" style="28" customWidth="1"/>
    <col min="3" max="3" width="13" style="28" customWidth="1"/>
    <col min="4" max="4" width="17" style="28" customWidth="1"/>
    <col min="5" max="6" width="12.5703125" style="28" customWidth="1"/>
    <col min="7" max="7" width="11.85546875" style="28" customWidth="1"/>
    <col min="8" max="8" width="12.28515625" style="28" customWidth="1"/>
    <col min="9" max="9" width="11.7109375" style="28" customWidth="1"/>
    <col min="10" max="10" width="13" style="28" customWidth="1"/>
    <col min="11" max="11" width="12.7109375" style="28" customWidth="1"/>
    <col min="12" max="16384" width="9" style="3"/>
  </cols>
  <sheetData>
    <row r="2" spans="1:11" ht="38.25" customHeight="1" x14ac:dyDescent="0.25">
      <c r="A2" s="11" t="s">
        <v>77</v>
      </c>
      <c r="B2" s="32"/>
      <c r="C2" s="76"/>
      <c r="D2" s="77"/>
      <c r="E2" s="32"/>
      <c r="F2" s="126" t="s">
        <v>106</v>
      </c>
      <c r="G2" s="32"/>
      <c r="H2" s="32"/>
      <c r="I2" s="32"/>
      <c r="J2" s="32"/>
      <c r="K2" s="32"/>
    </row>
    <row r="3" spans="1:11" ht="15" customHeight="1" x14ac:dyDescent="0.25">
      <c r="A3" s="23"/>
      <c r="B3" s="32"/>
      <c r="C3" s="32"/>
      <c r="D3" s="32"/>
      <c r="E3" s="32"/>
      <c r="F3" s="32"/>
      <c r="G3" s="32"/>
      <c r="H3" s="32"/>
      <c r="I3" s="32"/>
      <c r="J3" s="32"/>
      <c r="K3" s="32"/>
    </row>
    <row r="4" spans="1:11" x14ac:dyDescent="0.25">
      <c r="A4" s="10" t="s">
        <v>22</v>
      </c>
      <c r="B4" s="28">
        <v>0</v>
      </c>
      <c r="C4" s="28">
        <v>1</v>
      </c>
      <c r="D4" s="28">
        <v>2</v>
      </c>
      <c r="E4" s="28">
        <v>3</v>
      </c>
      <c r="F4" s="28">
        <v>4</v>
      </c>
      <c r="G4" s="28">
        <v>5</v>
      </c>
      <c r="H4" s="28">
        <v>6</v>
      </c>
      <c r="I4" s="28">
        <v>7</v>
      </c>
      <c r="J4" s="28">
        <v>8</v>
      </c>
      <c r="K4" s="28">
        <v>9</v>
      </c>
    </row>
    <row r="5" spans="1:11" x14ac:dyDescent="0.25">
      <c r="A5" s="24" t="s">
        <v>23</v>
      </c>
    </row>
    <row r="6" spans="1:11" x14ac:dyDescent="0.25">
      <c r="A6" s="10" t="s">
        <v>255</v>
      </c>
      <c r="B6" s="33">
        <f>Assumption_Vegatables!D11*Assumption_Vegatables!D135*Assumption_Vegatables!D136*Assumption_Vegatables!D138*(1+Assumption_Vegatables!D137)^Assumption_Vegatables!D134</f>
        <v>0</v>
      </c>
      <c r="C6" s="33">
        <f>Assumption_Vegatables!E11*Assumption_Vegatables!E135*Assumption_Vegatables!E136*Assumption_Vegatables!E138*(1+Assumption_Vegatables!E137)^Assumption_Vegatables!E134</f>
        <v>103020.00000000001</v>
      </c>
      <c r="D6" s="33">
        <f>Assumption_Vegatables!F11*Assumption_Vegatables!F135*Assumption_Vegatables!F136*Assumption_Vegatables!F139*(1+Assumption_Vegatables!F137)^Assumption_Vegatables!F134</f>
        <v>408040</v>
      </c>
      <c r="E6" s="146">
        <f>Assumption_Vegatables!G11*Assumption_Vegatables!G135*Assumption_Vegatables!G136*Assumption_Vegatables!G139*(1+Assumption_Vegatables!G137)^Assumption_Vegatables!G134*(1+Assumption_Vegatables!$S118)</f>
        <v>641359.15280937497</v>
      </c>
      <c r="F6" s="33">
        <f>Assumption_Vegatables!H11*Assumption_Vegatables!H135*Assumption_Vegatables!H136*Assumption_Vegatables!H139*(1+Assumption_Vegatables!H137)^Assumption_Vegatables!H134</f>
        <v>936543.60900000005</v>
      </c>
      <c r="G6" s="33">
        <f>Assumption_Vegatables!I11*Assumption_Vegatables!I135*Assumption_Vegatables!I136*Assumption_Vegatables!I139*(1+Assumption_Vegatables!I137)^Assumption_Vegatables!I134</f>
        <v>893358.54258499993</v>
      </c>
      <c r="H6" s="146">
        <f>Assumption_Vegatables!J11*Assumption_Vegatables!J135*Assumption_Vegatables!J136*Assumption_Vegatables!J139*(1+Assumption_Vegatables!J137)^Assumption_Vegatables!J134*(1+Assumption_Vegatables!$S118)</f>
        <v>609962.7475372171</v>
      </c>
      <c r="I6" s="33">
        <f>Assumption_Vegatables!K11*Assumption_Vegatables!K135*Assumption_Vegatables!K136*Assumption_Vegatables!K139*(1+Assumption_Vegatables!K137)^Assumption_Vegatables!K134</f>
        <v>375247.37323745346</v>
      </c>
      <c r="J6" s="33">
        <f>Assumption_Vegatables!L11*Assumption_Vegatables!L135*Assumption_Vegatables!L136*Assumption_Vegatables!L139*(1+Assumption_Vegatables!L137)^Assumption_Vegatables!L134</f>
        <v>108285.67056280802</v>
      </c>
      <c r="K6" s="146">
        <f>Assumption_Vegatables!M11*Assumption_Vegatables!M135*Assumption_Vegatables!M136*Assumption_Vegatables!M139*(1+Assumption_Vegatables!M137)^Assumption_Vegatables!M134*(1+Assumption_Vegatables!$S118)</f>
        <v>104740.87145839041</v>
      </c>
    </row>
    <row r="7" spans="1:11" s="13" customFormat="1" x14ac:dyDescent="0.25">
      <c r="A7" s="24" t="s">
        <v>58</v>
      </c>
      <c r="B7" s="41">
        <f>B6</f>
        <v>0</v>
      </c>
      <c r="C7" s="41">
        <f t="shared" ref="C7:K7" si="0">C6</f>
        <v>103020.00000000001</v>
      </c>
      <c r="D7" s="41">
        <f t="shared" si="0"/>
        <v>408040</v>
      </c>
      <c r="E7" s="41">
        <f t="shared" si="0"/>
        <v>641359.15280937497</v>
      </c>
      <c r="F7" s="41">
        <f t="shared" si="0"/>
        <v>936543.60900000005</v>
      </c>
      <c r="G7" s="41">
        <f t="shared" si="0"/>
        <v>893358.54258499993</v>
      </c>
      <c r="H7" s="41">
        <f t="shared" si="0"/>
        <v>609962.7475372171</v>
      </c>
      <c r="I7" s="41">
        <f t="shared" si="0"/>
        <v>375247.37323745346</v>
      </c>
      <c r="J7" s="41">
        <f t="shared" si="0"/>
        <v>108285.67056280802</v>
      </c>
      <c r="K7" s="41">
        <f t="shared" si="0"/>
        <v>104740.87145839041</v>
      </c>
    </row>
    <row r="8" spans="1:11" x14ac:dyDescent="0.25">
      <c r="A8" s="24"/>
      <c r="B8" s="44"/>
      <c r="C8" s="44"/>
      <c r="D8" s="44"/>
      <c r="E8" s="44"/>
      <c r="F8" s="44"/>
      <c r="G8" s="44"/>
      <c r="H8" s="44"/>
      <c r="I8" s="44"/>
      <c r="J8" s="44"/>
      <c r="K8" s="44"/>
    </row>
    <row r="9" spans="1:11" x14ac:dyDescent="0.25">
      <c r="A9" s="24" t="s">
        <v>24</v>
      </c>
    </row>
    <row r="10" spans="1:11" ht="30" x14ac:dyDescent="0.25">
      <c r="A10" s="9" t="str">
        <f>Assumption_Vegatables!B142</f>
        <v>Land Preparation for cultivation (fenching.etc)</v>
      </c>
      <c r="B10" s="35">
        <f>Assumption_Vegatables!D142*Assumption_Vegatables!D11</f>
        <v>0</v>
      </c>
      <c r="C10" s="35">
        <f>Assumption_Vegatables!E142*Assumption_Vegatables!E11</f>
        <v>69000</v>
      </c>
      <c r="D10" s="35">
        <f>Assumption_Vegatables!F142*Assumption_Vegatables!F11</f>
        <v>184000</v>
      </c>
      <c r="E10" s="35">
        <f>Assumption_Vegatables!G142*Assumption_Vegatables!G11</f>
        <v>299000</v>
      </c>
      <c r="F10" s="35">
        <f>Assumption_Vegatables!H142*Assumption_Vegatables!H11</f>
        <v>414000</v>
      </c>
      <c r="G10" s="35">
        <f>Assumption_Vegatables!I142*Assumption_Vegatables!I11</f>
        <v>391000</v>
      </c>
      <c r="H10" s="35">
        <f>Assumption_Vegatables!J142*Assumption_Vegatables!J11</f>
        <v>276000</v>
      </c>
      <c r="I10" s="35">
        <f>Assumption_Vegatables!K142*Assumption_Vegatables!K11</f>
        <v>161000</v>
      </c>
      <c r="J10" s="35">
        <f>Assumption_Vegatables!L142*Assumption_Vegatables!L11</f>
        <v>46000</v>
      </c>
      <c r="K10" s="35">
        <f>Assumption_Vegatables!M142*Assumption_Vegatables!M11</f>
        <v>46000</v>
      </c>
    </row>
    <row r="11" spans="1:11" x14ac:dyDescent="0.25">
      <c r="A11" s="9" t="str">
        <f>Assumption_Vegatables!B143</f>
        <v>Organic Fartilizer/Seeds/Saplings etc.</v>
      </c>
      <c r="B11" s="35">
        <f>Assumption_Vegatables!D11*Assumption_Vegatables!D143</f>
        <v>0</v>
      </c>
      <c r="C11" s="35">
        <f>Assumption_Vegatables!E11*Assumption_Vegatables!E143</f>
        <v>81000</v>
      </c>
      <c r="D11" s="35">
        <f>Assumption_Vegatables!F11*Assumption_Vegatables!F143</f>
        <v>216000</v>
      </c>
      <c r="E11" s="147">
        <f>Assumption_Vegatables!G11*Assumption_Vegatables!G143*(1+Assumption_Vegatables!$S126)</f>
        <v>366075.45</v>
      </c>
      <c r="F11" s="35">
        <f>Assumption_Vegatables!H11*Assumption_Vegatables!H143</f>
        <v>486000</v>
      </c>
      <c r="G11" s="35">
        <f>Assumption_Vegatables!I11*Assumption_Vegatables!I143</f>
        <v>459000</v>
      </c>
      <c r="H11" s="147">
        <f>Assumption_Vegatables!J11*Assumption_Vegatables!J143*(1+Assumption_Vegatables!$S126)</f>
        <v>337915.8</v>
      </c>
      <c r="I11" s="35">
        <f>Assumption_Vegatables!K11*Assumption_Vegatables!K143</f>
        <v>189000</v>
      </c>
      <c r="J11" s="35">
        <f>Assumption_Vegatables!L11*Assumption_Vegatables!L143</f>
        <v>54000</v>
      </c>
      <c r="K11" s="147">
        <f>Assumption_Vegatables!M11*Assumption_Vegatables!M143*(1+Assumption_Vegatables!$S126)</f>
        <v>56319.299999999996</v>
      </c>
    </row>
    <row r="12" spans="1:11" s="54" customFormat="1" x14ac:dyDescent="0.25">
      <c r="A12" s="56" t="s">
        <v>156</v>
      </c>
      <c r="B12" s="53">
        <f>Assumption_Vegatables!D40</f>
        <v>0</v>
      </c>
      <c r="C12" s="53">
        <f>Assumption_Vegatables!E40</f>
        <v>186000</v>
      </c>
      <c r="D12" s="53">
        <f>Assumption_Vegatables!F40</f>
        <v>310000</v>
      </c>
      <c r="E12" s="53">
        <f>Assumption_Vegatables!G40</f>
        <v>310000</v>
      </c>
      <c r="F12" s="53">
        <f>Assumption_Vegatables!H40</f>
        <v>310000</v>
      </c>
      <c r="G12" s="53">
        <f>Assumption_Vegatables!I40</f>
        <v>124000</v>
      </c>
      <c r="H12" s="53">
        <f>Assumption_Vegatables!J40</f>
        <v>0</v>
      </c>
      <c r="I12" s="53">
        <f>Assumption_Vegatables!K40</f>
        <v>0</v>
      </c>
      <c r="J12" s="53">
        <f>Assumption_Vegatables!L40</f>
        <v>0</v>
      </c>
      <c r="K12" s="53">
        <f>Assumption_Vegatables!M40</f>
        <v>0</v>
      </c>
    </row>
    <row r="13" spans="1:11" x14ac:dyDescent="0.25">
      <c r="A13" s="127" t="s">
        <v>59</v>
      </c>
      <c r="B13" s="40">
        <f t="shared" ref="B13:K13" si="1">SUM(B10:B12)</f>
        <v>0</v>
      </c>
      <c r="C13" s="40">
        <f t="shared" si="1"/>
        <v>336000</v>
      </c>
      <c r="D13" s="40">
        <f t="shared" si="1"/>
        <v>710000</v>
      </c>
      <c r="E13" s="40">
        <f t="shared" si="1"/>
        <v>975075.45</v>
      </c>
      <c r="F13" s="40">
        <f t="shared" si="1"/>
        <v>1210000</v>
      </c>
      <c r="G13" s="40">
        <f t="shared" si="1"/>
        <v>974000</v>
      </c>
      <c r="H13" s="40">
        <f t="shared" si="1"/>
        <v>613915.80000000005</v>
      </c>
      <c r="I13" s="40">
        <f t="shared" si="1"/>
        <v>350000</v>
      </c>
      <c r="J13" s="40">
        <f t="shared" si="1"/>
        <v>100000</v>
      </c>
      <c r="K13" s="40">
        <f t="shared" si="1"/>
        <v>102319.29999999999</v>
      </c>
    </row>
    <row r="14" spans="1:11" x14ac:dyDescent="0.25">
      <c r="B14" s="34"/>
      <c r="C14" s="34"/>
      <c r="D14" s="34"/>
      <c r="E14" s="34"/>
      <c r="F14" s="34"/>
      <c r="G14" s="34"/>
      <c r="H14" s="34"/>
      <c r="I14" s="34"/>
      <c r="J14" s="34"/>
      <c r="K14" s="34"/>
    </row>
    <row r="15" spans="1:11" x14ac:dyDescent="0.25">
      <c r="A15" s="24" t="s">
        <v>60</v>
      </c>
      <c r="B15" s="36">
        <f t="shared" ref="B15:K15" si="2">B7-B13</f>
        <v>0</v>
      </c>
      <c r="C15" s="36">
        <f t="shared" si="2"/>
        <v>-232980</v>
      </c>
      <c r="D15" s="36">
        <f t="shared" si="2"/>
        <v>-301960</v>
      </c>
      <c r="E15" s="36">
        <f t="shared" si="2"/>
        <v>-333716.29719062499</v>
      </c>
      <c r="F15" s="36">
        <f t="shared" si="2"/>
        <v>-273456.39099999995</v>
      </c>
      <c r="G15" s="36">
        <f t="shared" si="2"/>
        <v>-80641.45741500007</v>
      </c>
      <c r="H15" s="36">
        <f t="shared" si="2"/>
        <v>-3953.0524627829436</v>
      </c>
      <c r="I15" s="36">
        <f t="shared" si="2"/>
        <v>25247.373237453459</v>
      </c>
      <c r="J15" s="36">
        <f t="shared" si="2"/>
        <v>8285.6705628080235</v>
      </c>
      <c r="K15" s="36">
        <f t="shared" si="2"/>
        <v>2421.5714583904191</v>
      </c>
    </row>
    <row r="16" spans="1:11" x14ac:dyDescent="0.25">
      <c r="B16" s="34"/>
      <c r="C16" s="34"/>
      <c r="D16" s="34"/>
      <c r="E16" s="34"/>
      <c r="F16" s="34"/>
      <c r="G16" s="34"/>
      <c r="H16" s="34"/>
      <c r="I16" s="34"/>
      <c r="J16" s="34"/>
      <c r="K16" s="34"/>
    </row>
    <row r="17" spans="1:11" s="13" customFormat="1" x14ac:dyDescent="0.25">
      <c r="A17" s="24" t="s">
        <v>61</v>
      </c>
      <c r="B17" s="42">
        <f>B15/(1+Assumption_Hatchery!$C76)^B4</f>
        <v>0</v>
      </c>
      <c r="C17" s="42">
        <f>C15/(1+Assumption_Hatchery!$C76)^C4</f>
        <v>-213743.11926605503</v>
      </c>
      <c r="D17" s="42">
        <f>D15/(1+Assumption_Hatchery!$C76)^D4</f>
        <v>-254153.69076677045</v>
      </c>
      <c r="E17" s="42">
        <f>E15/(1+Assumption_Hatchery!$C76)^E4</f>
        <v>-257690.21171774913</v>
      </c>
      <c r="F17" s="42">
        <f>F15/(1+Assumption_Hatchery!$C76)^F4</f>
        <v>-193723.40151130184</v>
      </c>
      <c r="G17" s="42">
        <f>G15/(1+Assumption_Hatchery!$C76)^G4</f>
        <v>-52411.414210849973</v>
      </c>
      <c r="H17" s="42">
        <f>H15/(1+Assumption_Hatchery!$C76)^H4</f>
        <v>-2357.0760249968866</v>
      </c>
      <c r="I17" s="42">
        <f>I15/(1+Assumption_Hatchery!$C76)^I4</f>
        <v>13811.177753227732</v>
      </c>
      <c r="J17" s="42">
        <f>J15/(1+Assumption_Hatchery!$C76)^J4</f>
        <v>4158.2986599506339</v>
      </c>
      <c r="K17" s="42">
        <f>K15/(1+Assumption_Hatchery!$C76)^K4</f>
        <v>1114.9587695267512</v>
      </c>
    </row>
    <row r="18" spans="1:11" x14ac:dyDescent="0.25">
      <c r="B18" s="34"/>
      <c r="C18" s="34"/>
      <c r="D18" s="34"/>
      <c r="E18" s="34"/>
      <c r="F18" s="34"/>
      <c r="G18" s="34"/>
      <c r="H18" s="34"/>
      <c r="I18" s="34"/>
      <c r="J18" s="34"/>
      <c r="K18" s="34"/>
    </row>
    <row r="19" spans="1:11" s="13" customFormat="1" x14ac:dyDescent="0.25">
      <c r="A19" s="26" t="s">
        <v>62</v>
      </c>
      <c r="B19" s="37">
        <f>NPV(Assumption_Hatchery!C76,C15:K15)+B15</f>
        <v>-954994.47831501812</v>
      </c>
      <c r="C19" s="43"/>
      <c r="D19" s="43"/>
      <c r="E19" s="43"/>
      <c r="F19" s="43"/>
      <c r="G19" s="43"/>
      <c r="H19" s="43"/>
      <c r="I19" s="43"/>
      <c r="J19" s="43"/>
      <c r="K19" s="43"/>
    </row>
    <row r="21" spans="1:11" s="13" customFormat="1" x14ac:dyDescent="0.25">
      <c r="A21" s="26" t="s">
        <v>25</v>
      </c>
      <c r="B21" s="38" t="e">
        <f>IRR(B15:K15)</f>
        <v>#NUM!</v>
      </c>
      <c r="C21" s="4"/>
      <c r="D21" s="4"/>
      <c r="E21" s="4"/>
      <c r="F21" s="4"/>
      <c r="G21" s="4"/>
      <c r="H21" s="4"/>
      <c r="I21" s="4"/>
      <c r="J21" s="4"/>
      <c r="K21" s="4"/>
    </row>
    <row r="23" spans="1:11" s="13" customFormat="1" x14ac:dyDescent="0.25">
      <c r="A23" s="27" t="s">
        <v>63</v>
      </c>
      <c r="B23" s="39">
        <f>B17</f>
        <v>0</v>
      </c>
      <c r="C23" s="39">
        <f>B23+C17</f>
        <v>-213743.11926605503</v>
      </c>
      <c r="D23" s="39">
        <f t="shared" ref="D23:K23" si="3">C23+D17</f>
        <v>-467896.81003282545</v>
      </c>
      <c r="E23" s="39">
        <f t="shared" si="3"/>
        <v>-725587.02175057458</v>
      </c>
      <c r="F23" s="39">
        <f t="shared" si="3"/>
        <v>-919310.42326187645</v>
      </c>
      <c r="G23" s="39">
        <f t="shared" si="3"/>
        <v>-971721.83747272647</v>
      </c>
      <c r="H23" s="39">
        <f t="shared" si="3"/>
        <v>-974078.91349772341</v>
      </c>
      <c r="I23" s="39">
        <f t="shared" si="3"/>
        <v>-960267.73574449564</v>
      </c>
      <c r="J23" s="39">
        <f t="shared" si="3"/>
        <v>-956109.43708454503</v>
      </c>
      <c r="K23" s="39">
        <f t="shared" si="3"/>
        <v>-954994.47831501823</v>
      </c>
    </row>
    <row r="25" spans="1:11" s="1" customFormat="1" x14ac:dyDescent="0.25">
      <c r="A25" s="25"/>
      <c r="B25" s="45"/>
      <c r="C25" s="45"/>
      <c r="D25" s="45"/>
      <c r="E25" s="45"/>
      <c r="F25" s="45"/>
      <c r="G25" s="45"/>
      <c r="H25" s="45"/>
      <c r="I25" s="45"/>
      <c r="J25" s="45"/>
      <c r="K25" s="45"/>
    </row>
    <row r="27" spans="1:11" ht="38.25" customHeight="1" x14ac:dyDescent="0.25">
      <c r="A27" s="11" t="s">
        <v>77</v>
      </c>
      <c r="B27" s="32"/>
      <c r="C27" s="76"/>
      <c r="D27" s="77"/>
      <c r="E27" s="32"/>
      <c r="F27" s="126" t="s">
        <v>105</v>
      </c>
      <c r="G27" s="32"/>
      <c r="H27" s="32"/>
      <c r="I27" s="32"/>
      <c r="J27" s="32"/>
      <c r="K27" s="32"/>
    </row>
    <row r="28" spans="1:11" ht="38.25" customHeight="1" x14ac:dyDescent="0.25">
      <c r="A28" s="11"/>
      <c r="B28" s="32"/>
      <c r="C28" s="76"/>
      <c r="D28" s="77"/>
      <c r="E28" s="32"/>
      <c r="F28" s="126"/>
      <c r="G28" s="32"/>
      <c r="H28" s="32"/>
      <c r="I28" s="32"/>
      <c r="J28" s="32"/>
      <c r="K28" s="32"/>
    </row>
    <row r="29" spans="1:11" x14ac:dyDescent="0.25">
      <c r="A29" s="10" t="s">
        <v>22</v>
      </c>
      <c r="B29" s="28">
        <v>0</v>
      </c>
      <c r="C29" s="28">
        <v>1</v>
      </c>
      <c r="D29" s="28">
        <v>2</v>
      </c>
      <c r="E29" s="28">
        <v>3</v>
      </c>
      <c r="F29" s="28">
        <v>4</v>
      </c>
      <c r="G29" s="28">
        <v>5</v>
      </c>
      <c r="H29" s="28">
        <v>6</v>
      </c>
      <c r="I29" s="28">
        <v>7</v>
      </c>
      <c r="J29" s="28">
        <v>8</v>
      </c>
      <c r="K29" s="28">
        <v>9</v>
      </c>
    </row>
    <row r="30" spans="1:11" x14ac:dyDescent="0.25">
      <c r="A30" s="24" t="s">
        <v>23</v>
      </c>
    </row>
    <row r="31" spans="1:11" x14ac:dyDescent="0.25">
      <c r="A31" s="10" t="str">
        <f t="shared" ref="A31:K31" si="4">A6</f>
        <v>Vagetable Sale ($)</v>
      </c>
      <c r="B31" s="33">
        <f t="shared" si="4"/>
        <v>0</v>
      </c>
      <c r="C31" s="33">
        <f t="shared" si="4"/>
        <v>103020.00000000001</v>
      </c>
      <c r="D31" s="33">
        <f t="shared" si="4"/>
        <v>408040</v>
      </c>
      <c r="E31" s="33">
        <f t="shared" si="4"/>
        <v>641359.15280937497</v>
      </c>
      <c r="F31" s="33">
        <f t="shared" si="4"/>
        <v>936543.60900000005</v>
      </c>
      <c r="G31" s="33">
        <f t="shared" si="4"/>
        <v>893358.54258499993</v>
      </c>
      <c r="H31" s="33">
        <f t="shared" si="4"/>
        <v>609962.7475372171</v>
      </c>
      <c r="I31" s="33">
        <f t="shared" si="4"/>
        <v>375247.37323745346</v>
      </c>
      <c r="J31" s="33">
        <f t="shared" si="4"/>
        <v>108285.67056280802</v>
      </c>
      <c r="K31" s="33">
        <f t="shared" si="4"/>
        <v>104740.87145839041</v>
      </c>
    </row>
    <row r="32" spans="1:11" s="13" customFormat="1" x14ac:dyDescent="0.25">
      <c r="A32" s="24" t="s">
        <v>58</v>
      </c>
      <c r="B32" s="41">
        <f>B31</f>
        <v>0</v>
      </c>
      <c r="C32" s="41">
        <f t="shared" ref="C32:K32" si="5">C31</f>
        <v>103020.00000000001</v>
      </c>
      <c r="D32" s="41">
        <f t="shared" si="5"/>
        <v>408040</v>
      </c>
      <c r="E32" s="41">
        <f t="shared" si="5"/>
        <v>641359.15280937497</v>
      </c>
      <c r="F32" s="41">
        <f t="shared" si="5"/>
        <v>936543.60900000005</v>
      </c>
      <c r="G32" s="41">
        <f t="shared" si="5"/>
        <v>893358.54258499993</v>
      </c>
      <c r="H32" s="41">
        <f t="shared" si="5"/>
        <v>609962.7475372171</v>
      </c>
      <c r="I32" s="41">
        <f t="shared" si="5"/>
        <v>375247.37323745346</v>
      </c>
      <c r="J32" s="41">
        <f t="shared" si="5"/>
        <v>108285.67056280802</v>
      </c>
      <c r="K32" s="41">
        <f t="shared" si="5"/>
        <v>104740.87145839041</v>
      </c>
    </row>
    <row r="33" spans="1:11" x14ac:dyDescent="0.25">
      <c r="A33" s="24"/>
      <c r="B33" s="44"/>
      <c r="C33" s="44"/>
      <c r="D33" s="44"/>
      <c r="E33" s="44"/>
      <c r="F33" s="44"/>
      <c r="G33" s="44"/>
      <c r="H33" s="44"/>
      <c r="I33" s="44"/>
      <c r="J33" s="44"/>
      <c r="K33" s="44"/>
    </row>
    <row r="34" spans="1:11" x14ac:dyDescent="0.25">
      <c r="A34" s="24" t="s">
        <v>24</v>
      </c>
    </row>
    <row r="35" spans="1:11" ht="30" x14ac:dyDescent="0.25">
      <c r="A35" s="9" t="str">
        <f>A10</f>
        <v>Land Preparation for cultivation (fenching.etc)</v>
      </c>
      <c r="B35" s="35">
        <f>B10</f>
        <v>0</v>
      </c>
      <c r="C35" s="35">
        <f t="shared" ref="C35:K36" si="6">C10</f>
        <v>69000</v>
      </c>
      <c r="D35" s="35">
        <f t="shared" si="6"/>
        <v>184000</v>
      </c>
      <c r="E35" s="35">
        <f t="shared" si="6"/>
        <v>299000</v>
      </c>
      <c r="F35" s="35">
        <f t="shared" si="6"/>
        <v>414000</v>
      </c>
      <c r="G35" s="35">
        <f t="shared" si="6"/>
        <v>391000</v>
      </c>
      <c r="H35" s="35">
        <f t="shared" si="6"/>
        <v>276000</v>
      </c>
      <c r="I35" s="35">
        <f t="shared" si="6"/>
        <v>161000</v>
      </c>
      <c r="J35" s="35">
        <f t="shared" si="6"/>
        <v>46000</v>
      </c>
      <c r="K35" s="35">
        <f t="shared" si="6"/>
        <v>46000</v>
      </c>
    </row>
    <row r="36" spans="1:11" x14ac:dyDescent="0.25">
      <c r="A36" s="9" t="str">
        <f>A11</f>
        <v>Organic Fartilizer/Seeds/Saplings etc.</v>
      </c>
      <c r="B36" s="35">
        <f>B11</f>
        <v>0</v>
      </c>
      <c r="C36" s="35">
        <f t="shared" si="6"/>
        <v>81000</v>
      </c>
      <c r="D36" s="35">
        <f t="shared" si="6"/>
        <v>216000</v>
      </c>
      <c r="E36" s="35">
        <f t="shared" si="6"/>
        <v>366075.45</v>
      </c>
      <c r="F36" s="35">
        <f t="shared" si="6"/>
        <v>486000</v>
      </c>
      <c r="G36" s="35">
        <f t="shared" si="6"/>
        <v>459000</v>
      </c>
      <c r="H36" s="35">
        <f t="shared" si="6"/>
        <v>337915.8</v>
      </c>
      <c r="I36" s="35">
        <f t="shared" si="6"/>
        <v>189000</v>
      </c>
      <c r="J36" s="35">
        <f t="shared" si="6"/>
        <v>54000</v>
      </c>
      <c r="K36" s="35">
        <f t="shared" si="6"/>
        <v>56319.299999999996</v>
      </c>
    </row>
    <row r="37" spans="1:11" s="54" customFormat="1" x14ac:dyDescent="0.25">
      <c r="A37" s="56" t="s">
        <v>156</v>
      </c>
      <c r="B37" s="53">
        <f>Assumption_Vegatables!D50</f>
        <v>0</v>
      </c>
      <c r="C37" s="53">
        <f>Assumption_Vegatables!E50</f>
        <v>93000</v>
      </c>
      <c r="D37" s="53">
        <f>Assumption_Vegatables!F50</f>
        <v>155000</v>
      </c>
      <c r="E37" s="53">
        <f>Assumption_Vegatables!G50</f>
        <v>155000</v>
      </c>
      <c r="F37" s="53">
        <f>Assumption_Vegatables!H50</f>
        <v>155000</v>
      </c>
      <c r="G37" s="53">
        <f>Assumption_Vegatables!I50</f>
        <v>62000</v>
      </c>
      <c r="H37" s="53">
        <f>Assumption_Vegatables!J50</f>
        <v>0</v>
      </c>
      <c r="I37" s="53">
        <f>Assumption_Vegatables!K50</f>
        <v>0</v>
      </c>
      <c r="J37" s="53">
        <f>Assumption_Vegatables!L50</f>
        <v>0</v>
      </c>
      <c r="K37" s="53">
        <f>Assumption_Vegatables!M50</f>
        <v>0</v>
      </c>
    </row>
    <row r="38" spans="1:11" x14ac:dyDescent="0.25">
      <c r="A38" s="127" t="s">
        <v>59</v>
      </c>
      <c r="B38" s="40">
        <f t="shared" ref="B38:K38" si="7">SUM(B35:B37)</f>
        <v>0</v>
      </c>
      <c r="C38" s="40">
        <f t="shared" si="7"/>
        <v>243000</v>
      </c>
      <c r="D38" s="40">
        <f t="shared" si="7"/>
        <v>555000</v>
      </c>
      <c r="E38" s="40">
        <f t="shared" si="7"/>
        <v>820075.45</v>
      </c>
      <c r="F38" s="40">
        <f t="shared" si="7"/>
        <v>1055000</v>
      </c>
      <c r="G38" s="40">
        <f t="shared" si="7"/>
        <v>912000</v>
      </c>
      <c r="H38" s="40">
        <f t="shared" si="7"/>
        <v>613915.80000000005</v>
      </c>
      <c r="I38" s="40">
        <f t="shared" si="7"/>
        <v>350000</v>
      </c>
      <c r="J38" s="40">
        <f t="shared" si="7"/>
        <v>100000</v>
      </c>
      <c r="K38" s="40">
        <f t="shared" si="7"/>
        <v>102319.29999999999</v>
      </c>
    </row>
    <row r="39" spans="1:11" x14ac:dyDescent="0.25">
      <c r="B39" s="34"/>
      <c r="C39" s="34"/>
      <c r="D39" s="34"/>
      <c r="E39" s="34"/>
      <c r="F39" s="34"/>
      <c r="G39" s="34"/>
      <c r="H39" s="34"/>
      <c r="I39" s="34"/>
      <c r="J39" s="34"/>
      <c r="K39" s="34"/>
    </row>
    <row r="40" spans="1:11" x14ac:dyDescent="0.25">
      <c r="A40" s="24" t="s">
        <v>60</v>
      </c>
      <c r="B40" s="36">
        <f t="shared" ref="B40:K40" si="8">B32-B38</f>
        <v>0</v>
      </c>
      <c r="C40" s="36">
        <f t="shared" si="8"/>
        <v>-139980</v>
      </c>
      <c r="D40" s="36">
        <f t="shared" si="8"/>
        <v>-146960</v>
      </c>
      <c r="E40" s="36">
        <f t="shared" si="8"/>
        <v>-178716.29719062499</v>
      </c>
      <c r="F40" s="36">
        <f t="shared" si="8"/>
        <v>-118456.39099999995</v>
      </c>
      <c r="G40" s="36">
        <f t="shared" si="8"/>
        <v>-18641.45741500007</v>
      </c>
      <c r="H40" s="36">
        <f t="shared" si="8"/>
        <v>-3953.0524627829436</v>
      </c>
      <c r="I40" s="36">
        <f t="shared" si="8"/>
        <v>25247.373237453459</v>
      </c>
      <c r="J40" s="36">
        <f t="shared" si="8"/>
        <v>8285.6705628080235</v>
      </c>
      <c r="K40" s="36">
        <f t="shared" si="8"/>
        <v>2421.5714583904191</v>
      </c>
    </row>
    <row r="41" spans="1:11" x14ac:dyDescent="0.25">
      <c r="B41" s="34"/>
      <c r="C41" s="34"/>
      <c r="D41" s="34"/>
      <c r="E41" s="34"/>
      <c r="F41" s="34"/>
      <c r="G41" s="34"/>
      <c r="H41" s="34"/>
      <c r="I41" s="34"/>
      <c r="J41" s="34"/>
      <c r="K41" s="34"/>
    </row>
    <row r="42" spans="1:11" s="13" customFormat="1" x14ac:dyDescent="0.25">
      <c r="A42" s="24" t="s">
        <v>61</v>
      </c>
      <c r="B42" s="42">
        <f>B40/(1+Assumption_Hatchery!$C76)^B29</f>
        <v>0</v>
      </c>
      <c r="C42" s="42">
        <f>C40/(1+Assumption_Hatchery!$C76)^C29</f>
        <v>-128422.01834862384</v>
      </c>
      <c r="D42" s="42">
        <f>D40/(1+Assumption_Hatchery!$C76)^D29</f>
        <v>-123693.29181045365</v>
      </c>
      <c r="E42" s="42">
        <f>E40/(1+Assumption_Hatchery!$C76)^E29</f>
        <v>-138001.77230828418</v>
      </c>
      <c r="F42" s="42">
        <f>F40/(1+Assumption_Hatchery!$C76)^F29</f>
        <v>-83917.493796196402</v>
      </c>
      <c r="G42" s="42">
        <f>G40/(1+Assumption_Hatchery!$C76)^G29</f>
        <v>-12115.668260352564</v>
      </c>
      <c r="H42" s="42">
        <f>H40/(1+Assumption_Hatchery!$C76)^H29</f>
        <v>-2357.0760249968866</v>
      </c>
      <c r="I42" s="42">
        <f>I40/(1+Assumption_Hatchery!$C76)^I29</f>
        <v>13811.177753227732</v>
      </c>
      <c r="J42" s="42">
        <f>J40/(1+Assumption_Hatchery!$C76)^J29</f>
        <v>4158.2986599506339</v>
      </c>
      <c r="K42" s="42">
        <f>K40/(1+Assumption_Hatchery!$C76)^K29</f>
        <v>1114.9587695267512</v>
      </c>
    </row>
    <row r="43" spans="1:11" x14ac:dyDescent="0.25">
      <c r="B43" s="34"/>
      <c r="C43" s="34"/>
      <c r="D43" s="34"/>
      <c r="E43" s="34"/>
      <c r="F43" s="34"/>
      <c r="G43" s="34"/>
      <c r="H43" s="34"/>
      <c r="I43" s="34"/>
      <c r="J43" s="34"/>
      <c r="K43" s="34"/>
    </row>
    <row r="44" spans="1:11" s="13" customFormat="1" x14ac:dyDescent="0.25">
      <c r="A44" s="26" t="s">
        <v>62</v>
      </c>
      <c r="B44" s="37">
        <f>NPV(Assumption_Hatchery!C76,C40:K40)+B40</f>
        <v>-469422.88536620245</v>
      </c>
      <c r="C44" s="43"/>
      <c r="D44" s="43"/>
      <c r="E44" s="43"/>
      <c r="F44" s="43"/>
      <c r="G44" s="43"/>
      <c r="H44" s="43"/>
      <c r="I44" s="43"/>
      <c r="J44" s="43"/>
      <c r="K44" s="43"/>
    </row>
    <row r="46" spans="1:11" s="13" customFormat="1" x14ac:dyDescent="0.25">
      <c r="A46" s="26" t="s">
        <v>25</v>
      </c>
      <c r="B46" s="38" t="e">
        <f>IRR(B40:K40)</f>
        <v>#NUM!</v>
      </c>
      <c r="C46" s="4"/>
      <c r="D46" s="4"/>
      <c r="E46" s="4"/>
      <c r="F46" s="4"/>
      <c r="G46" s="4"/>
      <c r="H46" s="4"/>
      <c r="I46" s="4"/>
      <c r="J46" s="4"/>
      <c r="K46" s="4"/>
    </row>
    <row r="48" spans="1:11" s="13" customFormat="1" x14ac:dyDescent="0.25">
      <c r="A48" s="27" t="s">
        <v>63</v>
      </c>
      <c r="B48" s="39">
        <f>B42</f>
        <v>0</v>
      </c>
      <c r="C48" s="39">
        <f>B48+C42</f>
        <v>-128422.01834862384</v>
      </c>
      <c r="D48" s="39">
        <f t="shared" ref="D48:K48" si="9">C48+D42</f>
        <v>-252115.31015907749</v>
      </c>
      <c r="E48" s="39">
        <f t="shared" si="9"/>
        <v>-390117.0824673617</v>
      </c>
      <c r="F48" s="39">
        <f t="shared" si="9"/>
        <v>-474034.57626355812</v>
      </c>
      <c r="G48" s="39">
        <f t="shared" si="9"/>
        <v>-486150.24452391069</v>
      </c>
      <c r="H48" s="39">
        <f t="shared" si="9"/>
        <v>-488507.32054890756</v>
      </c>
      <c r="I48" s="39">
        <f t="shared" si="9"/>
        <v>-474696.14279567986</v>
      </c>
      <c r="J48" s="39">
        <f t="shared" si="9"/>
        <v>-470537.84413572925</v>
      </c>
      <c r="K48" s="39">
        <f t="shared" si="9"/>
        <v>-469422.88536620251</v>
      </c>
    </row>
    <row r="49" spans="1:11" ht="38.25" customHeight="1" x14ac:dyDescent="0.25">
      <c r="A49" s="11"/>
      <c r="B49" s="32"/>
      <c r="C49" s="76"/>
      <c r="D49" s="77"/>
      <c r="E49" s="32"/>
      <c r="F49" s="126"/>
      <c r="G49" s="32"/>
      <c r="H49" s="32"/>
      <c r="I49" s="32"/>
      <c r="J49" s="32"/>
      <c r="K49" s="32"/>
    </row>
    <row r="50" spans="1:11" s="1" customFormat="1" x14ac:dyDescent="0.25">
      <c r="A50" s="25"/>
      <c r="B50" s="45"/>
      <c r="C50" s="45"/>
      <c r="D50" s="45"/>
      <c r="E50" s="45"/>
      <c r="F50" s="45"/>
      <c r="G50" s="45"/>
      <c r="H50" s="45"/>
      <c r="I50" s="45"/>
      <c r="J50" s="45"/>
      <c r="K50" s="45"/>
    </row>
    <row r="52" spans="1:11" ht="26.25" x14ac:dyDescent="0.25">
      <c r="F52" s="20" t="s">
        <v>111</v>
      </c>
    </row>
    <row r="53" spans="1:11" ht="38.25" customHeight="1" x14ac:dyDescent="0.25">
      <c r="A53" s="11" t="s">
        <v>77</v>
      </c>
      <c r="B53" s="32"/>
      <c r="C53" s="76"/>
      <c r="D53" s="77"/>
      <c r="E53" s="32"/>
      <c r="F53" s="32"/>
      <c r="G53" s="32"/>
      <c r="H53" s="32"/>
      <c r="I53" s="32"/>
      <c r="J53" s="32"/>
      <c r="K53" s="32"/>
    </row>
    <row r="55" spans="1:11" x14ac:dyDescent="0.25">
      <c r="A55" s="10" t="s">
        <v>22</v>
      </c>
      <c r="B55" s="28">
        <v>0</v>
      </c>
      <c r="C55" s="28">
        <v>1</v>
      </c>
      <c r="D55" s="28">
        <v>2</v>
      </c>
      <c r="E55" s="28">
        <v>3</v>
      </c>
      <c r="F55" s="28">
        <v>4</v>
      </c>
      <c r="G55" s="28">
        <v>5</v>
      </c>
      <c r="H55" s="28">
        <v>6</v>
      </c>
      <c r="I55" s="28">
        <v>7</v>
      </c>
      <c r="J55" s="28">
        <v>8</v>
      </c>
      <c r="K55" s="28">
        <v>9</v>
      </c>
    </row>
    <row r="56" spans="1:11" x14ac:dyDescent="0.25">
      <c r="A56" s="24" t="s">
        <v>23</v>
      </c>
    </row>
    <row r="57" spans="1:11" x14ac:dyDescent="0.25">
      <c r="A57" s="10" t="str">
        <f t="shared" ref="A57:K57" si="10">A6</f>
        <v>Vagetable Sale ($)</v>
      </c>
      <c r="B57" s="33">
        <f t="shared" si="10"/>
        <v>0</v>
      </c>
      <c r="C57" s="33">
        <f t="shared" si="10"/>
        <v>103020.00000000001</v>
      </c>
      <c r="D57" s="33">
        <f t="shared" si="10"/>
        <v>408040</v>
      </c>
      <c r="E57" s="146">
        <f t="shared" si="10"/>
        <v>641359.15280937497</v>
      </c>
      <c r="F57" s="33">
        <f t="shared" si="10"/>
        <v>936543.60900000005</v>
      </c>
      <c r="G57" s="33">
        <f t="shared" si="10"/>
        <v>893358.54258499993</v>
      </c>
      <c r="H57" s="146">
        <f t="shared" si="10"/>
        <v>609962.7475372171</v>
      </c>
      <c r="I57" s="33">
        <f t="shared" si="10"/>
        <v>375247.37323745346</v>
      </c>
      <c r="J57" s="33">
        <f t="shared" si="10"/>
        <v>108285.67056280802</v>
      </c>
      <c r="K57" s="146">
        <f t="shared" si="10"/>
        <v>104740.87145839041</v>
      </c>
    </row>
    <row r="58" spans="1:11" s="13" customFormat="1" x14ac:dyDescent="0.25">
      <c r="A58" s="24" t="s">
        <v>58</v>
      </c>
      <c r="B58" s="41">
        <f>B57</f>
        <v>0</v>
      </c>
      <c r="C58" s="41">
        <f t="shared" ref="C58:K58" si="11">C57</f>
        <v>103020.00000000001</v>
      </c>
      <c r="D58" s="41">
        <f t="shared" si="11"/>
        <v>408040</v>
      </c>
      <c r="E58" s="41">
        <f t="shared" si="11"/>
        <v>641359.15280937497</v>
      </c>
      <c r="F58" s="41">
        <f t="shared" si="11"/>
        <v>936543.60900000005</v>
      </c>
      <c r="G58" s="41">
        <f t="shared" si="11"/>
        <v>893358.54258499993</v>
      </c>
      <c r="H58" s="41">
        <f t="shared" si="11"/>
        <v>609962.7475372171</v>
      </c>
      <c r="I58" s="41">
        <f t="shared" si="11"/>
        <v>375247.37323745346</v>
      </c>
      <c r="J58" s="41">
        <f t="shared" si="11"/>
        <v>108285.67056280802</v>
      </c>
      <c r="K58" s="41">
        <f t="shared" si="11"/>
        <v>104740.87145839041</v>
      </c>
    </row>
    <row r="59" spans="1:11" x14ac:dyDescent="0.25">
      <c r="A59" s="24"/>
      <c r="B59" s="44"/>
      <c r="C59" s="44"/>
      <c r="D59" s="44"/>
      <c r="E59" s="44"/>
      <c r="F59" s="44"/>
      <c r="G59" s="44"/>
      <c r="H59" s="44"/>
      <c r="I59" s="44"/>
      <c r="J59" s="44"/>
      <c r="K59" s="44"/>
    </row>
    <row r="60" spans="1:11" x14ac:dyDescent="0.25">
      <c r="A60" s="24" t="s">
        <v>24</v>
      </c>
    </row>
    <row r="61" spans="1:11" ht="30" x14ac:dyDescent="0.25">
      <c r="A61" s="9" t="str">
        <f>A10</f>
        <v>Land Preparation for cultivation (fenching.etc)</v>
      </c>
      <c r="B61" s="35">
        <f>B10</f>
        <v>0</v>
      </c>
      <c r="C61" s="35">
        <f t="shared" ref="C61:K62" si="12">C10</f>
        <v>69000</v>
      </c>
      <c r="D61" s="35">
        <f t="shared" si="12"/>
        <v>184000</v>
      </c>
      <c r="E61" s="35">
        <f t="shared" si="12"/>
        <v>299000</v>
      </c>
      <c r="F61" s="35">
        <f t="shared" si="12"/>
        <v>414000</v>
      </c>
      <c r="G61" s="35">
        <f t="shared" si="12"/>
        <v>391000</v>
      </c>
      <c r="H61" s="35">
        <f t="shared" si="12"/>
        <v>276000</v>
      </c>
      <c r="I61" s="35">
        <f t="shared" si="12"/>
        <v>161000</v>
      </c>
      <c r="J61" s="35">
        <f t="shared" si="12"/>
        <v>46000</v>
      </c>
      <c r="K61" s="35">
        <f t="shared" si="12"/>
        <v>46000</v>
      </c>
    </row>
    <row r="62" spans="1:11" x14ac:dyDescent="0.25">
      <c r="A62" s="9" t="str">
        <f>A11</f>
        <v>Organic Fartilizer/Seeds/Saplings etc.</v>
      </c>
      <c r="B62" s="35">
        <f>B11</f>
        <v>0</v>
      </c>
      <c r="C62" s="35">
        <f t="shared" si="12"/>
        <v>81000</v>
      </c>
      <c r="D62" s="35">
        <f t="shared" si="12"/>
        <v>216000</v>
      </c>
      <c r="E62" s="147">
        <f t="shared" si="12"/>
        <v>366075.45</v>
      </c>
      <c r="F62" s="35">
        <f t="shared" si="12"/>
        <v>486000</v>
      </c>
      <c r="G62" s="35">
        <f t="shared" si="12"/>
        <v>459000</v>
      </c>
      <c r="H62" s="147">
        <f t="shared" si="12"/>
        <v>337915.8</v>
      </c>
      <c r="I62" s="35">
        <f t="shared" si="12"/>
        <v>189000</v>
      </c>
      <c r="J62" s="35">
        <f t="shared" si="12"/>
        <v>54000</v>
      </c>
      <c r="K62" s="147">
        <f t="shared" si="12"/>
        <v>56319.299999999996</v>
      </c>
    </row>
    <row r="63" spans="1:11" s="54" customFormat="1" x14ac:dyDescent="0.25">
      <c r="A63" s="56" t="s">
        <v>156</v>
      </c>
      <c r="B63" s="53">
        <f>B12*Assumption_Vegatables!$C30</f>
        <v>0</v>
      </c>
      <c r="C63" s="53">
        <f>C12*Assumption_Vegatables!$C30</f>
        <v>0</v>
      </c>
      <c r="D63" s="53">
        <f>D12*Assumption_Vegatables!$C30</f>
        <v>0</v>
      </c>
      <c r="E63" s="53">
        <f>E12*Assumption_Vegatables!$C30</f>
        <v>0</v>
      </c>
      <c r="F63" s="53">
        <f>F12*Assumption_Vegatables!$C30</f>
        <v>0</v>
      </c>
      <c r="G63" s="53">
        <f>G12*Assumption_Vegatables!$C30</f>
        <v>0</v>
      </c>
      <c r="H63" s="53">
        <f>H12*Assumption_Vegatables!$C30</f>
        <v>0</v>
      </c>
      <c r="I63" s="53">
        <f>I12*Assumption_Vegatables!$C30</f>
        <v>0</v>
      </c>
      <c r="J63" s="53">
        <f>J12*Assumption_Vegatables!$C30</f>
        <v>0</v>
      </c>
      <c r="K63" s="53">
        <f>K12*Assumption_Vegatables!$C30</f>
        <v>0</v>
      </c>
    </row>
    <row r="64" spans="1:11" x14ac:dyDescent="0.25">
      <c r="A64" s="127" t="s">
        <v>59</v>
      </c>
      <c r="B64" s="40">
        <f t="shared" ref="B64:K64" si="13">SUM(B61:B63)</f>
        <v>0</v>
      </c>
      <c r="C64" s="40">
        <f t="shared" si="13"/>
        <v>150000</v>
      </c>
      <c r="D64" s="40">
        <f t="shared" si="13"/>
        <v>400000</v>
      </c>
      <c r="E64" s="40">
        <f t="shared" si="13"/>
        <v>665075.44999999995</v>
      </c>
      <c r="F64" s="40">
        <f t="shared" si="13"/>
        <v>900000</v>
      </c>
      <c r="G64" s="40">
        <f t="shared" si="13"/>
        <v>850000</v>
      </c>
      <c r="H64" s="40">
        <f t="shared" si="13"/>
        <v>613915.80000000005</v>
      </c>
      <c r="I64" s="40">
        <f t="shared" si="13"/>
        <v>350000</v>
      </c>
      <c r="J64" s="40">
        <f t="shared" si="13"/>
        <v>100000</v>
      </c>
      <c r="K64" s="40">
        <f t="shared" si="13"/>
        <v>102319.29999999999</v>
      </c>
    </row>
    <row r="65" spans="1:11" x14ac:dyDescent="0.25">
      <c r="B65" s="34"/>
      <c r="C65" s="34"/>
      <c r="D65" s="34"/>
      <c r="E65" s="34"/>
      <c r="F65" s="34"/>
      <c r="G65" s="34"/>
      <c r="H65" s="34"/>
      <c r="I65" s="34"/>
      <c r="J65" s="34"/>
      <c r="K65" s="34"/>
    </row>
    <row r="66" spans="1:11" x14ac:dyDescent="0.25">
      <c r="A66" s="24" t="s">
        <v>60</v>
      </c>
      <c r="B66" s="36">
        <f t="shared" ref="B66:K66" si="14">B58-B64</f>
        <v>0</v>
      </c>
      <c r="C66" s="36">
        <f t="shared" si="14"/>
        <v>-46979.999999999985</v>
      </c>
      <c r="D66" s="36">
        <f t="shared" si="14"/>
        <v>8040</v>
      </c>
      <c r="E66" s="36">
        <f t="shared" si="14"/>
        <v>-23716.297190624988</v>
      </c>
      <c r="F66" s="36">
        <f t="shared" si="14"/>
        <v>36543.609000000055</v>
      </c>
      <c r="G66" s="36">
        <f t="shared" si="14"/>
        <v>43358.54258499993</v>
      </c>
      <c r="H66" s="36">
        <f t="shared" si="14"/>
        <v>-3953.0524627829436</v>
      </c>
      <c r="I66" s="36">
        <f t="shared" si="14"/>
        <v>25247.373237453459</v>
      </c>
      <c r="J66" s="36">
        <f t="shared" si="14"/>
        <v>8285.6705628080235</v>
      </c>
      <c r="K66" s="36">
        <f t="shared" si="14"/>
        <v>2421.5714583904191</v>
      </c>
    </row>
    <row r="67" spans="1:11" x14ac:dyDescent="0.25">
      <c r="B67" s="34"/>
      <c r="C67" s="34"/>
      <c r="D67" s="34"/>
      <c r="E67" s="34"/>
      <c r="F67" s="34"/>
      <c r="G67" s="34"/>
      <c r="H67" s="34"/>
      <c r="I67" s="34"/>
      <c r="J67" s="34"/>
      <c r="K67" s="34"/>
    </row>
    <row r="68" spans="1:11" s="13" customFormat="1" x14ac:dyDescent="0.25">
      <c r="A68" s="24" t="s">
        <v>61</v>
      </c>
      <c r="B68" s="42">
        <f>B66/(1+Assumption_Hatchery!$C76)^B55</f>
        <v>0</v>
      </c>
      <c r="C68" s="42">
        <f>C66/(1+Assumption_Hatchery!$C76)^C55</f>
        <v>-43100.917431192647</v>
      </c>
      <c r="D68" s="42">
        <f>D66/(1+Assumption_Hatchery!$C76)^D55</f>
        <v>6767.1071458631423</v>
      </c>
      <c r="E68" s="42">
        <f>E66/(1+Assumption_Hatchery!$C76)^E55</f>
        <v>-18313.332898819241</v>
      </c>
      <c r="F68" s="42">
        <f>F66/(1+Assumption_Hatchery!$C76)^F55</f>
        <v>25888.413918909053</v>
      </c>
      <c r="G68" s="42">
        <f>G66/(1+Assumption_Hatchery!$C76)^G55</f>
        <v>28180.077690144844</v>
      </c>
      <c r="H68" s="42">
        <f>H66/(1+Assumption_Hatchery!$C76)^H55</f>
        <v>-2357.0760249968866</v>
      </c>
      <c r="I68" s="42">
        <f>I66/(1+Assumption_Hatchery!$C76)^I55</f>
        <v>13811.177753227732</v>
      </c>
      <c r="J68" s="42">
        <f>J66/(1+Assumption_Hatchery!$C76)^J55</f>
        <v>4158.2986599506339</v>
      </c>
      <c r="K68" s="42">
        <f>K66/(1+Assumption_Hatchery!$C76)^K55</f>
        <v>1114.9587695267512</v>
      </c>
    </row>
    <row r="69" spans="1:11" x14ac:dyDescent="0.25">
      <c r="B69" s="34"/>
      <c r="C69" s="34"/>
      <c r="D69" s="34"/>
      <c r="E69" s="34"/>
      <c r="F69" s="34"/>
      <c r="G69" s="34"/>
      <c r="H69" s="34"/>
      <c r="I69" s="34"/>
      <c r="J69" s="34"/>
      <c r="K69" s="34"/>
    </row>
    <row r="70" spans="1:11" s="13" customFormat="1" x14ac:dyDescent="0.25">
      <c r="A70" s="26" t="s">
        <v>62</v>
      </c>
      <c r="B70" s="37">
        <f>NPV(Assumption_Hatchery!C76,C66:K66)+B66</f>
        <v>16148.707582613379</v>
      </c>
      <c r="C70" s="43"/>
      <c r="D70" s="43"/>
      <c r="E70" s="43"/>
      <c r="F70" s="43"/>
      <c r="G70" s="43"/>
      <c r="H70" s="43"/>
      <c r="I70" s="43"/>
      <c r="J70" s="43"/>
      <c r="K70" s="43"/>
    </row>
    <row r="72" spans="1:11" s="13" customFormat="1" x14ac:dyDescent="0.25">
      <c r="A72" s="26" t="s">
        <v>25</v>
      </c>
      <c r="B72" s="38">
        <f>IRR(B66:K66)</f>
        <v>0.17006464979704505</v>
      </c>
      <c r="C72" s="4"/>
      <c r="D72" s="4"/>
      <c r="E72" s="4"/>
      <c r="F72" s="4"/>
      <c r="G72" s="4"/>
      <c r="H72" s="4"/>
      <c r="I72" s="4"/>
      <c r="J72" s="4"/>
      <c r="K72" s="4"/>
    </row>
    <row r="74" spans="1:11" s="13" customFormat="1" x14ac:dyDescent="0.25">
      <c r="A74" s="27" t="s">
        <v>63</v>
      </c>
      <c r="B74" s="39">
        <f>B68</f>
        <v>0</v>
      </c>
      <c r="C74" s="39">
        <f>B74+C68</f>
        <v>-43100.917431192647</v>
      </c>
      <c r="D74" s="39">
        <f t="shared" ref="D74:K74" si="15">C74+D68</f>
        <v>-36333.810285329506</v>
      </c>
      <c r="E74" s="39">
        <f t="shared" si="15"/>
        <v>-54647.14318414875</v>
      </c>
      <c r="F74" s="39">
        <f t="shared" si="15"/>
        <v>-28758.729265239697</v>
      </c>
      <c r="G74" s="39">
        <f t="shared" si="15"/>
        <v>-578.65157509485289</v>
      </c>
      <c r="H74" s="39">
        <f t="shared" si="15"/>
        <v>-2935.7276000917395</v>
      </c>
      <c r="I74" s="39">
        <f t="shared" si="15"/>
        <v>10875.450153135993</v>
      </c>
      <c r="J74" s="39">
        <f t="shared" si="15"/>
        <v>15033.748813086626</v>
      </c>
      <c r="K74" s="39">
        <f t="shared" si="15"/>
        <v>16148.707582613377</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2:K74"/>
  <sheetViews>
    <sheetView showGridLines="0" topLeftCell="A61" zoomScale="85" zoomScaleNormal="85" workbookViewId="0">
      <selection activeCell="K11" sqref="K11"/>
    </sheetView>
  </sheetViews>
  <sheetFormatPr defaultColWidth="9" defaultRowHeight="15" x14ac:dyDescent="0.25"/>
  <cols>
    <col min="1" max="1" width="40.7109375" style="10" customWidth="1"/>
    <col min="2" max="2" width="12.7109375" style="28" customWidth="1"/>
    <col min="3" max="3" width="13" style="28" customWidth="1"/>
    <col min="4" max="4" width="17" style="28" customWidth="1"/>
    <col min="5" max="6" width="12.5703125" style="28" customWidth="1"/>
    <col min="7" max="7" width="11.85546875" style="28" customWidth="1"/>
    <col min="8" max="8" width="12.28515625" style="28" customWidth="1"/>
    <col min="9" max="9" width="11.7109375" style="28" customWidth="1"/>
    <col min="10" max="10" width="13" style="28" customWidth="1"/>
    <col min="11" max="11" width="12.7109375" style="28" customWidth="1"/>
    <col min="12" max="16384" width="9" style="3"/>
  </cols>
  <sheetData>
    <row r="2" spans="1:11" ht="38.25" customHeight="1" x14ac:dyDescent="0.25">
      <c r="A2" s="11" t="s">
        <v>77</v>
      </c>
      <c r="B2" s="32"/>
      <c r="C2" s="76"/>
      <c r="D2" s="77"/>
      <c r="E2" s="32"/>
      <c r="F2" s="126" t="s">
        <v>106</v>
      </c>
      <c r="G2" s="32"/>
      <c r="H2" s="32"/>
      <c r="I2" s="32"/>
      <c r="J2" s="32"/>
      <c r="K2" s="32"/>
    </row>
    <row r="3" spans="1:11" ht="15" customHeight="1" x14ac:dyDescent="0.25">
      <c r="A3" s="23"/>
      <c r="B3" s="32"/>
      <c r="C3" s="32"/>
      <c r="D3" s="32"/>
      <c r="E3" s="32"/>
      <c r="F3" s="32"/>
      <c r="G3" s="32"/>
      <c r="H3" s="32"/>
      <c r="I3" s="32"/>
      <c r="J3" s="32"/>
      <c r="K3" s="32"/>
    </row>
    <row r="4" spans="1:11" x14ac:dyDescent="0.25">
      <c r="A4" s="10" t="s">
        <v>22</v>
      </c>
      <c r="B4" s="28">
        <v>0</v>
      </c>
      <c r="C4" s="28">
        <v>1</v>
      </c>
      <c r="D4" s="28">
        <v>2</v>
      </c>
      <c r="E4" s="28">
        <v>3</v>
      </c>
      <c r="F4" s="28">
        <v>4</v>
      </c>
      <c r="G4" s="28">
        <v>5</v>
      </c>
      <c r="H4" s="28">
        <v>6</v>
      </c>
      <c r="I4" s="28">
        <v>7</v>
      </c>
      <c r="J4" s="28">
        <v>8</v>
      </c>
      <c r="K4" s="28">
        <v>9</v>
      </c>
    </row>
    <row r="5" spans="1:11" x14ac:dyDescent="0.25">
      <c r="A5" s="24" t="s">
        <v>23</v>
      </c>
    </row>
    <row r="6" spans="1:11" x14ac:dyDescent="0.25">
      <c r="A6" s="10" t="s">
        <v>255</v>
      </c>
      <c r="B6" s="33">
        <f>Assumption_Vegatables!D11*Assumption_Vegatables!D135*Assumption_Vegatables!D136*Assumption_Vegatables!D138*(1+Assumption_Vegatables!D137)^Assumption_Vegatables!D134</f>
        <v>0</v>
      </c>
      <c r="C6" s="33">
        <f>Assumption_Vegatables!E11*Assumption_Vegatables!E135*Assumption_Vegatables!E136*Assumption_Vegatables!E138*(1+Assumption_Vegatables!E137)^Assumption_Vegatables!E134</f>
        <v>103020.00000000001</v>
      </c>
      <c r="D6" s="33">
        <f>Assumption_Vegatables!F11*Assumption_Vegatables!F135*Assumption_Vegatables!F136*Assumption_Vegatables!F139*(1+Assumption_Vegatables!F137)^Assumption_Vegatables!F134</f>
        <v>408040</v>
      </c>
      <c r="E6" s="146">
        <f>Assumption_Vegatables!G11*Assumption_Vegatables!G135*Assumption_Vegatables!G136*Assumption_Vegatables!G139*(1+Assumption_Vegatables!G137)^Assumption_Vegatables!G134*(1+Assumption_Vegatables!$X118)</f>
        <v>634913.33217812493</v>
      </c>
      <c r="F6" s="33">
        <f>Assumption_Vegatables!H11*Assumption_Vegatables!H135*Assumption_Vegatables!H136*Assumption_Vegatables!H139*(1+Assumption_Vegatables!H137)^Assumption_Vegatables!H134</f>
        <v>936543.60900000005</v>
      </c>
      <c r="G6" s="33">
        <f>Assumption_Vegatables!I11*Assumption_Vegatables!I135*Assumption_Vegatables!I136*Assumption_Vegatables!I139*(1+Assumption_Vegatables!I137)^Assumption_Vegatables!I134</f>
        <v>893358.54258499993</v>
      </c>
      <c r="H6" s="146">
        <f>Assumption_Vegatables!J11*Assumption_Vegatables!J135*Assumption_Vegatables!J136*Assumption_Vegatables!J139*(1+Assumption_Vegatables!J137)^Assumption_Vegatables!J134*(1+Assumption_Vegatables!$X118)</f>
        <v>603832.46866749635</v>
      </c>
      <c r="I6" s="33">
        <f>Assumption_Vegatables!K11*Assumption_Vegatables!K135*Assumption_Vegatables!K136*Assumption_Vegatables!K139*(1+Assumption_Vegatables!K137)^Assumption_Vegatables!K134</f>
        <v>375247.37323745346</v>
      </c>
      <c r="J6" s="33">
        <f>Assumption_Vegatables!L11*Assumption_Vegatables!L135*Assumption_Vegatables!L136*Assumption_Vegatables!L139*(1+Assumption_Vegatables!L137)^Assumption_Vegatables!L134</f>
        <v>108285.67056280802</v>
      </c>
      <c r="K6" s="146">
        <f>Assumption_Vegatables!M11*Assumption_Vegatables!M135*Assumption_Vegatables!M136*Assumption_Vegatables!M139*(1+Assumption_Vegatables!M137)^Assumption_Vegatables!M134*(1+Assumption_Vegatables!$X118)</f>
        <v>103688.19938343171</v>
      </c>
    </row>
    <row r="7" spans="1:11" s="13" customFormat="1" x14ac:dyDescent="0.25">
      <c r="A7" s="24" t="s">
        <v>58</v>
      </c>
      <c r="B7" s="41">
        <f>B6</f>
        <v>0</v>
      </c>
      <c r="C7" s="41">
        <f t="shared" ref="C7:K7" si="0">C6</f>
        <v>103020.00000000001</v>
      </c>
      <c r="D7" s="41">
        <f t="shared" si="0"/>
        <v>408040</v>
      </c>
      <c r="E7" s="41">
        <f t="shared" si="0"/>
        <v>634913.33217812493</v>
      </c>
      <c r="F7" s="41">
        <f t="shared" si="0"/>
        <v>936543.60900000005</v>
      </c>
      <c r="G7" s="41">
        <f t="shared" si="0"/>
        <v>893358.54258499993</v>
      </c>
      <c r="H7" s="41">
        <f t="shared" si="0"/>
        <v>603832.46866749635</v>
      </c>
      <c r="I7" s="41">
        <f t="shared" si="0"/>
        <v>375247.37323745346</v>
      </c>
      <c r="J7" s="41">
        <f t="shared" si="0"/>
        <v>108285.67056280802</v>
      </c>
      <c r="K7" s="41">
        <f t="shared" si="0"/>
        <v>103688.19938343171</v>
      </c>
    </row>
    <row r="8" spans="1:11" x14ac:dyDescent="0.25">
      <c r="A8" s="24"/>
      <c r="B8" s="44"/>
      <c r="C8" s="44"/>
      <c r="D8" s="44"/>
      <c r="E8" s="44"/>
      <c r="F8" s="44"/>
      <c r="G8" s="44"/>
      <c r="H8" s="44"/>
      <c r="I8" s="44"/>
      <c r="J8" s="44"/>
      <c r="K8" s="44"/>
    </row>
    <row r="9" spans="1:11" x14ac:dyDescent="0.25">
      <c r="A9" s="24" t="s">
        <v>24</v>
      </c>
    </row>
    <row r="10" spans="1:11" ht="30" x14ac:dyDescent="0.25">
      <c r="A10" s="9" t="str">
        <f>Assumption_Vegatables!B142</f>
        <v>Land Preparation for cultivation (fenching.etc)</v>
      </c>
      <c r="B10" s="35">
        <f>Assumption_Vegatables!D142*Assumption_Vegatables!D11</f>
        <v>0</v>
      </c>
      <c r="C10" s="35">
        <f>Assumption_Vegatables!E142*Assumption_Vegatables!E11</f>
        <v>69000</v>
      </c>
      <c r="D10" s="35">
        <f>Assumption_Vegatables!F142*Assumption_Vegatables!F11</f>
        <v>184000</v>
      </c>
      <c r="E10" s="35">
        <f>Assumption_Vegatables!G142*Assumption_Vegatables!G11</f>
        <v>299000</v>
      </c>
      <c r="F10" s="35">
        <f>Assumption_Vegatables!H142*Assumption_Vegatables!H11</f>
        <v>414000</v>
      </c>
      <c r="G10" s="35">
        <f>Assumption_Vegatables!I142*Assumption_Vegatables!I11</f>
        <v>391000</v>
      </c>
      <c r="H10" s="35">
        <f>Assumption_Vegatables!J142*Assumption_Vegatables!J11</f>
        <v>276000</v>
      </c>
      <c r="I10" s="35">
        <f>Assumption_Vegatables!K142*Assumption_Vegatables!K11</f>
        <v>161000</v>
      </c>
      <c r="J10" s="35">
        <f>Assumption_Vegatables!L142*Assumption_Vegatables!L11</f>
        <v>46000</v>
      </c>
      <c r="K10" s="35">
        <f>Assumption_Vegatables!M142*Assumption_Vegatables!M11</f>
        <v>46000</v>
      </c>
    </row>
    <row r="11" spans="1:11" x14ac:dyDescent="0.25">
      <c r="A11" s="9" t="str">
        <f>Assumption_Vegatables!B143</f>
        <v>Organic Fartilizer/Seeds/Saplings etc.</v>
      </c>
      <c r="B11" s="35">
        <f>Assumption_Vegatables!D11*Assumption_Vegatables!D143</f>
        <v>0</v>
      </c>
      <c r="C11" s="35">
        <f>Assumption_Vegatables!E11*Assumption_Vegatables!E143</f>
        <v>81000</v>
      </c>
      <c r="D11" s="35">
        <f>Assumption_Vegatables!F11*Assumption_Vegatables!F143</f>
        <v>216000</v>
      </c>
      <c r="E11" s="147">
        <f>Assumption_Vegatables!G11*Assumption_Vegatables!G143*(1+Assumption_Vegatables!$X126)</f>
        <v>367686.54</v>
      </c>
      <c r="F11" s="35">
        <f>Assumption_Vegatables!H11*Assumption_Vegatables!H143</f>
        <v>486000</v>
      </c>
      <c r="G11" s="35">
        <f>Assumption_Vegatables!I11*Assumption_Vegatables!I143</f>
        <v>459000</v>
      </c>
      <c r="H11" s="147">
        <f>Assumption_Vegatables!J11*Assumption_Vegatables!J143*(1+Assumption_Vegatables!$X126)</f>
        <v>339402.95999999996</v>
      </c>
      <c r="I11" s="35">
        <f>Assumption_Vegatables!K11*Assumption_Vegatables!K143</f>
        <v>189000</v>
      </c>
      <c r="J11" s="35">
        <f>Assumption_Vegatables!L11*Assumption_Vegatables!L143</f>
        <v>54000</v>
      </c>
      <c r="K11" s="147">
        <f>Assumption_Vegatables!M11*Assumption_Vegatables!M143*(1+Assumption_Vegatables!$X126)</f>
        <v>56567.159999999996</v>
      </c>
    </row>
    <row r="12" spans="1:11" s="54" customFormat="1" x14ac:dyDescent="0.25">
      <c r="A12" s="56" t="s">
        <v>156</v>
      </c>
      <c r="B12" s="53">
        <f>Assumption_Vegatables!D40</f>
        <v>0</v>
      </c>
      <c r="C12" s="53">
        <f>Assumption_Vegatables!E40</f>
        <v>186000</v>
      </c>
      <c r="D12" s="53">
        <f>Assumption_Vegatables!F40</f>
        <v>310000</v>
      </c>
      <c r="E12" s="53">
        <f>Assumption_Vegatables!G40</f>
        <v>310000</v>
      </c>
      <c r="F12" s="53">
        <f>Assumption_Vegatables!H40</f>
        <v>310000</v>
      </c>
      <c r="G12" s="53">
        <f>Assumption_Vegatables!I40</f>
        <v>124000</v>
      </c>
      <c r="H12" s="53">
        <f>Assumption_Vegatables!J40</f>
        <v>0</v>
      </c>
      <c r="I12" s="53">
        <f>Assumption_Vegatables!K40</f>
        <v>0</v>
      </c>
      <c r="J12" s="53">
        <f>Assumption_Vegatables!L40</f>
        <v>0</v>
      </c>
      <c r="K12" s="53">
        <f>Assumption_Vegatables!M40</f>
        <v>0</v>
      </c>
    </row>
    <row r="13" spans="1:11" x14ac:dyDescent="0.25">
      <c r="A13" s="127" t="s">
        <v>59</v>
      </c>
      <c r="B13" s="40">
        <f t="shared" ref="B13:K13" si="1">SUM(B10:B12)</f>
        <v>0</v>
      </c>
      <c r="C13" s="40">
        <f t="shared" si="1"/>
        <v>336000</v>
      </c>
      <c r="D13" s="40">
        <f t="shared" si="1"/>
        <v>710000</v>
      </c>
      <c r="E13" s="40">
        <f t="shared" si="1"/>
        <v>976686.54</v>
      </c>
      <c r="F13" s="40">
        <f t="shared" si="1"/>
        <v>1210000</v>
      </c>
      <c r="G13" s="40">
        <f t="shared" si="1"/>
        <v>974000</v>
      </c>
      <c r="H13" s="40">
        <f t="shared" si="1"/>
        <v>615402.96</v>
      </c>
      <c r="I13" s="40">
        <f t="shared" si="1"/>
        <v>350000</v>
      </c>
      <c r="J13" s="40">
        <f t="shared" si="1"/>
        <v>100000</v>
      </c>
      <c r="K13" s="40">
        <f t="shared" si="1"/>
        <v>102567.16</v>
      </c>
    </row>
    <row r="14" spans="1:11" x14ac:dyDescent="0.25">
      <c r="B14" s="34"/>
      <c r="C14" s="34"/>
      <c r="D14" s="34"/>
      <c r="E14" s="34"/>
      <c r="F14" s="34"/>
      <c r="G14" s="34"/>
      <c r="H14" s="34"/>
      <c r="I14" s="34"/>
      <c r="J14" s="34"/>
      <c r="K14" s="34"/>
    </row>
    <row r="15" spans="1:11" x14ac:dyDescent="0.25">
      <c r="A15" s="24" t="s">
        <v>60</v>
      </c>
      <c r="B15" s="36">
        <f t="shared" ref="B15:K15" si="2">B7-B13</f>
        <v>0</v>
      </c>
      <c r="C15" s="36">
        <f t="shared" si="2"/>
        <v>-232980</v>
      </c>
      <c r="D15" s="36">
        <f t="shared" si="2"/>
        <v>-301960</v>
      </c>
      <c r="E15" s="36">
        <f t="shared" si="2"/>
        <v>-341773.20782187511</v>
      </c>
      <c r="F15" s="36">
        <f t="shared" si="2"/>
        <v>-273456.39099999995</v>
      </c>
      <c r="G15" s="36">
        <f t="shared" si="2"/>
        <v>-80641.45741500007</v>
      </c>
      <c r="H15" s="36">
        <f t="shared" si="2"/>
        <v>-11570.491332503618</v>
      </c>
      <c r="I15" s="36">
        <f t="shared" si="2"/>
        <v>25247.373237453459</v>
      </c>
      <c r="J15" s="36">
        <f t="shared" si="2"/>
        <v>8285.6705628080235</v>
      </c>
      <c r="K15" s="36">
        <f t="shared" si="2"/>
        <v>1121.0393834317074</v>
      </c>
    </row>
    <row r="16" spans="1:11" x14ac:dyDescent="0.25">
      <c r="B16" s="34"/>
      <c r="C16" s="34"/>
      <c r="D16" s="34"/>
      <c r="E16" s="34"/>
      <c r="F16" s="34"/>
      <c r="G16" s="34"/>
      <c r="H16" s="34"/>
      <c r="I16" s="34"/>
      <c r="J16" s="34"/>
      <c r="K16" s="34"/>
    </row>
    <row r="17" spans="1:11" s="13" customFormat="1" x14ac:dyDescent="0.25">
      <c r="A17" s="24" t="s">
        <v>61</v>
      </c>
      <c r="B17" s="42">
        <f>B15/(1+Assumption_Hatchery!$C76)^B4</f>
        <v>0</v>
      </c>
      <c r="C17" s="42">
        <f>C15/(1+Assumption_Hatchery!$C76)^C4</f>
        <v>-213743.11926605503</v>
      </c>
      <c r="D17" s="42">
        <f>D15/(1+Assumption_Hatchery!$C76)^D4</f>
        <v>-254153.69076677045</v>
      </c>
      <c r="E17" s="42">
        <f>E15/(1+Assumption_Hatchery!$C76)^E4</f>
        <v>-263911.62500752881</v>
      </c>
      <c r="F17" s="42">
        <f>F15/(1+Assumption_Hatchery!$C76)^F4</f>
        <v>-193723.40151130184</v>
      </c>
      <c r="G17" s="42">
        <f>G15/(1+Assumption_Hatchery!$C76)^G4</f>
        <v>-52411.414210849973</v>
      </c>
      <c r="H17" s="42">
        <f>H15/(1+Assumption_Hatchery!$C76)^H4</f>
        <v>-6899.1059375110681</v>
      </c>
      <c r="I17" s="42">
        <f>I15/(1+Assumption_Hatchery!$C76)^I4</f>
        <v>13811.177753227732</v>
      </c>
      <c r="J17" s="42">
        <f>J15/(1+Assumption_Hatchery!$C76)^J4</f>
        <v>4158.2986599506339</v>
      </c>
      <c r="K17" s="42">
        <f>K15/(1+Assumption_Hatchery!$C76)^K4</f>
        <v>516.15767406378416</v>
      </c>
    </row>
    <row r="18" spans="1:11" x14ac:dyDescent="0.25">
      <c r="B18" s="34"/>
      <c r="C18" s="34"/>
      <c r="D18" s="34"/>
      <c r="E18" s="34"/>
      <c r="F18" s="34"/>
      <c r="G18" s="34"/>
      <c r="H18" s="34"/>
      <c r="I18" s="34"/>
      <c r="J18" s="34"/>
      <c r="K18" s="34"/>
    </row>
    <row r="19" spans="1:11" s="13" customFormat="1" x14ac:dyDescent="0.25">
      <c r="A19" s="26" t="s">
        <v>62</v>
      </c>
      <c r="B19" s="37">
        <f>NPV(Assumption_Hatchery!C76,C15:K15)+B15</f>
        <v>-966356.72261277481</v>
      </c>
      <c r="C19" s="43"/>
      <c r="D19" s="43"/>
      <c r="E19" s="43"/>
      <c r="F19" s="43"/>
      <c r="G19" s="43"/>
      <c r="H19" s="43"/>
      <c r="I19" s="43"/>
      <c r="J19" s="43"/>
      <c r="K19" s="43"/>
    </row>
    <row r="21" spans="1:11" s="13" customFormat="1" x14ac:dyDescent="0.25">
      <c r="A21" s="26" t="s">
        <v>25</v>
      </c>
      <c r="B21" s="38" t="e">
        <f>IRR(B15:K15)</f>
        <v>#NUM!</v>
      </c>
      <c r="C21" s="4"/>
      <c r="D21" s="4"/>
      <c r="E21" s="4"/>
      <c r="F21" s="4"/>
      <c r="G21" s="4"/>
      <c r="H21" s="4"/>
      <c r="I21" s="4"/>
      <c r="J21" s="4"/>
      <c r="K21" s="4"/>
    </row>
    <row r="23" spans="1:11" s="13" customFormat="1" x14ac:dyDescent="0.25">
      <c r="A23" s="27" t="s">
        <v>63</v>
      </c>
      <c r="B23" s="39">
        <f>B17</f>
        <v>0</v>
      </c>
      <c r="C23" s="39">
        <f>B23+C17</f>
        <v>-213743.11926605503</v>
      </c>
      <c r="D23" s="39">
        <f t="shared" ref="D23:K23" si="3">C23+D17</f>
        <v>-467896.81003282545</v>
      </c>
      <c r="E23" s="39">
        <f t="shared" si="3"/>
        <v>-731808.43504035426</v>
      </c>
      <c r="F23" s="39">
        <f t="shared" si="3"/>
        <v>-925531.83655165613</v>
      </c>
      <c r="G23" s="39">
        <f t="shared" si="3"/>
        <v>-977943.25076250616</v>
      </c>
      <c r="H23" s="39">
        <f t="shared" si="3"/>
        <v>-984842.35670001723</v>
      </c>
      <c r="I23" s="39">
        <f t="shared" si="3"/>
        <v>-971031.17894678947</v>
      </c>
      <c r="J23" s="39">
        <f t="shared" si="3"/>
        <v>-966872.88028683886</v>
      </c>
      <c r="K23" s="39">
        <f t="shared" si="3"/>
        <v>-966356.72261277505</v>
      </c>
    </row>
    <row r="25" spans="1:11" s="1" customFormat="1" x14ac:dyDescent="0.25">
      <c r="A25" s="25"/>
      <c r="B25" s="45"/>
      <c r="C25" s="45"/>
      <c r="D25" s="45"/>
      <c r="E25" s="45"/>
      <c r="F25" s="45"/>
      <c r="G25" s="45"/>
      <c r="H25" s="45"/>
      <c r="I25" s="45"/>
      <c r="J25" s="45"/>
      <c r="K25" s="45"/>
    </row>
    <row r="27" spans="1:11" ht="38.25" customHeight="1" x14ac:dyDescent="0.25">
      <c r="A27" s="11" t="s">
        <v>77</v>
      </c>
      <c r="B27" s="32"/>
      <c r="C27" s="76"/>
      <c r="D27" s="77"/>
      <c r="E27" s="32"/>
      <c r="F27" s="126" t="s">
        <v>105</v>
      </c>
      <c r="G27" s="32"/>
      <c r="H27" s="32"/>
      <c r="I27" s="32"/>
      <c r="J27" s="32"/>
      <c r="K27" s="32"/>
    </row>
    <row r="28" spans="1:11" ht="38.25" customHeight="1" x14ac:dyDescent="0.25">
      <c r="A28" s="11"/>
      <c r="B28" s="32"/>
      <c r="C28" s="76"/>
      <c r="D28" s="77"/>
      <c r="E28" s="32"/>
      <c r="F28" s="126"/>
      <c r="G28" s="32"/>
      <c r="H28" s="32"/>
      <c r="I28" s="32"/>
      <c r="J28" s="32"/>
      <c r="K28" s="32"/>
    </row>
    <row r="29" spans="1:11" x14ac:dyDescent="0.25">
      <c r="A29" s="10" t="s">
        <v>22</v>
      </c>
      <c r="B29" s="28">
        <v>0</v>
      </c>
      <c r="C29" s="28">
        <v>1</v>
      </c>
      <c r="D29" s="28">
        <v>2</v>
      </c>
      <c r="E29" s="28">
        <v>3</v>
      </c>
      <c r="F29" s="28">
        <v>4</v>
      </c>
      <c r="G29" s="28">
        <v>5</v>
      </c>
      <c r="H29" s="28">
        <v>6</v>
      </c>
      <c r="I29" s="28">
        <v>7</v>
      </c>
      <c r="J29" s="28">
        <v>8</v>
      </c>
      <c r="K29" s="28">
        <v>9</v>
      </c>
    </row>
    <row r="30" spans="1:11" x14ac:dyDescent="0.25">
      <c r="A30" s="24" t="s">
        <v>23</v>
      </c>
    </row>
    <row r="31" spans="1:11" x14ac:dyDescent="0.25">
      <c r="A31" s="10" t="str">
        <f t="shared" ref="A31:K31" si="4">A6</f>
        <v>Vagetable Sale ($)</v>
      </c>
      <c r="B31" s="33">
        <f t="shared" si="4"/>
        <v>0</v>
      </c>
      <c r="C31" s="33">
        <f t="shared" si="4"/>
        <v>103020.00000000001</v>
      </c>
      <c r="D31" s="33">
        <f t="shared" si="4"/>
        <v>408040</v>
      </c>
      <c r="E31" s="33">
        <f t="shared" si="4"/>
        <v>634913.33217812493</v>
      </c>
      <c r="F31" s="33">
        <f t="shared" si="4"/>
        <v>936543.60900000005</v>
      </c>
      <c r="G31" s="33">
        <f t="shared" si="4"/>
        <v>893358.54258499993</v>
      </c>
      <c r="H31" s="33">
        <f t="shared" si="4"/>
        <v>603832.46866749635</v>
      </c>
      <c r="I31" s="33">
        <f t="shared" si="4"/>
        <v>375247.37323745346</v>
      </c>
      <c r="J31" s="33">
        <f t="shared" si="4"/>
        <v>108285.67056280802</v>
      </c>
      <c r="K31" s="33">
        <f t="shared" si="4"/>
        <v>103688.19938343171</v>
      </c>
    </row>
    <row r="32" spans="1:11" s="13" customFormat="1" x14ac:dyDescent="0.25">
      <c r="A32" s="24" t="s">
        <v>58</v>
      </c>
      <c r="B32" s="41">
        <f>B31</f>
        <v>0</v>
      </c>
      <c r="C32" s="41">
        <f t="shared" ref="C32:K32" si="5">C31</f>
        <v>103020.00000000001</v>
      </c>
      <c r="D32" s="41">
        <f t="shared" si="5"/>
        <v>408040</v>
      </c>
      <c r="E32" s="41">
        <f t="shared" si="5"/>
        <v>634913.33217812493</v>
      </c>
      <c r="F32" s="41">
        <f t="shared" si="5"/>
        <v>936543.60900000005</v>
      </c>
      <c r="G32" s="41">
        <f t="shared" si="5"/>
        <v>893358.54258499993</v>
      </c>
      <c r="H32" s="41">
        <f t="shared" si="5"/>
        <v>603832.46866749635</v>
      </c>
      <c r="I32" s="41">
        <f t="shared" si="5"/>
        <v>375247.37323745346</v>
      </c>
      <c r="J32" s="41">
        <f t="shared" si="5"/>
        <v>108285.67056280802</v>
      </c>
      <c r="K32" s="41">
        <f t="shared" si="5"/>
        <v>103688.19938343171</v>
      </c>
    </row>
    <row r="33" spans="1:11" x14ac:dyDescent="0.25">
      <c r="A33" s="24"/>
      <c r="B33" s="44"/>
      <c r="C33" s="44"/>
      <c r="D33" s="44"/>
      <c r="E33" s="44"/>
      <c r="F33" s="44"/>
      <c r="G33" s="44"/>
      <c r="H33" s="44"/>
      <c r="I33" s="44"/>
      <c r="J33" s="44"/>
      <c r="K33" s="44"/>
    </row>
    <row r="34" spans="1:11" x14ac:dyDescent="0.25">
      <c r="A34" s="24" t="s">
        <v>24</v>
      </c>
    </row>
    <row r="35" spans="1:11" ht="30" x14ac:dyDescent="0.25">
      <c r="A35" s="9" t="str">
        <f>A10</f>
        <v>Land Preparation for cultivation (fenching.etc)</v>
      </c>
      <c r="B35" s="35">
        <f>B10</f>
        <v>0</v>
      </c>
      <c r="C35" s="35">
        <f t="shared" ref="C35:K36" si="6">C10</f>
        <v>69000</v>
      </c>
      <c r="D35" s="35">
        <f t="shared" si="6"/>
        <v>184000</v>
      </c>
      <c r="E35" s="35">
        <f t="shared" si="6"/>
        <v>299000</v>
      </c>
      <c r="F35" s="35">
        <f t="shared" si="6"/>
        <v>414000</v>
      </c>
      <c r="G35" s="35">
        <f t="shared" si="6"/>
        <v>391000</v>
      </c>
      <c r="H35" s="35">
        <f t="shared" si="6"/>
        <v>276000</v>
      </c>
      <c r="I35" s="35">
        <f t="shared" si="6"/>
        <v>161000</v>
      </c>
      <c r="J35" s="35">
        <f t="shared" si="6"/>
        <v>46000</v>
      </c>
      <c r="K35" s="35">
        <f t="shared" si="6"/>
        <v>46000</v>
      </c>
    </row>
    <row r="36" spans="1:11" x14ac:dyDescent="0.25">
      <c r="A36" s="9" t="str">
        <f>A11</f>
        <v>Organic Fartilizer/Seeds/Saplings etc.</v>
      </c>
      <c r="B36" s="35">
        <f>B11</f>
        <v>0</v>
      </c>
      <c r="C36" s="35">
        <f t="shared" si="6"/>
        <v>81000</v>
      </c>
      <c r="D36" s="35">
        <f t="shared" si="6"/>
        <v>216000</v>
      </c>
      <c r="E36" s="35">
        <f t="shared" si="6"/>
        <v>367686.54</v>
      </c>
      <c r="F36" s="35">
        <f t="shared" si="6"/>
        <v>486000</v>
      </c>
      <c r="G36" s="35">
        <f t="shared" si="6"/>
        <v>459000</v>
      </c>
      <c r="H36" s="35">
        <f t="shared" si="6"/>
        <v>339402.95999999996</v>
      </c>
      <c r="I36" s="35">
        <f t="shared" si="6"/>
        <v>189000</v>
      </c>
      <c r="J36" s="35">
        <f t="shared" si="6"/>
        <v>54000</v>
      </c>
      <c r="K36" s="35">
        <f t="shared" si="6"/>
        <v>56567.159999999996</v>
      </c>
    </row>
    <row r="37" spans="1:11" s="54" customFormat="1" x14ac:dyDescent="0.25">
      <c r="A37" s="56" t="s">
        <v>156</v>
      </c>
      <c r="B37" s="53">
        <f>Assumption_Vegatables!D50</f>
        <v>0</v>
      </c>
      <c r="C37" s="53">
        <f>Assumption_Vegatables!E50</f>
        <v>93000</v>
      </c>
      <c r="D37" s="53">
        <f>Assumption_Vegatables!F50</f>
        <v>155000</v>
      </c>
      <c r="E37" s="53">
        <f>Assumption_Vegatables!G50</f>
        <v>155000</v>
      </c>
      <c r="F37" s="53">
        <f>Assumption_Vegatables!H50</f>
        <v>155000</v>
      </c>
      <c r="G37" s="53">
        <f>Assumption_Vegatables!I50</f>
        <v>62000</v>
      </c>
      <c r="H37" s="53">
        <f>Assumption_Vegatables!J50</f>
        <v>0</v>
      </c>
      <c r="I37" s="53">
        <f>Assumption_Vegatables!K50</f>
        <v>0</v>
      </c>
      <c r="J37" s="53">
        <f>Assumption_Vegatables!L50</f>
        <v>0</v>
      </c>
      <c r="K37" s="53">
        <f>Assumption_Vegatables!M50</f>
        <v>0</v>
      </c>
    </row>
    <row r="38" spans="1:11" x14ac:dyDescent="0.25">
      <c r="A38" s="127" t="s">
        <v>59</v>
      </c>
      <c r="B38" s="40">
        <f t="shared" ref="B38:K38" si="7">SUM(B35:B37)</f>
        <v>0</v>
      </c>
      <c r="C38" s="40">
        <f t="shared" si="7"/>
        <v>243000</v>
      </c>
      <c r="D38" s="40">
        <f t="shared" si="7"/>
        <v>555000</v>
      </c>
      <c r="E38" s="40">
        <f t="shared" si="7"/>
        <v>821686.54</v>
      </c>
      <c r="F38" s="40">
        <f t="shared" si="7"/>
        <v>1055000</v>
      </c>
      <c r="G38" s="40">
        <f t="shared" si="7"/>
        <v>912000</v>
      </c>
      <c r="H38" s="40">
        <f t="shared" si="7"/>
        <v>615402.96</v>
      </c>
      <c r="I38" s="40">
        <f t="shared" si="7"/>
        <v>350000</v>
      </c>
      <c r="J38" s="40">
        <f t="shared" si="7"/>
        <v>100000</v>
      </c>
      <c r="K38" s="40">
        <f t="shared" si="7"/>
        <v>102567.16</v>
      </c>
    </row>
    <row r="39" spans="1:11" x14ac:dyDescent="0.25">
      <c r="B39" s="34"/>
      <c r="C39" s="34"/>
      <c r="D39" s="34"/>
      <c r="E39" s="34"/>
      <c r="F39" s="34"/>
      <c r="G39" s="34"/>
      <c r="H39" s="34"/>
      <c r="I39" s="34"/>
      <c r="J39" s="34"/>
      <c r="K39" s="34"/>
    </row>
    <row r="40" spans="1:11" x14ac:dyDescent="0.25">
      <c r="A40" s="24" t="s">
        <v>60</v>
      </c>
      <c r="B40" s="36">
        <f t="shared" ref="B40:K40" si="8">B32-B38</f>
        <v>0</v>
      </c>
      <c r="C40" s="36">
        <f t="shared" si="8"/>
        <v>-139980</v>
      </c>
      <c r="D40" s="36">
        <f t="shared" si="8"/>
        <v>-146960</v>
      </c>
      <c r="E40" s="36">
        <f t="shared" si="8"/>
        <v>-186773.20782187511</v>
      </c>
      <c r="F40" s="36">
        <f t="shared" si="8"/>
        <v>-118456.39099999995</v>
      </c>
      <c r="G40" s="36">
        <f t="shared" si="8"/>
        <v>-18641.45741500007</v>
      </c>
      <c r="H40" s="36">
        <f t="shared" si="8"/>
        <v>-11570.491332503618</v>
      </c>
      <c r="I40" s="36">
        <f t="shared" si="8"/>
        <v>25247.373237453459</v>
      </c>
      <c r="J40" s="36">
        <f t="shared" si="8"/>
        <v>8285.6705628080235</v>
      </c>
      <c r="K40" s="36">
        <f t="shared" si="8"/>
        <v>1121.0393834317074</v>
      </c>
    </row>
    <row r="41" spans="1:11" x14ac:dyDescent="0.25">
      <c r="B41" s="34"/>
      <c r="C41" s="34"/>
      <c r="D41" s="34"/>
      <c r="E41" s="34"/>
      <c r="F41" s="34"/>
      <c r="G41" s="34"/>
      <c r="H41" s="34"/>
      <c r="I41" s="34"/>
      <c r="J41" s="34"/>
      <c r="K41" s="34"/>
    </row>
    <row r="42" spans="1:11" s="13" customFormat="1" x14ac:dyDescent="0.25">
      <c r="A42" s="24" t="s">
        <v>61</v>
      </c>
      <c r="B42" s="42">
        <f>B40/(1+Assumption_Hatchery!$C76)^B29</f>
        <v>0</v>
      </c>
      <c r="C42" s="42">
        <f>C40/(1+Assumption_Hatchery!$C76)^C29</f>
        <v>-128422.01834862384</v>
      </c>
      <c r="D42" s="42">
        <f>D40/(1+Assumption_Hatchery!$C76)^D29</f>
        <v>-123693.29181045365</v>
      </c>
      <c r="E42" s="42">
        <f>E40/(1+Assumption_Hatchery!$C76)^E29</f>
        <v>-144223.18559806389</v>
      </c>
      <c r="F42" s="42">
        <f>F40/(1+Assumption_Hatchery!$C76)^F29</f>
        <v>-83917.493796196402</v>
      </c>
      <c r="G42" s="42">
        <f>G40/(1+Assumption_Hatchery!$C76)^G29</f>
        <v>-12115.668260352564</v>
      </c>
      <c r="H42" s="42">
        <f>H40/(1+Assumption_Hatchery!$C76)^H29</f>
        <v>-6899.1059375110681</v>
      </c>
      <c r="I42" s="42">
        <f>I40/(1+Assumption_Hatchery!$C76)^I29</f>
        <v>13811.177753227732</v>
      </c>
      <c r="J42" s="42">
        <f>J40/(1+Assumption_Hatchery!$C76)^J29</f>
        <v>4158.2986599506339</v>
      </c>
      <c r="K42" s="42">
        <f>K40/(1+Assumption_Hatchery!$C76)^K29</f>
        <v>516.15767406378416</v>
      </c>
    </row>
    <row r="43" spans="1:11" x14ac:dyDescent="0.25">
      <c r="B43" s="34"/>
      <c r="C43" s="34"/>
      <c r="D43" s="34"/>
      <c r="E43" s="34"/>
      <c r="F43" s="34"/>
      <c r="G43" s="34"/>
      <c r="H43" s="34"/>
      <c r="I43" s="34"/>
      <c r="J43" s="34"/>
      <c r="K43" s="34"/>
    </row>
    <row r="44" spans="1:11" s="13" customFormat="1" x14ac:dyDescent="0.25">
      <c r="A44" s="26" t="s">
        <v>62</v>
      </c>
      <c r="B44" s="37">
        <f>NPV(Assumption_Hatchery!C76,C40:K40)+B40</f>
        <v>-480785.1296639592</v>
      </c>
      <c r="C44" s="43"/>
      <c r="D44" s="43"/>
      <c r="E44" s="43"/>
      <c r="F44" s="43"/>
      <c r="G44" s="43"/>
      <c r="H44" s="43"/>
      <c r="I44" s="43"/>
      <c r="J44" s="43"/>
      <c r="K44" s="43"/>
    </row>
    <row r="46" spans="1:11" s="13" customFormat="1" x14ac:dyDescent="0.25">
      <c r="A46" s="26" t="s">
        <v>25</v>
      </c>
      <c r="B46" s="38" t="e">
        <f>IRR(B40:K40)</f>
        <v>#NUM!</v>
      </c>
      <c r="C46" s="4"/>
      <c r="D46" s="4"/>
      <c r="E46" s="4"/>
      <c r="F46" s="4"/>
      <c r="G46" s="4"/>
      <c r="H46" s="4"/>
      <c r="I46" s="4"/>
      <c r="J46" s="4"/>
      <c r="K46" s="4"/>
    </row>
    <row r="48" spans="1:11" s="13" customFormat="1" x14ac:dyDescent="0.25">
      <c r="A48" s="27" t="s">
        <v>63</v>
      </c>
      <c r="B48" s="39">
        <f>B42</f>
        <v>0</v>
      </c>
      <c r="C48" s="39">
        <f>B48+C42</f>
        <v>-128422.01834862384</v>
      </c>
      <c r="D48" s="39">
        <f t="shared" ref="D48:K48" si="9">C48+D42</f>
        <v>-252115.31015907749</v>
      </c>
      <c r="E48" s="39">
        <f t="shared" si="9"/>
        <v>-396338.49575714138</v>
      </c>
      <c r="F48" s="39">
        <f t="shared" si="9"/>
        <v>-480255.9895533378</v>
      </c>
      <c r="G48" s="39">
        <f t="shared" si="9"/>
        <v>-492371.65781369037</v>
      </c>
      <c r="H48" s="39">
        <f t="shared" si="9"/>
        <v>-499270.76375120145</v>
      </c>
      <c r="I48" s="39">
        <f t="shared" si="9"/>
        <v>-485459.58599797374</v>
      </c>
      <c r="J48" s="39">
        <f t="shared" si="9"/>
        <v>-481301.28733802313</v>
      </c>
      <c r="K48" s="39">
        <f t="shared" si="9"/>
        <v>-480785.12966395932</v>
      </c>
    </row>
    <row r="49" spans="1:11" ht="38.25" customHeight="1" x14ac:dyDescent="0.25">
      <c r="A49" s="11"/>
      <c r="B49" s="32"/>
      <c r="C49" s="76"/>
      <c r="D49" s="77"/>
      <c r="E49" s="32"/>
      <c r="F49" s="126"/>
      <c r="G49" s="32"/>
      <c r="H49" s="32"/>
      <c r="I49" s="32"/>
      <c r="J49" s="32"/>
      <c r="K49" s="32"/>
    </row>
    <row r="50" spans="1:11" s="1" customFormat="1" x14ac:dyDescent="0.25">
      <c r="A50" s="25"/>
      <c r="B50" s="45"/>
      <c r="C50" s="45"/>
      <c r="D50" s="45"/>
      <c r="E50" s="45"/>
      <c r="F50" s="45"/>
      <c r="G50" s="45"/>
      <c r="H50" s="45"/>
      <c r="I50" s="45"/>
      <c r="J50" s="45"/>
      <c r="K50" s="45"/>
    </row>
    <row r="52" spans="1:11" ht="26.25" x14ac:dyDescent="0.25">
      <c r="F52" s="20" t="s">
        <v>111</v>
      </c>
    </row>
    <row r="53" spans="1:11" ht="38.25" customHeight="1" x14ac:dyDescent="0.25">
      <c r="A53" s="11" t="s">
        <v>77</v>
      </c>
      <c r="B53" s="32"/>
      <c r="C53" s="76"/>
      <c r="D53" s="77"/>
      <c r="E53" s="32"/>
      <c r="F53" s="32"/>
      <c r="G53" s="32"/>
      <c r="H53" s="32"/>
      <c r="I53" s="32"/>
      <c r="J53" s="32"/>
      <c r="K53" s="32"/>
    </row>
    <row r="55" spans="1:11" x14ac:dyDescent="0.25">
      <c r="A55" s="10" t="s">
        <v>22</v>
      </c>
      <c r="B55" s="28">
        <v>0</v>
      </c>
      <c r="C55" s="28">
        <v>1</v>
      </c>
      <c r="D55" s="28">
        <v>2</v>
      </c>
      <c r="E55" s="28">
        <v>3</v>
      </c>
      <c r="F55" s="28">
        <v>4</v>
      </c>
      <c r="G55" s="28">
        <v>5</v>
      </c>
      <c r="H55" s="28">
        <v>6</v>
      </c>
      <c r="I55" s="28">
        <v>7</v>
      </c>
      <c r="J55" s="28">
        <v>8</v>
      </c>
      <c r="K55" s="28">
        <v>9</v>
      </c>
    </row>
    <row r="56" spans="1:11" x14ac:dyDescent="0.25">
      <c r="A56" s="24" t="s">
        <v>23</v>
      </c>
    </row>
    <row r="57" spans="1:11" x14ac:dyDescent="0.25">
      <c r="A57" s="10" t="str">
        <f t="shared" ref="A57:K57" si="10">A6</f>
        <v>Vagetable Sale ($)</v>
      </c>
      <c r="B57" s="33">
        <f t="shared" si="10"/>
        <v>0</v>
      </c>
      <c r="C57" s="33">
        <f t="shared" si="10"/>
        <v>103020.00000000001</v>
      </c>
      <c r="D57" s="33">
        <f t="shared" si="10"/>
        <v>408040</v>
      </c>
      <c r="E57" s="33">
        <f t="shared" si="10"/>
        <v>634913.33217812493</v>
      </c>
      <c r="F57" s="33">
        <f t="shared" si="10"/>
        <v>936543.60900000005</v>
      </c>
      <c r="G57" s="33">
        <f t="shared" si="10"/>
        <v>893358.54258499993</v>
      </c>
      <c r="H57" s="33">
        <f t="shared" si="10"/>
        <v>603832.46866749635</v>
      </c>
      <c r="I57" s="33">
        <f t="shared" si="10"/>
        <v>375247.37323745346</v>
      </c>
      <c r="J57" s="33">
        <f t="shared" si="10"/>
        <v>108285.67056280802</v>
      </c>
      <c r="K57" s="33">
        <f t="shared" si="10"/>
        <v>103688.19938343171</v>
      </c>
    </row>
    <row r="58" spans="1:11" s="13" customFormat="1" x14ac:dyDescent="0.25">
      <c r="A58" s="24" t="s">
        <v>58</v>
      </c>
      <c r="B58" s="41">
        <f>B57</f>
        <v>0</v>
      </c>
      <c r="C58" s="41">
        <f t="shared" ref="C58:K58" si="11">C57</f>
        <v>103020.00000000001</v>
      </c>
      <c r="D58" s="41">
        <f t="shared" si="11"/>
        <v>408040</v>
      </c>
      <c r="E58" s="41">
        <f t="shared" si="11"/>
        <v>634913.33217812493</v>
      </c>
      <c r="F58" s="41">
        <f t="shared" si="11"/>
        <v>936543.60900000005</v>
      </c>
      <c r="G58" s="41">
        <f t="shared" si="11"/>
        <v>893358.54258499993</v>
      </c>
      <c r="H58" s="41">
        <f t="shared" si="11"/>
        <v>603832.46866749635</v>
      </c>
      <c r="I58" s="41">
        <f t="shared" si="11"/>
        <v>375247.37323745346</v>
      </c>
      <c r="J58" s="41">
        <f t="shared" si="11"/>
        <v>108285.67056280802</v>
      </c>
      <c r="K58" s="41">
        <f t="shared" si="11"/>
        <v>103688.19938343171</v>
      </c>
    </row>
    <row r="59" spans="1:11" x14ac:dyDescent="0.25">
      <c r="A59" s="24"/>
      <c r="B59" s="44"/>
      <c r="C59" s="44"/>
      <c r="D59" s="44"/>
      <c r="E59" s="44"/>
      <c r="F59" s="44"/>
      <c r="G59" s="44"/>
      <c r="H59" s="44"/>
      <c r="I59" s="44"/>
      <c r="J59" s="44"/>
      <c r="K59" s="44"/>
    </row>
    <row r="60" spans="1:11" x14ac:dyDescent="0.25">
      <c r="A60" s="24" t="s">
        <v>24</v>
      </c>
    </row>
    <row r="61" spans="1:11" ht="30" x14ac:dyDescent="0.25">
      <c r="A61" s="9" t="str">
        <f>A10</f>
        <v>Land Preparation for cultivation (fenching.etc)</v>
      </c>
      <c r="B61" s="35">
        <f>B10</f>
        <v>0</v>
      </c>
      <c r="C61" s="35">
        <f t="shared" ref="C61:K62" si="12">C10</f>
        <v>69000</v>
      </c>
      <c r="D61" s="35">
        <f t="shared" si="12"/>
        <v>184000</v>
      </c>
      <c r="E61" s="35">
        <f t="shared" si="12"/>
        <v>299000</v>
      </c>
      <c r="F61" s="35">
        <f t="shared" si="12"/>
        <v>414000</v>
      </c>
      <c r="G61" s="35">
        <f t="shared" si="12"/>
        <v>391000</v>
      </c>
      <c r="H61" s="35">
        <f t="shared" si="12"/>
        <v>276000</v>
      </c>
      <c r="I61" s="35">
        <f t="shared" si="12"/>
        <v>161000</v>
      </c>
      <c r="J61" s="35">
        <f t="shared" si="12"/>
        <v>46000</v>
      </c>
      <c r="K61" s="35">
        <f t="shared" si="12"/>
        <v>46000</v>
      </c>
    </row>
    <row r="62" spans="1:11" x14ac:dyDescent="0.25">
      <c r="A62" s="9" t="str">
        <f>A11</f>
        <v>Organic Fartilizer/Seeds/Saplings etc.</v>
      </c>
      <c r="B62" s="35">
        <f>B11</f>
        <v>0</v>
      </c>
      <c r="C62" s="35">
        <f t="shared" si="12"/>
        <v>81000</v>
      </c>
      <c r="D62" s="35">
        <f t="shared" si="12"/>
        <v>216000</v>
      </c>
      <c r="E62" s="35">
        <f t="shared" si="12"/>
        <v>367686.54</v>
      </c>
      <c r="F62" s="35">
        <f t="shared" si="12"/>
        <v>486000</v>
      </c>
      <c r="G62" s="35">
        <f t="shared" si="12"/>
        <v>459000</v>
      </c>
      <c r="H62" s="35">
        <f t="shared" si="12"/>
        <v>339402.95999999996</v>
      </c>
      <c r="I62" s="35">
        <f t="shared" si="12"/>
        <v>189000</v>
      </c>
      <c r="J62" s="35">
        <f t="shared" si="12"/>
        <v>54000</v>
      </c>
      <c r="K62" s="35">
        <f t="shared" si="12"/>
        <v>56567.159999999996</v>
      </c>
    </row>
    <row r="63" spans="1:11" s="54" customFormat="1" x14ac:dyDescent="0.25">
      <c r="A63" s="56" t="s">
        <v>156</v>
      </c>
      <c r="B63" s="53">
        <f>B12*Assumption_Vegatables!$C30</f>
        <v>0</v>
      </c>
      <c r="C63" s="53">
        <f>C12*Assumption_Vegatables!$C30</f>
        <v>0</v>
      </c>
      <c r="D63" s="53">
        <f>D12*Assumption_Vegatables!$C30</f>
        <v>0</v>
      </c>
      <c r="E63" s="53">
        <f>E12*Assumption_Vegatables!$C30</f>
        <v>0</v>
      </c>
      <c r="F63" s="53">
        <f>F12*Assumption_Vegatables!$C30</f>
        <v>0</v>
      </c>
      <c r="G63" s="53">
        <f>G12*Assumption_Vegatables!$C30</f>
        <v>0</v>
      </c>
      <c r="H63" s="53">
        <f>H12*Assumption_Vegatables!$C30</f>
        <v>0</v>
      </c>
      <c r="I63" s="53">
        <f>I12*Assumption_Vegatables!$C30</f>
        <v>0</v>
      </c>
      <c r="J63" s="53">
        <f>J12*Assumption_Vegatables!$C30</f>
        <v>0</v>
      </c>
      <c r="K63" s="53">
        <f>K12*Assumption_Vegatables!$C30</f>
        <v>0</v>
      </c>
    </row>
    <row r="64" spans="1:11" x14ac:dyDescent="0.25">
      <c r="A64" s="127" t="s">
        <v>59</v>
      </c>
      <c r="B64" s="40">
        <f t="shared" ref="B64:K64" si="13">SUM(B61:B63)</f>
        <v>0</v>
      </c>
      <c r="C64" s="40">
        <f t="shared" si="13"/>
        <v>150000</v>
      </c>
      <c r="D64" s="40">
        <f t="shared" si="13"/>
        <v>400000</v>
      </c>
      <c r="E64" s="40">
        <f t="shared" si="13"/>
        <v>666686.54</v>
      </c>
      <c r="F64" s="40">
        <f t="shared" si="13"/>
        <v>900000</v>
      </c>
      <c r="G64" s="40">
        <f t="shared" si="13"/>
        <v>850000</v>
      </c>
      <c r="H64" s="40">
        <f t="shared" si="13"/>
        <v>615402.96</v>
      </c>
      <c r="I64" s="40">
        <f t="shared" si="13"/>
        <v>350000</v>
      </c>
      <c r="J64" s="40">
        <f t="shared" si="13"/>
        <v>100000</v>
      </c>
      <c r="K64" s="40">
        <f t="shared" si="13"/>
        <v>102567.16</v>
      </c>
    </row>
    <row r="65" spans="1:11" x14ac:dyDescent="0.25">
      <c r="B65" s="34"/>
      <c r="C65" s="34"/>
      <c r="D65" s="34"/>
      <c r="E65" s="34"/>
      <c r="F65" s="34"/>
      <c r="G65" s="34"/>
      <c r="H65" s="34"/>
      <c r="I65" s="34"/>
      <c r="J65" s="34"/>
      <c r="K65" s="34"/>
    </row>
    <row r="66" spans="1:11" x14ac:dyDescent="0.25">
      <c r="A66" s="24" t="s">
        <v>60</v>
      </c>
      <c r="B66" s="36">
        <f t="shared" ref="B66:K66" si="14">B58-B64</f>
        <v>0</v>
      </c>
      <c r="C66" s="36">
        <f t="shared" si="14"/>
        <v>-46979.999999999985</v>
      </c>
      <c r="D66" s="36">
        <f t="shared" si="14"/>
        <v>8040</v>
      </c>
      <c r="E66" s="36">
        <f t="shared" si="14"/>
        <v>-31773.207821875112</v>
      </c>
      <c r="F66" s="36">
        <f t="shared" si="14"/>
        <v>36543.609000000055</v>
      </c>
      <c r="G66" s="36">
        <f t="shared" si="14"/>
        <v>43358.54258499993</v>
      </c>
      <c r="H66" s="36">
        <f t="shared" si="14"/>
        <v>-11570.491332503618</v>
      </c>
      <c r="I66" s="36">
        <f t="shared" si="14"/>
        <v>25247.373237453459</v>
      </c>
      <c r="J66" s="36">
        <f t="shared" si="14"/>
        <v>8285.6705628080235</v>
      </c>
      <c r="K66" s="36">
        <f t="shared" si="14"/>
        <v>1121.0393834317074</v>
      </c>
    </row>
    <row r="67" spans="1:11" x14ac:dyDescent="0.25">
      <c r="B67" s="34"/>
      <c r="C67" s="34"/>
      <c r="D67" s="34"/>
      <c r="E67" s="34"/>
      <c r="F67" s="34"/>
      <c r="G67" s="34"/>
      <c r="H67" s="34"/>
      <c r="I67" s="34"/>
      <c r="J67" s="34"/>
      <c r="K67" s="34"/>
    </row>
    <row r="68" spans="1:11" s="13" customFormat="1" x14ac:dyDescent="0.25">
      <c r="A68" s="24" t="s">
        <v>61</v>
      </c>
      <c r="B68" s="42">
        <f>B66/(1+Assumption_Hatchery!$C76)^B55</f>
        <v>0</v>
      </c>
      <c r="C68" s="42">
        <f>C66/(1+Assumption_Hatchery!$C76)^C55</f>
        <v>-43100.917431192647</v>
      </c>
      <c r="D68" s="42">
        <f>D66/(1+Assumption_Hatchery!$C76)^D55</f>
        <v>6767.1071458631423</v>
      </c>
      <c r="E68" s="42">
        <f>E66/(1+Assumption_Hatchery!$C76)^E55</f>
        <v>-24534.746188598947</v>
      </c>
      <c r="F68" s="42">
        <f>F66/(1+Assumption_Hatchery!$C76)^F55</f>
        <v>25888.413918909053</v>
      </c>
      <c r="G68" s="42">
        <f>G66/(1+Assumption_Hatchery!$C76)^G55</f>
        <v>28180.077690144844</v>
      </c>
      <c r="H68" s="42">
        <f>H66/(1+Assumption_Hatchery!$C76)^H55</f>
        <v>-6899.1059375110681</v>
      </c>
      <c r="I68" s="42">
        <f>I66/(1+Assumption_Hatchery!$C76)^I55</f>
        <v>13811.177753227732</v>
      </c>
      <c r="J68" s="42">
        <f>J66/(1+Assumption_Hatchery!$C76)^J55</f>
        <v>4158.2986599506339</v>
      </c>
      <c r="K68" s="42">
        <f>K66/(1+Assumption_Hatchery!$C76)^K55</f>
        <v>516.15767406378416</v>
      </c>
    </row>
    <row r="69" spans="1:11" x14ac:dyDescent="0.25">
      <c r="B69" s="34"/>
      <c r="C69" s="34"/>
      <c r="D69" s="34"/>
      <c r="E69" s="34"/>
      <c r="F69" s="34"/>
      <c r="G69" s="34"/>
      <c r="H69" s="34"/>
      <c r="I69" s="34"/>
      <c r="J69" s="34"/>
      <c r="K69" s="34"/>
    </row>
    <row r="70" spans="1:11" s="13" customFormat="1" x14ac:dyDescent="0.25">
      <c r="A70" s="26" t="s">
        <v>62</v>
      </c>
      <c r="B70" s="37">
        <f>NPV(Assumption_Hatchery!C76,C66:K66)+B66</f>
        <v>4786.463284856527</v>
      </c>
      <c r="C70" s="43"/>
      <c r="D70" s="43"/>
      <c r="E70" s="43"/>
      <c r="F70" s="43"/>
      <c r="G70" s="43"/>
      <c r="H70" s="43"/>
      <c r="I70" s="43"/>
      <c r="J70" s="43"/>
      <c r="K70" s="43"/>
    </row>
    <row r="72" spans="1:11" s="13" customFormat="1" x14ac:dyDescent="0.25">
      <c r="A72" s="26" t="s">
        <v>25</v>
      </c>
      <c r="B72" s="38">
        <f>IRR(B66:K66)</f>
        <v>0.11425640278757054</v>
      </c>
      <c r="C72" s="4"/>
      <c r="D72" s="4"/>
      <c r="E72" s="4"/>
      <c r="F72" s="4"/>
      <c r="G72" s="4"/>
      <c r="H72" s="4"/>
      <c r="I72" s="4"/>
      <c r="J72" s="4"/>
      <c r="K72" s="4"/>
    </row>
    <row r="74" spans="1:11" s="13" customFormat="1" x14ac:dyDescent="0.25">
      <c r="A74" s="27" t="s">
        <v>63</v>
      </c>
      <c r="B74" s="39">
        <f>B68</f>
        <v>0</v>
      </c>
      <c r="C74" s="39">
        <f>B74+C68</f>
        <v>-43100.917431192647</v>
      </c>
      <c r="D74" s="39">
        <f t="shared" ref="D74:K74" si="15">C74+D68</f>
        <v>-36333.810285329506</v>
      </c>
      <c r="E74" s="39">
        <f t="shared" si="15"/>
        <v>-60868.556473928453</v>
      </c>
      <c r="F74" s="39">
        <f t="shared" si="15"/>
        <v>-34980.142555019396</v>
      </c>
      <c r="G74" s="39">
        <f t="shared" si="15"/>
        <v>-6800.0648648745519</v>
      </c>
      <c r="H74" s="39">
        <f t="shared" si="15"/>
        <v>-13699.170802385619</v>
      </c>
      <c r="I74" s="39">
        <f t="shared" si="15"/>
        <v>112.00695084211293</v>
      </c>
      <c r="J74" s="39">
        <f t="shared" si="15"/>
        <v>4270.3056107927468</v>
      </c>
      <c r="K74" s="39">
        <f t="shared" si="15"/>
        <v>4786.4632848565307</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702A533-029B-41BE-AA0B-F25190CEF276}"/>
</file>

<file path=customXml/itemProps2.xml><?xml version="1.0" encoding="utf-8"?>
<ds:datastoreItem xmlns:ds="http://schemas.openxmlformats.org/officeDocument/2006/customXml" ds:itemID="{730D4614-C14E-44A3-9214-41FBB34801E7}">
  <ds:schemaRefs>
    <ds:schemaRef ds:uri="http://purl.org/dc/elements/1.1/"/>
    <ds:schemaRef ds:uri="765ce9ec-8dc2-4810-b47b-aff11b69c291"/>
    <ds:schemaRef ds:uri="http://schemas.microsoft.com/office/2006/metadata/properties"/>
    <ds:schemaRef ds:uri="http://schemas.microsoft.com/office/infopath/2007/PartnerControls"/>
    <ds:schemaRef ds:uri="http://purl.org/dc/terms/"/>
    <ds:schemaRef ds:uri="a4080d2f-248d-41d9-867e-cfc4f0ff9883"/>
    <ds:schemaRef ds:uri="http://schemas.microsoft.com/office/2006/documentManagement/types"/>
    <ds:schemaRef ds:uri="http://schemas.openxmlformats.org/package/2006/metadata/core-properties"/>
    <ds:schemaRef ds:uri="49dbd42b-4e70-49db-9652-074cdc37e754"/>
    <ds:schemaRef ds:uri="http://www.w3.org/XML/1998/namespace"/>
    <ds:schemaRef ds:uri="http://purl.org/dc/dcmitype/"/>
  </ds:schemaRefs>
</ds:datastoreItem>
</file>

<file path=customXml/itemProps3.xml><?xml version="1.0" encoding="utf-8"?>
<ds:datastoreItem xmlns:ds="http://schemas.openxmlformats.org/officeDocument/2006/customXml" ds:itemID="{60F2B65C-99B5-460A-947B-2AD1CD2A20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Financial Analyis_Summary</vt:lpstr>
      <vt:lpstr>Assumption_Goat</vt:lpstr>
      <vt:lpstr>BaU_Goat</vt:lpstr>
      <vt:lpstr>RCP 4.5_Goat</vt:lpstr>
      <vt:lpstr>RCP 8.5_Goat</vt:lpstr>
      <vt:lpstr>Assumption_Vegatables</vt:lpstr>
      <vt:lpstr>BaU_Vegetables</vt:lpstr>
      <vt:lpstr>RCP 4.5_Vegetables </vt:lpstr>
      <vt:lpstr>RCP 8.5_Vegetables</vt:lpstr>
      <vt:lpstr>Assumption_Hatchery</vt:lpstr>
      <vt:lpstr>BaU_Hatchery</vt:lpstr>
      <vt:lpstr>RCP 4.5_Hatchery</vt:lpstr>
      <vt:lpstr>RCP 8.5_Hatchery</vt:lpstr>
      <vt:lpstr>Assumption_Nursery</vt:lpstr>
      <vt:lpstr>BaU_Nursery</vt:lpstr>
      <vt:lpstr>RCP 4.5_Nursery</vt:lpstr>
      <vt:lpstr>RCP 8.5_Nursery</vt:lpstr>
      <vt:lpstr>Assumption_Fattening</vt:lpstr>
      <vt:lpstr>BaU_Fattening</vt:lpstr>
      <vt:lpstr>RCP 4.5_Fattening</vt:lpstr>
      <vt:lpstr>RCP 8.5_Fattening</vt:lpstr>
      <vt:lpstr>Sheet1</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LENOVO</dc:creator>
  <cp:keywords/>
  <dc:description/>
  <cp:lastModifiedBy>rabbisadeque</cp:lastModifiedBy>
  <cp:revision/>
  <dcterms:created xsi:type="dcterms:W3CDTF">2015-06-05T18:17:20Z</dcterms:created>
  <dcterms:modified xsi:type="dcterms:W3CDTF">2023-05-30T12:17:22Z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ies>
</file>