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rabbisadeque\OneDrive\Desktop\"/>
    </mc:Choice>
  </mc:AlternateContent>
  <bookViews>
    <workbookView xWindow="0" yWindow="0" windowWidth="24000" windowHeight="9735" tabRatio="879"/>
  </bookViews>
  <sheets>
    <sheet name="Economic Analyis_Summary" sheetId="14" r:id="rId1"/>
    <sheet name="Eco Assumption_Goat" sheetId="40" r:id="rId2"/>
    <sheet name="CFs Derivation_Goat" sheetId="51" r:id="rId3"/>
    <sheet name="Eco BaU_Goat" sheetId="41" r:id="rId4"/>
    <sheet name="Eco RCP 4.5_Goat" sheetId="43" r:id="rId5"/>
    <sheet name="Eco RCP 8.5_Goat" sheetId="42" r:id="rId6"/>
    <sheet name="Assumption_Vegatables" sheetId="45" r:id="rId7"/>
    <sheet name="CFs Derivation_Vegetables" sheetId="64" r:id="rId8"/>
    <sheet name="BaU_Vegetables" sheetId="46" r:id="rId9"/>
    <sheet name="RCP 4.5_Vegetables" sheetId="65" r:id="rId10"/>
    <sheet name="RCP 8.5_Vegetables" sheetId="66" r:id="rId11"/>
    <sheet name="Fin_BaU_CRAB Value" sheetId="67" r:id="rId12"/>
    <sheet name="Fin_RCP 4.5_CRAB Value" sheetId="68" r:id="rId13"/>
    <sheet name="Fin_RCP 8.5_CRAB Value" sheetId="69" r:id="rId14"/>
    <sheet name="Assumption_CRAB Value chain" sheetId="61" r:id="rId15"/>
    <sheet name="CFs Derivation_CRAB Value chain" sheetId="63" r:id="rId16"/>
    <sheet name="BaU_CRAB Value" sheetId="55" r:id="rId17"/>
    <sheet name="RCP 4.5_CRAB Value" sheetId="59" r:id="rId18"/>
    <sheet name="RCP 8.5_CRAB Value" sheetId="58" r:id="rId19"/>
    <sheet name="Assumption_Hatchery" sheetId="25" r:id="rId20"/>
    <sheet name="CFs Derivation_Hatchery" sheetId="52" r:id="rId21"/>
    <sheet name="BaU_Hatchery" sheetId="1" r:id="rId22"/>
    <sheet name="RCP 4.5_Hatchery" sheetId="31" r:id="rId23"/>
    <sheet name="RCP 8.5_Hatchery" sheetId="30" r:id="rId24"/>
    <sheet name="Assumption_Nursery" sheetId="32" r:id="rId25"/>
    <sheet name="CFs Derivation_Nursery" sheetId="53" r:id="rId26"/>
    <sheet name="BaU_Nursery" sheetId="33" r:id="rId27"/>
    <sheet name="RCP 4.5_Nursery" sheetId="35" r:id="rId28"/>
    <sheet name="RCP 8.5_Nursery" sheetId="34" r:id="rId29"/>
    <sheet name="Assumption_Fattening" sheetId="36" r:id="rId30"/>
    <sheet name="CFs Derivation_Fattening" sheetId="54" r:id="rId31"/>
    <sheet name="BaU_Fattening" sheetId="37" r:id="rId32"/>
    <sheet name="RCP 4.5_Fattening" sheetId="39" r:id="rId33"/>
    <sheet name="RCP 8.5_Fattening" sheetId="38" r:id="rId3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1" i="61" l="1"/>
  <c r="B3" i="69"/>
  <c r="B3" i="68"/>
  <c r="A3" i="68"/>
  <c r="A3" i="69" s="1"/>
  <c r="B2" i="68" l="1"/>
  <c r="B2" i="69" s="1"/>
  <c r="A2" i="68"/>
  <c r="A2" i="69" s="1"/>
  <c r="T73" i="69"/>
  <c r="T78" i="69" s="1"/>
  <c r="L73" i="69"/>
  <c r="L78" i="69" s="1"/>
  <c r="D73" i="69"/>
  <c r="D78" i="69" s="1"/>
  <c r="V67" i="69"/>
  <c r="R67" i="69"/>
  <c r="N67" i="69"/>
  <c r="F67" i="69"/>
  <c r="B67" i="69"/>
  <c r="X45" i="69"/>
  <c r="X50" i="69" s="1"/>
  <c r="T45" i="69"/>
  <c r="T50" i="69" s="1"/>
  <c r="P45" i="69"/>
  <c r="P50" i="69" s="1"/>
  <c r="L45" i="69"/>
  <c r="L50" i="69" s="1"/>
  <c r="H45" i="69"/>
  <c r="H50" i="69" s="1"/>
  <c r="X39" i="69"/>
  <c r="X49" i="69" s="1"/>
  <c r="T39" i="69"/>
  <c r="T49" i="69" s="1"/>
  <c r="Q39" i="69"/>
  <c r="Q49" i="69" s="1"/>
  <c r="P39" i="69"/>
  <c r="P49" i="69" s="1"/>
  <c r="O39" i="69"/>
  <c r="I39" i="69"/>
  <c r="I49" i="69" s="1"/>
  <c r="H39" i="69"/>
  <c r="H49" i="69" s="1"/>
  <c r="E39" i="69"/>
  <c r="E49" i="69" s="1"/>
  <c r="D39" i="69"/>
  <c r="D49" i="69" s="1"/>
  <c r="C39" i="69"/>
  <c r="Y18" i="69"/>
  <c r="Y23" i="69" s="1"/>
  <c r="X18" i="69"/>
  <c r="T18" i="69"/>
  <c r="T23" i="69" s="1"/>
  <c r="M18" i="69"/>
  <c r="M23" i="69" s="1"/>
  <c r="L18" i="69"/>
  <c r="L23" i="69" s="1"/>
  <c r="I18" i="69"/>
  <c r="I23" i="69" s="1"/>
  <c r="H18" i="69"/>
  <c r="D18" i="69"/>
  <c r="Y12" i="69"/>
  <c r="Y22" i="69" s="1"/>
  <c r="X12" i="69"/>
  <c r="X22" i="69" s="1"/>
  <c r="Q12" i="69"/>
  <c r="Q22" i="69" s="1"/>
  <c r="P12" i="69"/>
  <c r="P22" i="69" s="1"/>
  <c r="I12" i="69"/>
  <c r="I22" i="69" s="1"/>
  <c r="H12" i="69"/>
  <c r="H22" i="69" s="1"/>
  <c r="Z73" i="69"/>
  <c r="Z78" i="69" s="1"/>
  <c r="W73" i="69"/>
  <c r="W78" i="69" s="1"/>
  <c r="V73" i="69"/>
  <c r="V78" i="69" s="1"/>
  <c r="S73" i="69"/>
  <c r="S78" i="69" s="1"/>
  <c r="R73" i="69"/>
  <c r="R78" i="69" s="1"/>
  <c r="O73" i="69"/>
  <c r="O78" i="69" s="1"/>
  <c r="N73" i="69"/>
  <c r="N78" i="69" s="1"/>
  <c r="K73" i="69"/>
  <c r="K78" i="69" s="1"/>
  <c r="J73" i="69"/>
  <c r="J78" i="69" s="1"/>
  <c r="G73" i="69"/>
  <c r="G78" i="69" s="1"/>
  <c r="F73" i="69"/>
  <c r="F78" i="69" s="1"/>
  <c r="C73" i="69"/>
  <c r="C78" i="69" s="1"/>
  <c r="B73" i="69"/>
  <c r="B78" i="69" s="1"/>
  <c r="W67" i="69"/>
  <c r="W77" i="69" s="1"/>
  <c r="S67" i="69"/>
  <c r="S77" i="69" s="1"/>
  <c r="O67" i="69"/>
  <c r="O77" i="69" s="1"/>
  <c r="K67" i="69"/>
  <c r="K77" i="69" s="1"/>
  <c r="G67" i="69"/>
  <c r="G77" i="69" s="1"/>
  <c r="C67" i="69"/>
  <c r="C77" i="69" s="1"/>
  <c r="W45" i="69"/>
  <c r="W50" i="69" s="1"/>
  <c r="O45" i="69"/>
  <c r="O50" i="69" s="1"/>
  <c r="G45" i="69"/>
  <c r="G50" i="69" s="1"/>
  <c r="W39" i="69"/>
  <c r="U39" i="69"/>
  <c r="U49" i="69" s="1"/>
  <c r="S39" i="69"/>
  <c r="M39" i="69"/>
  <c r="M49" i="69" s="1"/>
  <c r="G39" i="69"/>
  <c r="W18" i="69"/>
  <c r="W23" i="69" s="1"/>
  <c r="S18" i="69"/>
  <c r="S23" i="69" s="1"/>
  <c r="K18" i="69"/>
  <c r="K23" i="69" s="1"/>
  <c r="G18" i="69"/>
  <c r="G23" i="69" s="1"/>
  <c r="C18" i="69"/>
  <c r="C23" i="69" s="1"/>
  <c r="W12" i="69"/>
  <c r="S12" i="69"/>
  <c r="O12" i="69"/>
  <c r="O22" i="69" s="1"/>
  <c r="K12" i="69"/>
  <c r="K22" i="69" s="1"/>
  <c r="G12" i="69"/>
  <c r="G22" i="69" s="1"/>
  <c r="C12" i="69"/>
  <c r="S45" i="69"/>
  <c r="S50" i="69" s="1"/>
  <c r="K45" i="69"/>
  <c r="K50" i="69" s="1"/>
  <c r="D45" i="69"/>
  <c r="D50" i="69" s="1"/>
  <c r="C45" i="69"/>
  <c r="C50" i="69" s="1"/>
  <c r="K39" i="69"/>
  <c r="O18" i="69"/>
  <c r="O23" i="69" s="1"/>
  <c r="Z12" i="69"/>
  <c r="V12" i="69"/>
  <c r="R12" i="69"/>
  <c r="N12" i="69"/>
  <c r="J12" i="69"/>
  <c r="F12" i="69"/>
  <c r="B12" i="69"/>
  <c r="A78" i="69"/>
  <c r="A77" i="69"/>
  <c r="A75" i="69"/>
  <c r="Y73" i="69"/>
  <c r="Y78" i="69" s="1"/>
  <c r="X73" i="69"/>
  <c r="X78" i="69" s="1"/>
  <c r="U73" i="69"/>
  <c r="U78" i="69" s="1"/>
  <c r="Q73" i="69"/>
  <c r="Q78" i="69" s="1"/>
  <c r="P73" i="69"/>
  <c r="P78" i="69" s="1"/>
  <c r="M73" i="69"/>
  <c r="M78" i="69" s="1"/>
  <c r="I73" i="69"/>
  <c r="I78" i="69" s="1"/>
  <c r="H73" i="69"/>
  <c r="H78" i="69" s="1"/>
  <c r="E73" i="69"/>
  <c r="E78" i="69" s="1"/>
  <c r="Z67" i="69"/>
  <c r="Y67" i="69"/>
  <c r="X67" i="69"/>
  <c r="X77" i="69" s="1"/>
  <c r="U67" i="69"/>
  <c r="T67" i="69"/>
  <c r="T77" i="69" s="1"/>
  <c r="Q67" i="69"/>
  <c r="P67" i="69"/>
  <c r="P77" i="69" s="1"/>
  <c r="M67" i="69"/>
  <c r="L67" i="69"/>
  <c r="L77" i="69" s="1"/>
  <c r="J67" i="69"/>
  <c r="I67" i="69"/>
  <c r="H67" i="69"/>
  <c r="H77" i="69" s="1"/>
  <c r="E67" i="69"/>
  <c r="D67" i="69"/>
  <c r="D77" i="69" s="1"/>
  <c r="A60" i="69"/>
  <c r="A50" i="69"/>
  <c r="A49" i="69"/>
  <c r="A47" i="69"/>
  <c r="Z45" i="69"/>
  <c r="Z50" i="69" s="1"/>
  <c r="Y45" i="69"/>
  <c r="Y50" i="69" s="1"/>
  <c r="V45" i="69"/>
  <c r="V50" i="69" s="1"/>
  <c r="U45" i="69"/>
  <c r="U50" i="69" s="1"/>
  <c r="R45" i="69"/>
  <c r="R50" i="69" s="1"/>
  <c r="Q45" i="69"/>
  <c r="Q50" i="69" s="1"/>
  <c r="N45" i="69"/>
  <c r="N50" i="69" s="1"/>
  <c r="M45" i="69"/>
  <c r="M50" i="69" s="1"/>
  <c r="J45" i="69"/>
  <c r="J50" i="69" s="1"/>
  <c r="I45" i="69"/>
  <c r="I50" i="69" s="1"/>
  <c r="F45" i="69"/>
  <c r="F50" i="69" s="1"/>
  <c r="E45" i="69"/>
  <c r="E50" i="69" s="1"/>
  <c r="B45" i="69"/>
  <c r="B50" i="69" s="1"/>
  <c r="Z39" i="69"/>
  <c r="Y39" i="69"/>
  <c r="Y49" i="69" s="1"/>
  <c r="V39" i="69"/>
  <c r="R39" i="69"/>
  <c r="N39" i="69"/>
  <c r="L39" i="69"/>
  <c r="L49" i="69" s="1"/>
  <c r="J39" i="69"/>
  <c r="F39" i="69"/>
  <c r="B39" i="69"/>
  <c r="A32" i="69"/>
  <c r="Z18" i="69"/>
  <c r="Z23" i="69" s="1"/>
  <c r="V18" i="69"/>
  <c r="V23" i="69" s="1"/>
  <c r="U18" i="69"/>
  <c r="U23" i="69" s="1"/>
  <c r="R18" i="69"/>
  <c r="R23" i="69" s="1"/>
  <c r="Q18" i="69"/>
  <c r="Q23" i="69" s="1"/>
  <c r="P18" i="69"/>
  <c r="N18" i="69"/>
  <c r="N23" i="69" s="1"/>
  <c r="J18" i="69"/>
  <c r="J23" i="69" s="1"/>
  <c r="F18" i="69"/>
  <c r="F23" i="69" s="1"/>
  <c r="E18" i="69"/>
  <c r="E23" i="69" s="1"/>
  <c r="B18" i="69"/>
  <c r="B23" i="69" s="1"/>
  <c r="U12" i="69"/>
  <c r="U22" i="69" s="1"/>
  <c r="T12" i="69"/>
  <c r="T22" i="69" s="1"/>
  <c r="M12" i="69"/>
  <c r="M22" i="69" s="1"/>
  <c r="L12" i="69"/>
  <c r="L22" i="69" s="1"/>
  <c r="E12" i="69"/>
  <c r="E22" i="69" s="1"/>
  <c r="D12" i="69"/>
  <c r="D22" i="69" s="1"/>
  <c r="S73" i="68"/>
  <c r="S78" i="68" s="1"/>
  <c r="O73" i="68"/>
  <c r="O78" i="68" s="1"/>
  <c r="G73" i="68"/>
  <c r="G78" i="68" s="1"/>
  <c r="C73" i="68"/>
  <c r="C78" i="68" s="1"/>
  <c r="Y67" i="68"/>
  <c r="U67" i="68"/>
  <c r="U77" i="68" s="1"/>
  <c r="S67" i="68"/>
  <c r="S77" i="68" s="1"/>
  <c r="Q67" i="68"/>
  <c r="M67" i="68"/>
  <c r="M77" i="68" s="1"/>
  <c r="K67" i="68"/>
  <c r="K77" i="68" s="1"/>
  <c r="I67" i="68"/>
  <c r="E67" i="68"/>
  <c r="E77" i="68" s="1"/>
  <c r="C67" i="68"/>
  <c r="C77" i="68" s="1"/>
  <c r="W45" i="68"/>
  <c r="W50" i="68" s="1"/>
  <c r="S45" i="68"/>
  <c r="S50" i="68" s="1"/>
  <c r="O45" i="68"/>
  <c r="O50" i="68" s="1"/>
  <c r="K45" i="68"/>
  <c r="K50" i="68" s="1"/>
  <c r="G45" i="68"/>
  <c r="G50" i="68" s="1"/>
  <c r="C45" i="68"/>
  <c r="C50" i="68" s="1"/>
  <c r="W39" i="68"/>
  <c r="S39" i="68"/>
  <c r="O39" i="68"/>
  <c r="K39" i="68"/>
  <c r="G39" i="68"/>
  <c r="C39" i="68"/>
  <c r="W18" i="68"/>
  <c r="W23" i="68" s="1"/>
  <c r="O18" i="68"/>
  <c r="O23" i="68" s="1"/>
  <c r="K18" i="68"/>
  <c r="K23" i="68" s="1"/>
  <c r="G18" i="68"/>
  <c r="G23" i="68" s="1"/>
  <c r="X73" i="68"/>
  <c r="X78" i="68" s="1"/>
  <c r="W73" i="68"/>
  <c r="W78" i="68" s="1"/>
  <c r="T73" i="68"/>
  <c r="T78" i="68" s="1"/>
  <c r="H73" i="68"/>
  <c r="H78" i="68" s="1"/>
  <c r="D73" i="68"/>
  <c r="D78" i="68" s="1"/>
  <c r="X67" i="68"/>
  <c r="X77" i="68" s="1"/>
  <c r="W67" i="68"/>
  <c r="W77" i="68" s="1"/>
  <c r="T67" i="68"/>
  <c r="T77" i="68" s="1"/>
  <c r="P67" i="68"/>
  <c r="P77" i="68" s="1"/>
  <c r="O67" i="68"/>
  <c r="O77" i="68" s="1"/>
  <c r="L67" i="68"/>
  <c r="L77" i="68" s="1"/>
  <c r="H67" i="68"/>
  <c r="H77" i="68" s="1"/>
  <c r="G67" i="68"/>
  <c r="G77" i="68" s="1"/>
  <c r="D67" i="68"/>
  <c r="D77" i="68" s="1"/>
  <c r="X18" i="68"/>
  <c r="P18" i="68"/>
  <c r="H18" i="68"/>
  <c r="H23" i="68" s="1"/>
  <c r="P73" i="68"/>
  <c r="P78" i="68" s="1"/>
  <c r="L73" i="68"/>
  <c r="L78" i="68" s="1"/>
  <c r="C12" i="68"/>
  <c r="D12" i="68"/>
  <c r="D22" i="68" s="1"/>
  <c r="E12" i="68"/>
  <c r="E22" i="68" s="1"/>
  <c r="F12" i="68"/>
  <c r="G12" i="68"/>
  <c r="G22" i="68" s="1"/>
  <c r="H12" i="68"/>
  <c r="H22" i="68" s="1"/>
  <c r="I12" i="68"/>
  <c r="J12" i="68"/>
  <c r="K12" i="68"/>
  <c r="K22" i="68" s="1"/>
  <c r="L12" i="68"/>
  <c r="L22" i="68" s="1"/>
  <c r="M12" i="68"/>
  <c r="M22" i="68" s="1"/>
  <c r="N12" i="68"/>
  <c r="O12" i="68"/>
  <c r="O22" i="68" s="1"/>
  <c r="P12" i="68"/>
  <c r="P22" i="68" s="1"/>
  <c r="Q12" i="68"/>
  <c r="Q22" i="68" s="1"/>
  <c r="R12" i="68"/>
  <c r="S12" i="68"/>
  <c r="T12" i="68"/>
  <c r="T22" i="68" s="1"/>
  <c r="U12" i="68"/>
  <c r="V12" i="68"/>
  <c r="W12" i="68"/>
  <c r="W22" i="68" s="1"/>
  <c r="X12" i="68"/>
  <c r="X22" i="68" s="1"/>
  <c r="Y12" i="68"/>
  <c r="Y22" i="68" s="1"/>
  <c r="Z12" i="68"/>
  <c r="B12" i="68"/>
  <c r="C12" i="67"/>
  <c r="D12" i="67"/>
  <c r="E12" i="67"/>
  <c r="F12" i="67"/>
  <c r="G12" i="67"/>
  <c r="H12" i="67"/>
  <c r="I12" i="67"/>
  <c r="J12" i="67"/>
  <c r="K12" i="67"/>
  <c r="L12" i="67"/>
  <c r="M12" i="67"/>
  <c r="N12" i="67"/>
  <c r="O12" i="67"/>
  <c r="P12" i="67"/>
  <c r="Q12" i="67"/>
  <c r="R12" i="67"/>
  <c r="S12" i="67"/>
  <c r="T12" i="67"/>
  <c r="U12" i="67"/>
  <c r="V12" i="67"/>
  <c r="W12" i="67"/>
  <c r="X12" i="67"/>
  <c r="Y12" i="67"/>
  <c r="Z12" i="67"/>
  <c r="B12" i="67"/>
  <c r="Z18" i="68"/>
  <c r="Z23" i="68" s="1"/>
  <c r="Y18" i="68"/>
  <c r="Y23" i="68" s="1"/>
  <c r="V18" i="68"/>
  <c r="V23" i="68" s="1"/>
  <c r="U18" i="68"/>
  <c r="U23" i="68" s="1"/>
  <c r="R18" i="68"/>
  <c r="R23" i="68" s="1"/>
  <c r="Q18" i="68"/>
  <c r="Q23" i="68" s="1"/>
  <c r="N18" i="68"/>
  <c r="N23" i="68" s="1"/>
  <c r="M18" i="68"/>
  <c r="M23" i="68" s="1"/>
  <c r="J18" i="68"/>
  <c r="J23" i="68" s="1"/>
  <c r="I18" i="68"/>
  <c r="I23" i="68" s="1"/>
  <c r="F18" i="68"/>
  <c r="F23" i="68" s="1"/>
  <c r="E18" i="68"/>
  <c r="E23" i="68" s="1"/>
  <c r="B18" i="68"/>
  <c r="B23" i="68" s="1"/>
  <c r="A78" i="68"/>
  <c r="A77" i="68"/>
  <c r="A75" i="68"/>
  <c r="Z73" i="68"/>
  <c r="Z78" i="68" s="1"/>
  <c r="Y73" i="68"/>
  <c r="Y78" i="68" s="1"/>
  <c r="V73" i="68"/>
  <c r="V78" i="68" s="1"/>
  <c r="U73" i="68"/>
  <c r="U78" i="68" s="1"/>
  <c r="R73" i="68"/>
  <c r="R78" i="68" s="1"/>
  <c r="Q73" i="68"/>
  <c r="Q78" i="68" s="1"/>
  <c r="N73" i="68"/>
  <c r="N78" i="68" s="1"/>
  <c r="M73" i="68"/>
  <c r="M78" i="68" s="1"/>
  <c r="K73" i="68"/>
  <c r="K78" i="68" s="1"/>
  <c r="J73" i="68"/>
  <c r="J78" i="68" s="1"/>
  <c r="I73" i="68"/>
  <c r="I78" i="68" s="1"/>
  <c r="F73" i="68"/>
  <c r="F78" i="68" s="1"/>
  <c r="E73" i="68"/>
  <c r="E78" i="68" s="1"/>
  <c r="B73" i="68"/>
  <c r="B78" i="68" s="1"/>
  <c r="Z67" i="68"/>
  <c r="V67" i="68"/>
  <c r="R67" i="68"/>
  <c r="N67" i="68"/>
  <c r="J67" i="68"/>
  <c r="F67" i="68"/>
  <c r="B67" i="68"/>
  <c r="A60" i="68"/>
  <c r="A50" i="68"/>
  <c r="A49" i="68"/>
  <c r="A47" i="68"/>
  <c r="Z45" i="68"/>
  <c r="Z50" i="68" s="1"/>
  <c r="Y45" i="68"/>
  <c r="Y50" i="68" s="1"/>
  <c r="X45" i="68"/>
  <c r="X50" i="68" s="1"/>
  <c r="V45" i="68"/>
  <c r="V50" i="68" s="1"/>
  <c r="U45" i="68"/>
  <c r="U50" i="68" s="1"/>
  <c r="T45" i="68"/>
  <c r="T50" i="68" s="1"/>
  <c r="R45" i="68"/>
  <c r="R50" i="68" s="1"/>
  <c r="Q45" i="68"/>
  <c r="Q50" i="68" s="1"/>
  <c r="P45" i="68"/>
  <c r="N45" i="68"/>
  <c r="N50" i="68" s="1"/>
  <c r="M45" i="68"/>
  <c r="M50" i="68" s="1"/>
  <c r="L45" i="68"/>
  <c r="L50" i="68" s="1"/>
  <c r="J45" i="68"/>
  <c r="J50" i="68" s="1"/>
  <c r="I45" i="68"/>
  <c r="I50" i="68" s="1"/>
  <c r="H45" i="68"/>
  <c r="F45" i="68"/>
  <c r="F50" i="68" s="1"/>
  <c r="E45" i="68"/>
  <c r="E50" i="68" s="1"/>
  <c r="D45" i="68"/>
  <c r="B45" i="68"/>
  <c r="B50" i="68" s="1"/>
  <c r="Z39" i="68"/>
  <c r="Y39" i="68"/>
  <c r="Y49" i="68" s="1"/>
  <c r="X39" i="68"/>
  <c r="X49" i="68" s="1"/>
  <c r="V39" i="68"/>
  <c r="U39" i="68"/>
  <c r="U49" i="68" s="1"/>
  <c r="T39" i="68"/>
  <c r="T49" i="68" s="1"/>
  <c r="R39" i="68"/>
  <c r="Q39" i="68"/>
  <c r="Q49" i="68" s="1"/>
  <c r="P39" i="68"/>
  <c r="P49" i="68" s="1"/>
  <c r="N39" i="68"/>
  <c r="M39" i="68"/>
  <c r="M49" i="68" s="1"/>
  <c r="L39" i="68"/>
  <c r="L49" i="68" s="1"/>
  <c r="J39" i="68"/>
  <c r="I39" i="68"/>
  <c r="I49" i="68" s="1"/>
  <c r="H39" i="68"/>
  <c r="H49" i="68" s="1"/>
  <c r="F39" i="68"/>
  <c r="E39" i="68"/>
  <c r="E49" i="68" s="1"/>
  <c r="D39" i="68"/>
  <c r="D49" i="68" s="1"/>
  <c r="B39" i="68"/>
  <c r="A32" i="68"/>
  <c r="T18" i="68"/>
  <c r="S18" i="68"/>
  <c r="S23" i="68" s="1"/>
  <c r="L18" i="68"/>
  <c r="D18" i="68"/>
  <c r="C18" i="68"/>
  <c r="C23" i="68" s="1"/>
  <c r="U22" i="68"/>
  <c r="I22" i="68"/>
  <c r="R75" i="68" l="1"/>
  <c r="N75" i="68"/>
  <c r="U75" i="69"/>
  <c r="Y75" i="69"/>
  <c r="E75" i="69"/>
  <c r="Q75" i="69"/>
  <c r="M75" i="69"/>
  <c r="I75" i="69"/>
  <c r="M77" i="69"/>
  <c r="U77" i="69"/>
  <c r="E77" i="69"/>
  <c r="F47" i="69"/>
  <c r="V47" i="69"/>
  <c r="B47" i="69"/>
  <c r="R47" i="69"/>
  <c r="N47" i="69"/>
  <c r="J47" i="69"/>
  <c r="Z47" i="69"/>
  <c r="H47" i="69"/>
  <c r="P47" i="69"/>
  <c r="X47" i="69"/>
  <c r="Z49" i="69"/>
  <c r="F49" i="69"/>
  <c r="J49" i="69"/>
  <c r="V49" i="69"/>
  <c r="F20" i="69"/>
  <c r="N20" i="69"/>
  <c r="V20" i="69"/>
  <c r="B20" i="69"/>
  <c r="J20" i="69"/>
  <c r="R20" i="69"/>
  <c r="Z20" i="69"/>
  <c r="W22" i="69"/>
  <c r="W20" i="69"/>
  <c r="D20" i="69"/>
  <c r="H20" i="69"/>
  <c r="P20" i="69"/>
  <c r="X20" i="69"/>
  <c r="B75" i="69"/>
  <c r="F75" i="69"/>
  <c r="J75" i="69"/>
  <c r="N75" i="69"/>
  <c r="R75" i="69"/>
  <c r="V75" i="69"/>
  <c r="Z75" i="69"/>
  <c r="D75" i="69"/>
  <c r="L75" i="69"/>
  <c r="T75" i="69"/>
  <c r="G75" i="69"/>
  <c r="O75" i="69"/>
  <c r="W75" i="69"/>
  <c r="I77" i="69"/>
  <c r="Y77" i="69"/>
  <c r="H75" i="69"/>
  <c r="P75" i="69"/>
  <c r="X75" i="69"/>
  <c r="C75" i="69"/>
  <c r="K75" i="69"/>
  <c r="S75" i="69"/>
  <c r="Q77" i="69"/>
  <c r="I47" i="69"/>
  <c r="Y47" i="69"/>
  <c r="C47" i="69"/>
  <c r="G47" i="69"/>
  <c r="K47" i="69"/>
  <c r="O47" i="69"/>
  <c r="S47" i="69"/>
  <c r="W47" i="69"/>
  <c r="AA50" i="69"/>
  <c r="Q47" i="69"/>
  <c r="D47" i="69"/>
  <c r="L47" i="69"/>
  <c r="T47" i="69"/>
  <c r="N49" i="69"/>
  <c r="E47" i="69"/>
  <c r="M47" i="69"/>
  <c r="U47" i="69"/>
  <c r="B49" i="69"/>
  <c r="R49" i="69"/>
  <c r="G20" i="69"/>
  <c r="K20" i="69"/>
  <c r="C20" i="69"/>
  <c r="O20" i="69"/>
  <c r="S20" i="69"/>
  <c r="B22" i="69"/>
  <c r="J22" i="69"/>
  <c r="R22" i="69"/>
  <c r="Z22" i="69"/>
  <c r="C22" i="69"/>
  <c r="S22" i="69"/>
  <c r="F22" i="69"/>
  <c r="N22" i="69"/>
  <c r="V22" i="69"/>
  <c r="AA78" i="69"/>
  <c r="H23" i="69"/>
  <c r="P23" i="69"/>
  <c r="X23" i="69"/>
  <c r="L20" i="69"/>
  <c r="T20" i="69"/>
  <c r="K49" i="69"/>
  <c r="S49" i="69"/>
  <c r="F77" i="69"/>
  <c r="N77" i="69"/>
  <c r="V77" i="69"/>
  <c r="E20" i="69"/>
  <c r="I20" i="69"/>
  <c r="M20" i="69"/>
  <c r="Q20" i="69"/>
  <c r="U20" i="69"/>
  <c r="Y20" i="69"/>
  <c r="D23" i="69"/>
  <c r="C49" i="69"/>
  <c r="G49" i="69"/>
  <c r="O49" i="69"/>
  <c r="W49" i="69"/>
  <c r="B77" i="69"/>
  <c r="J77" i="69"/>
  <c r="R77" i="69"/>
  <c r="Z77" i="69"/>
  <c r="B75" i="68"/>
  <c r="J75" i="68"/>
  <c r="Z75" i="68"/>
  <c r="V75" i="68"/>
  <c r="F75" i="68"/>
  <c r="L75" i="68"/>
  <c r="C47" i="68"/>
  <c r="G47" i="68"/>
  <c r="K47" i="68"/>
  <c r="O47" i="68"/>
  <c r="S47" i="68"/>
  <c r="W47" i="68"/>
  <c r="B47" i="68"/>
  <c r="F47" i="68"/>
  <c r="J47" i="68"/>
  <c r="N47" i="68"/>
  <c r="R47" i="68"/>
  <c r="V47" i="68"/>
  <c r="Z47" i="68"/>
  <c r="V49" i="68"/>
  <c r="D47" i="68"/>
  <c r="H47" i="68"/>
  <c r="P47" i="68"/>
  <c r="F49" i="68"/>
  <c r="N49" i="68"/>
  <c r="D20" i="68"/>
  <c r="L20" i="68"/>
  <c r="T20" i="68"/>
  <c r="P20" i="68"/>
  <c r="X20" i="68"/>
  <c r="B20" i="68"/>
  <c r="F20" i="68"/>
  <c r="J20" i="68"/>
  <c r="N20" i="68"/>
  <c r="R20" i="68"/>
  <c r="V20" i="68"/>
  <c r="Z20" i="68"/>
  <c r="T75" i="68"/>
  <c r="E75" i="68"/>
  <c r="I75" i="68"/>
  <c r="M75" i="68"/>
  <c r="Q75" i="68"/>
  <c r="U75" i="68"/>
  <c r="Y75" i="68"/>
  <c r="D75" i="68"/>
  <c r="G75" i="68"/>
  <c r="O75" i="68"/>
  <c r="W75" i="68"/>
  <c r="I77" i="68"/>
  <c r="Y77" i="68"/>
  <c r="P75" i="68"/>
  <c r="X75" i="68"/>
  <c r="H75" i="68"/>
  <c r="C75" i="68"/>
  <c r="K75" i="68"/>
  <c r="S75" i="68"/>
  <c r="Q77" i="68"/>
  <c r="D50" i="68"/>
  <c r="T47" i="68"/>
  <c r="X47" i="68"/>
  <c r="L47" i="68"/>
  <c r="H50" i="68"/>
  <c r="P50" i="68"/>
  <c r="I47" i="68"/>
  <c r="Q47" i="68"/>
  <c r="Y47" i="68"/>
  <c r="J49" i="68"/>
  <c r="Z49" i="68"/>
  <c r="E47" i="68"/>
  <c r="M47" i="68"/>
  <c r="U47" i="68"/>
  <c r="B49" i="68"/>
  <c r="R49" i="68"/>
  <c r="K20" i="68"/>
  <c r="G20" i="68"/>
  <c r="W20" i="68"/>
  <c r="C20" i="68"/>
  <c r="O20" i="68"/>
  <c r="S20" i="68"/>
  <c r="B22" i="68"/>
  <c r="J22" i="68"/>
  <c r="R22" i="68"/>
  <c r="Z22" i="68"/>
  <c r="C22" i="68"/>
  <c r="S22" i="68"/>
  <c r="F22" i="68"/>
  <c r="N22" i="68"/>
  <c r="V22" i="68"/>
  <c r="AA78" i="68"/>
  <c r="D23" i="68"/>
  <c r="P23" i="68"/>
  <c r="X23" i="68"/>
  <c r="H20" i="68"/>
  <c r="K49" i="68"/>
  <c r="W49" i="68"/>
  <c r="F77" i="68"/>
  <c r="N77" i="68"/>
  <c r="V77" i="68"/>
  <c r="E20" i="68"/>
  <c r="I20" i="68"/>
  <c r="M20" i="68"/>
  <c r="Q20" i="68"/>
  <c r="U20" i="68"/>
  <c r="Y20" i="68"/>
  <c r="L23" i="68"/>
  <c r="T23" i="68"/>
  <c r="C49" i="68"/>
  <c r="G49" i="68"/>
  <c r="O49" i="68"/>
  <c r="S49" i="68"/>
  <c r="B77" i="68"/>
  <c r="J77" i="68"/>
  <c r="R77" i="68"/>
  <c r="Z77" i="68"/>
  <c r="B25" i="68" l="1"/>
  <c r="B52" i="68"/>
  <c r="B80" i="68"/>
  <c r="B25" i="69"/>
  <c r="B80" i="69"/>
  <c r="B52" i="69"/>
  <c r="G49" i="14"/>
  <c r="B54" i="69"/>
  <c r="M49" i="14" s="1"/>
  <c r="AA23" i="69"/>
  <c r="AA22" i="69"/>
  <c r="B82" i="69"/>
  <c r="M50" i="14" s="1"/>
  <c r="AA77" i="69"/>
  <c r="G50" i="14"/>
  <c r="AA49" i="69"/>
  <c r="B27" i="69"/>
  <c r="M48" i="14" s="1"/>
  <c r="G48" i="14"/>
  <c r="B82" i="68"/>
  <c r="K50" i="14" s="1"/>
  <c r="AA50" i="68"/>
  <c r="B54" i="68"/>
  <c r="K49" i="14" s="1"/>
  <c r="E49" i="14"/>
  <c r="AA22" i="68"/>
  <c r="AA77" i="68"/>
  <c r="E50" i="14"/>
  <c r="AA49" i="68"/>
  <c r="E48" i="14"/>
  <c r="AA23" i="68"/>
  <c r="B27" i="68"/>
  <c r="K48" i="14" s="1"/>
  <c r="A78" i="67" l="1"/>
  <c r="A77" i="67"/>
  <c r="A75" i="67"/>
  <c r="Y73" i="67"/>
  <c r="Y78" i="67" s="1"/>
  <c r="Q73" i="67"/>
  <c r="Q78" i="67" s="1"/>
  <c r="I73" i="67"/>
  <c r="I78" i="67" s="1"/>
  <c r="Z73" i="67"/>
  <c r="Z78" i="67" s="1"/>
  <c r="V73" i="67"/>
  <c r="V78" i="67" s="1"/>
  <c r="R73" i="67"/>
  <c r="R78" i="67" s="1"/>
  <c r="N73" i="67"/>
  <c r="N78" i="67" s="1"/>
  <c r="J73" i="67"/>
  <c r="J78" i="67" s="1"/>
  <c r="F73" i="67"/>
  <c r="F78" i="67" s="1"/>
  <c r="W73" i="67"/>
  <c r="W78" i="67" s="1"/>
  <c r="U73" i="67"/>
  <c r="U78" i="67" s="1"/>
  <c r="S73" i="67"/>
  <c r="S78" i="67" s="1"/>
  <c r="O73" i="67"/>
  <c r="O78" i="67" s="1"/>
  <c r="M73" i="67"/>
  <c r="M78" i="67" s="1"/>
  <c r="K73" i="67"/>
  <c r="K78" i="67" s="1"/>
  <c r="G73" i="67"/>
  <c r="G78" i="67" s="1"/>
  <c r="E73" i="67"/>
  <c r="E78" i="67" s="1"/>
  <c r="C73" i="67"/>
  <c r="C78" i="67" s="1"/>
  <c r="A60" i="67"/>
  <c r="A50" i="67"/>
  <c r="A49" i="67"/>
  <c r="A47" i="67"/>
  <c r="W45" i="67"/>
  <c r="W50" i="67" s="1"/>
  <c r="V45" i="67"/>
  <c r="V50" i="67" s="1"/>
  <c r="S45" i="67"/>
  <c r="S50" i="67" s="1"/>
  <c r="R45" i="67"/>
  <c r="R50" i="67" s="1"/>
  <c r="O45" i="67"/>
  <c r="O50" i="67" s="1"/>
  <c r="N45" i="67"/>
  <c r="N50" i="67" s="1"/>
  <c r="K45" i="67"/>
  <c r="K50" i="67" s="1"/>
  <c r="J45" i="67"/>
  <c r="J50" i="67" s="1"/>
  <c r="G45" i="67"/>
  <c r="G50" i="67" s="1"/>
  <c r="F45" i="67"/>
  <c r="F50" i="67" s="1"/>
  <c r="C45" i="67"/>
  <c r="C50" i="67" s="1"/>
  <c r="B45" i="67"/>
  <c r="B50" i="67" s="1"/>
  <c r="Y45" i="67"/>
  <c r="Y50" i="67" s="1"/>
  <c r="X45" i="67"/>
  <c r="X50" i="67" s="1"/>
  <c r="U45" i="67"/>
  <c r="U50" i="67" s="1"/>
  <c r="T45" i="67"/>
  <c r="T50" i="67" s="1"/>
  <c r="Q45" i="67"/>
  <c r="Q50" i="67" s="1"/>
  <c r="P45" i="67"/>
  <c r="P50" i="67" s="1"/>
  <c r="M45" i="67"/>
  <c r="M50" i="67" s="1"/>
  <c r="L45" i="67"/>
  <c r="L50" i="67" s="1"/>
  <c r="I45" i="67"/>
  <c r="I50" i="67" s="1"/>
  <c r="H45" i="67"/>
  <c r="H50" i="67" s="1"/>
  <c r="E45" i="67"/>
  <c r="E50" i="67" s="1"/>
  <c r="D45" i="67"/>
  <c r="D50" i="67" s="1"/>
  <c r="A32" i="67"/>
  <c r="Y18" i="67"/>
  <c r="Y23" i="67" s="1"/>
  <c r="U18" i="67"/>
  <c r="U23" i="67" s="1"/>
  <c r="Q18" i="67"/>
  <c r="Q23" i="67" s="1"/>
  <c r="M18" i="67"/>
  <c r="M23" i="67" s="1"/>
  <c r="I18" i="67"/>
  <c r="I23" i="67" s="1"/>
  <c r="E18" i="67"/>
  <c r="E23" i="67" s="1"/>
  <c r="Z18" i="67"/>
  <c r="Z23" i="67" s="1"/>
  <c r="V18" i="67"/>
  <c r="V23" i="67" s="1"/>
  <c r="R18" i="67"/>
  <c r="R23" i="67" s="1"/>
  <c r="N18" i="67"/>
  <c r="N23" i="67" s="1"/>
  <c r="J18" i="67"/>
  <c r="J23" i="67" s="1"/>
  <c r="F18" i="67"/>
  <c r="F23" i="67" s="1"/>
  <c r="B18" i="67"/>
  <c r="B23" i="67" s="1"/>
  <c r="W18" i="67"/>
  <c r="W23" i="67" s="1"/>
  <c r="S18" i="67"/>
  <c r="S23" i="67" s="1"/>
  <c r="O18" i="67"/>
  <c r="O23" i="67" s="1"/>
  <c r="K18" i="67"/>
  <c r="K23" i="67" s="1"/>
  <c r="G18" i="67"/>
  <c r="G23" i="67" s="1"/>
  <c r="C18" i="67"/>
  <c r="C23" i="67" s="1"/>
  <c r="X18" i="67"/>
  <c r="X23" i="67" s="1"/>
  <c r="T18" i="67"/>
  <c r="T23" i="67" s="1"/>
  <c r="P18" i="67"/>
  <c r="P23" i="67" s="1"/>
  <c r="L18" i="67"/>
  <c r="L23" i="67" s="1"/>
  <c r="H18" i="67"/>
  <c r="H23" i="67" s="1"/>
  <c r="D18" i="67"/>
  <c r="D23" i="67" s="1"/>
  <c r="U22" i="67"/>
  <c r="Q22" i="67"/>
  <c r="M22" i="67"/>
  <c r="I22" i="67"/>
  <c r="E22" i="67"/>
  <c r="U39" i="67"/>
  <c r="E39" i="67"/>
  <c r="B39" i="46"/>
  <c r="B67" i="46" s="1"/>
  <c r="A67" i="46"/>
  <c r="A39" i="46"/>
  <c r="A39" i="65" s="1"/>
  <c r="A32" i="46"/>
  <c r="A32" i="65" s="1"/>
  <c r="M53" i="14"/>
  <c r="H53" i="14"/>
  <c r="C53" i="14"/>
  <c r="F54" i="14"/>
  <c r="K54" i="14" s="1"/>
  <c r="P54" i="14" s="1"/>
  <c r="E54" i="14"/>
  <c r="J54" i="14" s="1"/>
  <c r="O54" i="14" s="1"/>
  <c r="L54" i="14"/>
  <c r="Q54" i="14" s="1"/>
  <c r="I54" i="14"/>
  <c r="N54" i="14" s="1"/>
  <c r="H54" i="14"/>
  <c r="M54" i="14" s="1"/>
  <c r="A59" i="66"/>
  <c r="A58" i="66"/>
  <c r="A55" i="66"/>
  <c r="A31" i="66"/>
  <c r="A30" i="66"/>
  <c r="A27" i="66"/>
  <c r="A59" i="65"/>
  <c r="A58" i="65"/>
  <c r="A55" i="65"/>
  <c r="A31" i="65"/>
  <c r="A30" i="65"/>
  <c r="A27" i="65"/>
  <c r="A8" i="64"/>
  <c r="E41" i="64"/>
  <c r="C41" i="64"/>
  <c r="D41" i="64" s="1"/>
  <c r="H41" i="64" s="1"/>
  <c r="E39" i="64"/>
  <c r="C39" i="64"/>
  <c r="D39" i="64" s="1"/>
  <c r="C38" i="64"/>
  <c r="C37" i="64"/>
  <c r="D37" i="64" s="1"/>
  <c r="F36" i="64"/>
  <c r="G36" i="64" s="1"/>
  <c r="H36" i="64" s="1"/>
  <c r="A58" i="46"/>
  <c r="A30" i="46"/>
  <c r="A55" i="46"/>
  <c r="A27" i="46"/>
  <c r="C149" i="45"/>
  <c r="D149" i="45" s="1"/>
  <c r="C148" i="45"/>
  <c r="C147" i="45"/>
  <c r="D147" i="45" s="1"/>
  <c r="C144" i="45"/>
  <c r="D144" i="45" s="1"/>
  <c r="C173" i="45" s="1"/>
  <c r="C143" i="45"/>
  <c r="D143" i="45" s="1"/>
  <c r="C172" i="45" s="1"/>
  <c r="C142" i="45"/>
  <c r="C141" i="45"/>
  <c r="D141" i="45" s="1"/>
  <c r="C140" i="45"/>
  <c r="D140" i="45" s="1"/>
  <c r="A39" i="66" l="1"/>
  <c r="A67" i="66" s="1"/>
  <c r="A67" i="65"/>
  <c r="H39" i="64"/>
  <c r="B39" i="65"/>
  <c r="B67" i="65" s="1"/>
  <c r="Y20" i="67"/>
  <c r="E47" i="67"/>
  <c r="U47" i="67"/>
  <c r="F67" i="67"/>
  <c r="F75" i="67" s="1"/>
  <c r="V67" i="67"/>
  <c r="V77" i="67" s="1"/>
  <c r="M39" i="67"/>
  <c r="M47" i="67" s="1"/>
  <c r="N67" i="67"/>
  <c r="N77" i="67" s="1"/>
  <c r="AA23" i="67"/>
  <c r="G67" i="67"/>
  <c r="O67" i="67"/>
  <c r="W67" i="67"/>
  <c r="D39" i="67"/>
  <c r="S67" i="67"/>
  <c r="E20" i="67"/>
  <c r="I20" i="67"/>
  <c r="M20" i="67"/>
  <c r="Q20" i="67"/>
  <c r="U20" i="67"/>
  <c r="B39" i="67"/>
  <c r="J39" i="67"/>
  <c r="R39" i="67"/>
  <c r="Z39" i="67"/>
  <c r="E49" i="67"/>
  <c r="U49" i="67"/>
  <c r="E67" i="67"/>
  <c r="U67" i="67"/>
  <c r="L39" i="67"/>
  <c r="K67" i="67"/>
  <c r="Q39" i="67"/>
  <c r="Q67" i="67"/>
  <c r="Y39" i="67"/>
  <c r="Y67" i="67"/>
  <c r="P39" i="67"/>
  <c r="X39" i="67"/>
  <c r="H67" i="67"/>
  <c r="B73" i="67"/>
  <c r="B78" i="67" s="1"/>
  <c r="C67" i="67"/>
  <c r="P67" i="67"/>
  <c r="H39" i="67"/>
  <c r="T39" i="67"/>
  <c r="I39" i="67"/>
  <c r="I67" i="67"/>
  <c r="B67" i="67"/>
  <c r="J67" i="67"/>
  <c r="R67" i="67"/>
  <c r="Z67" i="67"/>
  <c r="Y22" i="67"/>
  <c r="G39" i="67"/>
  <c r="O39" i="67"/>
  <c r="W39" i="67"/>
  <c r="N39" i="67"/>
  <c r="V39" i="67"/>
  <c r="M67" i="67"/>
  <c r="Z45" i="67"/>
  <c r="Z50" i="67" s="1"/>
  <c r="AA50" i="67" s="1"/>
  <c r="D73" i="67"/>
  <c r="D78" i="67" s="1"/>
  <c r="H73" i="67"/>
  <c r="H78" i="67" s="1"/>
  <c r="L73" i="67"/>
  <c r="L78" i="67" s="1"/>
  <c r="P73" i="67"/>
  <c r="P78" i="67" s="1"/>
  <c r="T73" i="67"/>
  <c r="T78" i="67" s="1"/>
  <c r="X73" i="67"/>
  <c r="X78" i="67" s="1"/>
  <c r="A32" i="66"/>
  <c r="A60" i="66" s="1"/>
  <c r="A60" i="65"/>
  <c r="A60" i="46"/>
  <c r="D38" i="64"/>
  <c r="D40" i="64" s="1"/>
  <c r="H43" i="64"/>
  <c r="B39" i="66" l="1"/>
  <c r="F77" i="67"/>
  <c r="V75" i="67"/>
  <c r="N75" i="67"/>
  <c r="M49" i="67"/>
  <c r="K39" i="67"/>
  <c r="K49" i="67" s="1"/>
  <c r="X67" i="67"/>
  <c r="X77" i="67" s="1"/>
  <c r="L67" i="67"/>
  <c r="L77" i="67" s="1"/>
  <c r="C39" i="67"/>
  <c r="C49" i="67" s="1"/>
  <c r="N49" i="67"/>
  <c r="N47" i="67"/>
  <c r="X47" i="67"/>
  <c r="X49" i="67"/>
  <c r="K77" i="67"/>
  <c r="K75" i="67"/>
  <c r="R49" i="67"/>
  <c r="R47" i="67"/>
  <c r="V49" i="67"/>
  <c r="V47" i="67"/>
  <c r="P47" i="67"/>
  <c r="P49" i="67"/>
  <c r="J49" i="67"/>
  <c r="J47" i="67"/>
  <c r="B75" i="67"/>
  <c r="B77" i="67"/>
  <c r="T47" i="67"/>
  <c r="T49" i="67"/>
  <c r="S22" i="67"/>
  <c r="S20" i="67"/>
  <c r="Y47" i="67"/>
  <c r="Y49" i="67"/>
  <c r="E75" i="67"/>
  <c r="E77" i="67"/>
  <c r="D47" i="67"/>
  <c r="D49" i="67"/>
  <c r="T22" i="67"/>
  <c r="T20" i="67"/>
  <c r="S77" i="67"/>
  <c r="S75" i="67"/>
  <c r="L47" i="67"/>
  <c r="L49" i="67"/>
  <c r="Z75" i="67"/>
  <c r="Z77" i="67"/>
  <c r="B22" i="67"/>
  <c r="B20" i="67"/>
  <c r="C77" i="67"/>
  <c r="C75" i="67"/>
  <c r="O22" i="67"/>
  <c r="O20" i="67"/>
  <c r="O77" i="67"/>
  <c r="O75" i="67"/>
  <c r="M75" i="67"/>
  <c r="M77" i="67"/>
  <c r="L22" i="67"/>
  <c r="L20" i="67"/>
  <c r="R75" i="67"/>
  <c r="R77" i="67"/>
  <c r="I47" i="67"/>
  <c r="I49" i="67"/>
  <c r="H47" i="67"/>
  <c r="H49" i="67"/>
  <c r="AA78" i="67"/>
  <c r="F39" i="67"/>
  <c r="K22" i="67"/>
  <c r="K20" i="67"/>
  <c r="Q47" i="67"/>
  <c r="Q49" i="67"/>
  <c r="G77" i="67"/>
  <c r="G75" i="67"/>
  <c r="O49" i="67"/>
  <c r="O47" i="67"/>
  <c r="D22" i="67"/>
  <c r="D20" i="67"/>
  <c r="N22" i="67"/>
  <c r="N20" i="67"/>
  <c r="C22" i="67"/>
  <c r="C20" i="67"/>
  <c r="J22" i="67"/>
  <c r="J20" i="67"/>
  <c r="F20" i="67"/>
  <c r="F22" i="67"/>
  <c r="W77" i="67"/>
  <c r="W75" i="67"/>
  <c r="G49" i="67"/>
  <c r="G47" i="67"/>
  <c r="P22" i="67"/>
  <c r="P20" i="67"/>
  <c r="I75" i="67"/>
  <c r="I77" i="67"/>
  <c r="T67" i="67"/>
  <c r="H77" i="67"/>
  <c r="H75" i="67"/>
  <c r="Q75" i="67"/>
  <c r="Q77" i="67"/>
  <c r="D67" i="67"/>
  <c r="B49" i="67"/>
  <c r="B47" i="67"/>
  <c r="Z49" i="67"/>
  <c r="Z47" i="67"/>
  <c r="W49" i="67"/>
  <c r="W47" i="67"/>
  <c r="X22" i="67"/>
  <c r="X20" i="67"/>
  <c r="H22" i="67"/>
  <c r="H20" i="67"/>
  <c r="J75" i="67"/>
  <c r="J77" i="67"/>
  <c r="Z22" i="67"/>
  <c r="Z20" i="67"/>
  <c r="P77" i="67"/>
  <c r="P75" i="67"/>
  <c r="W22" i="67"/>
  <c r="W20" i="67"/>
  <c r="G20" i="67"/>
  <c r="G22" i="67"/>
  <c r="Y75" i="67"/>
  <c r="Y77" i="67"/>
  <c r="V22" i="67"/>
  <c r="V20" i="67"/>
  <c r="U75" i="67"/>
  <c r="U77" i="67"/>
  <c r="S39" i="67"/>
  <c r="R20" i="67"/>
  <c r="R22" i="67"/>
  <c r="D43" i="64"/>
  <c r="C44" i="64" s="1"/>
  <c r="C134" i="45" s="1"/>
  <c r="D148" i="45" s="1"/>
  <c r="D42" i="64"/>
  <c r="B25" i="67" l="1"/>
  <c r="C48" i="14" s="1"/>
  <c r="B67" i="66"/>
  <c r="C47" i="67"/>
  <c r="B52" i="67" s="1"/>
  <c r="L75" i="67"/>
  <c r="B80" i="67" s="1"/>
  <c r="K47" i="67"/>
  <c r="X75" i="67"/>
  <c r="B27" i="67"/>
  <c r="I48" i="14" s="1"/>
  <c r="AA22" i="67"/>
  <c r="D77" i="67"/>
  <c r="D75" i="67"/>
  <c r="F49" i="67"/>
  <c r="F47" i="67"/>
  <c r="S49" i="67"/>
  <c r="S47" i="67"/>
  <c r="T77" i="67"/>
  <c r="T75" i="67"/>
  <c r="C25" i="14"/>
  <c r="J25" i="14"/>
  <c r="K25" i="14"/>
  <c r="L25" i="14"/>
  <c r="M25" i="14"/>
  <c r="N25" i="14"/>
  <c r="I25" i="14"/>
  <c r="E25" i="14"/>
  <c r="F25" i="14"/>
  <c r="G25" i="14"/>
  <c r="H25" i="14"/>
  <c r="D25" i="14"/>
  <c r="C49" i="14" l="1"/>
  <c r="AA49" i="67"/>
  <c r="B54" i="67"/>
  <c r="I49" i="14" s="1"/>
  <c r="B82" i="67"/>
  <c r="I50" i="14" s="1"/>
  <c r="AA77" i="67"/>
  <c r="C50" i="14"/>
  <c r="L34" i="14"/>
  <c r="Q34" i="14" s="1"/>
  <c r="I34" i="14"/>
  <c r="N34" i="14" s="1"/>
  <c r="H34" i="14"/>
  <c r="M34" i="14" s="1"/>
  <c r="F34" i="14"/>
  <c r="K34" i="14" s="1"/>
  <c r="P34" i="14" s="1"/>
  <c r="E34" i="14"/>
  <c r="J34" i="14" s="1"/>
  <c r="O34" i="14" s="1"/>
  <c r="M33" i="14"/>
  <c r="H33" i="14"/>
  <c r="C33" i="14"/>
  <c r="H39" i="63"/>
  <c r="C39" i="63"/>
  <c r="C36" i="63"/>
  <c r="F33" i="63"/>
  <c r="G33" i="63" s="1"/>
  <c r="H33" i="63" s="1"/>
  <c r="H40" i="63" s="1"/>
  <c r="C38" i="63"/>
  <c r="D38" i="63" s="1"/>
  <c r="E36" i="63"/>
  <c r="D36" i="63"/>
  <c r="C35" i="63"/>
  <c r="C34" i="63"/>
  <c r="D34" i="63" s="1"/>
  <c r="D35" i="63" l="1"/>
  <c r="D37" i="63" s="1"/>
  <c r="D40" i="63" s="1"/>
  <c r="H36" i="63"/>
  <c r="H38" i="63"/>
  <c r="C43" i="55"/>
  <c r="D43" i="55"/>
  <c r="E43" i="55"/>
  <c r="E73" i="55" s="1"/>
  <c r="F43" i="55"/>
  <c r="F73" i="55" s="1"/>
  <c r="G43" i="55"/>
  <c r="G73" i="55" s="1"/>
  <c r="H43" i="55"/>
  <c r="H73" i="55" s="1"/>
  <c r="I43" i="55"/>
  <c r="J43" i="55"/>
  <c r="J73" i="55" s="1"/>
  <c r="K43" i="55"/>
  <c r="K73" i="55" s="1"/>
  <c r="L43" i="55"/>
  <c r="L73" i="55" s="1"/>
  <c r="M43" i="55"/>
  <c r="M43" i="59" s="1"/>
  <c r="N43" i="55"/>
  <c r="N73" i="55" s="1"/>
  <c r="O43" i="55"/>
  <c r="O73" i="55" s="1"/>
  <c r="P43" i="55"/>
  <c r="Q43" i="55"/>
  <c r="R43" i="55"/>
  <c r="R73" i="55" s="1"/>
  <c r="S43" i="55"/>
  <c r="S43" i="59" s="1"/>
  <c r="T43" i="55"/>
  <c r="T73" i="55" s="1"/>
  <c r="U43" i="55"/>
  <c r="U73" i="55" s="1"/>
  <c r="V43" i="55"/>
  <c r="V73" i="55" s="1"/>
  <c r="W43" i="55"/>
  <c r="W73" i="55" s="1"/>
  <c r="X43" i="55"/>
  <c r="X73" i="55" s="1"/>
  <c r="Y43" i="55"/>
  <c r="Y73" i="55" s="1"/>
  <c r="Z43" i="55"/>
  <c r="Z73" i="55" s="1"/>
  <c r="C35" i="55"/>
  <c r="C65" i="55" s="1"/>
  <c r="D35" i="55"/>
  <c r="D35" i="59" s="1"/>
  <c r="E35" i="55"/>
  <c r="E65" i="55" s="1"/>
  <c r="F35" i="55"/>
  <c r="F35" i="59" s="1"/>
  <c r="G35" i="55"/>
  <c r="H35" i="55"/>
  <c r="H35" i="59" s="1"/>
  <c r="I35" i="55"/>
  <c r="I35" i="59" s="1"/>
  <c r="J35" i="55"/>
  <c r="J35" i="59" s="1"/>
  <c r="K35" i="55"/>
  <c r="K65" i="55" s="1"/>
  <c r="L35" i="55"/>
  <c r="L35" i="59" s="1"/>
  <c r="M35" i="55"/>
  <c r="M65" i="55" s="1"/>
  <c r="N35" i="55"/>
  <c r="O35" i="55"/>
  <c r="O35" i="59" s="1"/>
  <c r="P35" i="55"/>
  <c r="P65" i="55" s="1"/>
  <c r="Q35" i="55"/>
  <c r="R35" i="55"/>
  <c r="R35" i="59" s="1"/>
  <c r="S35" i="55"/>
  <c r="S65" i="55" s="1"/>
  <c r="T35" i="55"/>
  <c r="T35" i="59" s="1"/>
  <c r="U35" i="55"/>
  <c r="U65" i="55" s="1"/>
  <c r="V35" i="55"/>
  <c r="V35" i="59" s="1"/>
  <c r="W35" i="55"/>
  <c r="X35" i="55"/>
  <c r="X35" i="59" s="1"/>
  <c r="Y35" i="55"/>
  <c r="Y35" i="59" s="1"/>
  <c r="Z35" i="55"/>
  <c r="Z35" i="59" s="1"/>
  <c r="C36" i="55"/>
  <c r="C36" i="59" s="1"/>
  <c r="D36" i="55"/>
  <c r="D36" i="59" s="1"/>
  <c r="D36" i="58" s="1"/>
  <c r="D66" i="58" s="1"/>
  <c r="E36" i="55"/>
  <c r="E36" i="59" s="1"/>
  <c r="E66" i="59" s="1"/>
  <c r="F36" i="55"/>
  <c r="F36" i="59" s="1"/>
  <c r="G36" i="55"/>
  <c r="H36" i="55"/>
  <c r="H66" i="55" s="1"/>
  <c r="I36" i="55"/>
  <c r="I36" i="59" s="1"/>
  <c r="J36" i="55"/>
  <c r="J36" i="59" s="1"/>
  <c r="K36" i="55"/>
  <c r="K36" i="59" s="1"/>
  <c r="L36" i="55"/>
  <c r="L66" i="55" s="1"/>
  <c r="M36" i="55"/>
  <c r="N36" i="55"/>
  <c r="N36" i="59" s="1"/>
  <c r="O36" i="55"/>
  <c r="O36" i="59" s="1"/>
  <c r="P36" i="55"/>
  <c r="P66" i="55" s="1"/>
  <c r="Q36" i="55"/>
  <c r="Q36" i="59" s="1"/>
  <c r="R36" i="55"/>
  <c r="R36" i="59" s="1"/>
  <c r="S36" i="55"/>
  <c r="S36" i="59" s="1"/>
  <c r="T36" i="55"/>
  <c r="T36" i="59" s="1"/>
  <c r="T36" i="58" s="1"/>
  <c r="T66" i="58" s="1"/>
  <c r="U36" i="55"/>
  <c r="U36" i="59" s="1"/>
  <c r="U66" i="59" s="1"/>
  <c r="V36" i="55"/>
  <c r="V36" i="59" s="1"/>
  <c r="W36" i="55"/>
  <c r="W36" i="59" s="1"/>
  <c r="X36" i="55"/>
  <c r="X66" i="55" s="1"/>
  <c r="Y36" i="55"/>
  <c r="Y36" i="59" s="1"/>
  <c r="Z36" i="55"/>
  <c r="Z36" i="59" s="1"/>
  <c r="B73" i="55"/>
  <c r="B35" i="59"/>
  <c r="B35" i="58" s="1"/>
  <c r="C43" i="59"/>
  <c r="D43" i="59"/>
  <c r="D73" i="59" s="1"/>
  <c r="E43" i="59"/>
  <c r="F43" i="59"/>
  <c r="H43" i="59"/>
  <c r="I43" i="59"/>
  <c r="J43" i="59"/>
  <c r="K43" i="59"/>
  <c r="L43" i="59"/>
  <c r="L73" i="59" s="1"/>
  <c r="N43" i="59"/>
  <c r="O43" i="59"/>
  <c r="P43" i="59"/>
  <c r="Q43" i="59"/>
  <c r="R43" i="59"/>
  <c r="T43" i="59"/>
  <c r="U43" i="59"/>
  <c r="V43" i="59"/>
  <c r="W43" i="59"/>
  <c r="X43" i="59"/>
  <c r="Z43" i="59"/>
  <c r="T73" i="59"/>
  <c r="B36" i="59"/>
  <c r="B36" i="58" s="1"/>
  <c r="B66" i="58" s="1"/>
  <c r="D73" i="55"/>
  <c r="I73" i="55"/>
  <c r="P73" i="55"/>
  <c r="Q73" i="55"/>
  <c r="F65" i="55"/>
  <c r="J65" i="55"/>
  <c r="N65" i="55"/>
  <c r="R65" i="55"/>
  <c r="V65" i="55"/>
  <c r="Z65" i="55"/>
  <c r="C66" i="55"/>
  <c r="O66" i="55"/>
  <c r="S66" i="55"/>
  <c r="B66" i="55"/>
  <c r="B65" i="55"/>
  <c r="A66" i="55"/>
  <c r="A43" i="55"/>
  <c r="A73" i="55" s="1"/>
  <c r="A36" i="55"/>
  <c r="A36" i="59" s="1"/>
  <c r="A66" i="59" s="1"/>
  <c r="A35" i="55"/>
  <c r="A65" i="55" s="1"/>
  <c r="C112" i="61"/>
  <c r="D112" i="61" s="1"/>
  <c r="D129" i="61" s="1"/>
  <c r="E129" i="61" s="1"/>
  <c r="F129" i="61" s="1"/>
  <c r="G129" i="61" s="1"/>
  <c r="H129" i="61" s="1"/>
  <c r="I129" i="61" s="1"/>
  <c r="J129" i="61" s="1"/>
  <c r="K129" i="61" s="1"/>
  <c r="L129" i="61" s="1"/>
  <c r="M129" i="61" s="1"/>
  <c r="N129" i="61" s="1"/>
  <c r="O129" i="61" s="1"/>
  <c r="P129" i="61" s="1"/>
  <c r="Q129" i="61" s="1"/>
  <c r="R129" i="61" s="1"/>
  <c r="S129" i="61" s="1"/>
  <c r="T129" i="61" s="1"/>
  <c r="U129" i="61" s="1"/>
  <c r="V129" i="61" s="1"/>
  <c r="W129" i="61" s="1"/>
  <c r="X129" i="61" s="1"/>
  <c r="Y129" i="61" s="1"/>
  <c r="Z129" i="61" s="1"/>
  <c r="AA129" i="61" s="1"/>
  <c r="AB129" i="61" s="1"/>
  <c r="AC129" i="61" s="1"/>
  <c r="C113" i="61"/>
  <c r="D113" i="61" s="1"/>
  <c r="L110" i="61"/>
  <c r="C129" i="61"/>
  <c r="B129" i="61"/>
  <c r="C128" i="61"/>
  <c r="B128" i="61"/>
  <c r="C127" i="61"/>
  <c r="B127" i="61"/>
  <c r="V110" i="61"/>
  <c r="Q110" i="61"/>
  <c r="C89" i="61"/>
  <c r="C110" i="61" s="1"/>
  <c r="F52" i="61"/>
  <c r="M110" i="61" s="1"/>
  <c r="E52" i="61"/>
  <c r="O57" i="61" s="1"/>
  <c r="D52" i="61"/>
  <c r="Z57" i="61" s="1"/>
  <c r="F51" i="61"/>
  <c r="V56" i="61" s="1"/>
  <c r="E51" i="61"/>
  <c r="R56" i="61" s="1"/>
  <c r="D51" i="61"/>
  <c r="K56" i="61" s="1"/>
  <c r="C46" i="61"/>
  <c r="D42" i="61"/>
  <c r="D39" i="61"/>
  <c r="D32" i="61"/>
  <c r="D33" i="61" s="1"/>
  <c r="AC16" i="61"/>
  <c r="AB8" i="61"/>
  <c r="AB16" i="61" s="1"/>
  <c r="AA8" i="61"/>
  <c r="AA16" i="61" s="1"/>
  <c r="Z8" i="61"/>
  <c r="Z16" i="61" s="1"/>
  <c r="Y8" i="61"/>
  <c r="Y16" i="61" s="1"/>
  <c r="Y32" i="61" s="1"/>
  <c r="Y41" i="61" s="1"/>
  <c r="X8" i="61"/>
  <c r="X16" i="61" s="1"/>
  <c r="W8" i="61"/>
  <c r="W16" i="61" s="1"/>
  <c r="V8" i="61"/>
  <c r="V16" i="61" s="1"/>
  <c r="U8" i="61"/>
  <c r="U16" i="61" s="1"/>
  <c r="U32" i="61" s="1"/>
  <c r="U41" i="61" s="1"/>
  <c r="T8" i="61"/>
  <c r="T16" i="61" s="1"/>
  <c r="S8" i="61"/>
  <c r="S16" i="61" s="1"/>
  <c r="R8" i="61"/>
  <c r="R16" i="61" s="1"/>
  <c r="Q8" i="61"/>
  <c r="Q16" i="61" s="1"/>
  <c r="Q32" i="61" s="1"/>
  <c r="Q41" i="61" s="1"/>
  <c r="P8" i="61"/>
  <c r="P16" i="61" s="1"/>
  <c r="O8" i="61"/>
  <c r="O16" i="61" s="1"/>
  <c r="N8" i="61"/>
  <c r="N16" i="61" s="1"/>
  <c r="M8" i="61"/>
  <c r="M16" i="61" s="1"/>
  <c r="M32" i="61" s="1"/>
  <c r="M41" i="61" s="1"/>
  <c r="L8" i="61"/>
  <c r="L16" i="61" s="1"/>
  <c r="K8" i="61"/>
  <c r="K16" i="61" s="1"/>
  <c r="J8" i="61"/>
  <c r="J16" i="61" s="1"/>
  <c r="I8" i="61"/>
  <c r="I16" i="61" s="1"/>
  <c r="I32" i="61" s="1"/>
  <c r="I41" i="61" s="1"/>
  <c r="H8" i="61"/>
  <c r="H16" i="61" s="1"/>
  <c r="G8" i="61"/>
  <c r="G16" i="61" s="1"/>
  <c r="F8" i="61"/>
  <c r="F16" i="61" s="1"/>
  <c r="E8" i="61"/>
  <c r="E16" i="61" s="1"/>
  <c r="D8" i="61"/>
  <c r="D16" i="61" s="1"/>
  <c r="AB7" i="61"/>
  <c r="AA7" i="61"/>
  <c r="Z7" i="61"/>
  <c r="Y7" i="61"/>
  <c r="X7" i="61"/>
  <c r="W7" i="61"/>
  <c r="V7" i="61"/>
  <c r="U7" i="61"/>
  <c r="T7" i="61"/>
  <c r="S7" i="61"/>
  <c r="R7" i="61"/>
  <c r="Q7" i="61"/>
  <c r="P7" i="61"/>
  <c r="O7" i="61"/>
  <c r="N7" i="61"/>
  <c r="M7" i="61"/>
  <c r="L7" i="61"/>
  <c r="K7" i="61"/>
  <c r="J7" i="61"/>
  <c r="I7" i="61"/>
  <c r="H7" i="61"/>
  <c r="G7" i="61"/>
  <c r="F7" i="61"/>
  <c r="E7" i="61"/>
  <c r="D7" i="61"/>
  <c r="AB6" i="61"/>
  <c r="AA6" i="61"/>
  <c r="Z6" i="61"/>
  <c r="Z39" i="61" s="1"/>
  <c r="Y6" i="61"/>
  <c r="X6" i="61"/>
  <c r="W6" i="61"/>
  <c r="V6" i="61"/>
  <c r="V39" i="61" s="1"/>
  <c r="U6" i="61"/>
  <c r="T6" i="61"/>
  <c r="S6" i="61"/>
  <c r="R6" i="61"/>
  <c r="R30" i="61" s="1"/>
  <c r="Q6" i="61"/>
  <c r="P6" i="61"/>
  <c r="O6" i="61"/>
  <c r="N6" i="61"/>
  <c r="N39" i="61" s="1"/>
  <c r="M6" i="61"/>
  <c r="L6" i="61"/>
  <c r="K6" i="61"/>
  <c r="J6" i="61"/>
  <c r="J39" i="61" s="1"/>
  <c r="I6" i="61"/>
  <c r="H6" i="61"/>
  <c r="G6" i="61"/>
  <c r="F6" i="61"/>
  <c r="F39" i="61" s="1"/>
  <c r="E6" i="61"/>
  <c r="D6" i="61"/>
  <c r="D30" i="61" s="1"/>
  <c r="A79" i="59"/>
  <c r="A78" i="59"/>
  <c r="A76" i="59"/>
  <c r="A59" i="59"/>
  <c r="A49" i="59"/>
  <c r="A48" i="59"/>
  <c r="A46" i="59"/>
  <c r="A42" i="59"/>
  <c r="A72" i="59" s="1"/>
  <c r="A41" i="59"/>
  <c r="A71" i="59" s="1"/>
  <c r="A40" i="59"/>
  <c r="A70" i="59" s="1"/>
  <c r="A29" i="59"/>
  <c r="A79" i="58"/>
  <c r="A78" i="58"/>
  <c r="A76" i="58"/>
  <c r="A59" i="58"/>
  <c r="A49" i="58"/>
  <c r="A48" i="58"/>
  <c r="A46" i="58"/>
  <c r="A42" i="58"/>
  <c r="A72" i="58" s="1"/>
  <c r="A41" i="58"/>
  <c r="A71" i="58" s="1"/>
  <c r="A40" i="58"/>
  <c r="A70" i="58" s="1"/>
  <c r="A29" i="58"/>
  <c r="A41" i="55"/>
  <c r="A71" i="55" s="1"/>
  <c r="A42" i="55"/>
  <c r="A72" i="55" s="1"/>
  <c r="A40" i="55"/>
  <c r="A70" i="55" s="1"/>
  <c r="A79" i="55"/>
  <c r="A78" i="55"/>
  <c r="A76" i="55"/>
  <c r="A59" i="55"/>
  <c r="A49" i="55"/>
  <c r="A48" i="55"/>
  <c r="A46" i="55"/>
  <c r="A29" i="55"/>
  <c r="A6" i="54"/>
  <c r="B143" i="36"/>
  <c r="B141" i="36"/>
  <c r="A36" i="58" l="1"/>
  <c r="A66" i="58" s="1"/>
  <c r="Y43" i="59"/>
  <c r="Y73" i="59" s="1"/>
  <c r="G43" i="59"/>
  <c r="M36" i="59"/>
  <c r="M36" i="58" s="1"/>
  <c r="M66" i="58" s="1"/>
  <c r="M66" i="55"/>
  <c r="G36" i="59"/>
  <c r="G66" i="55"/>
  <c r="K66" i="55"/>
  <c r="A35" i="59"/>
  <c r="W66" i="55"/>
  <c r="I66" i="55"/>
  <c r="Z66" i="55"/>
  <c r="N66" i="55"/>
  <c r="R66" i="55"/>
  <c r="V66" i="55"/>
  <c r="Q66" i="55"/>
  <c r="F66" i="55"/>
  <c r="U66" i="55"/>
  <c r="J66" i="55"/>
  <c r="E66" i="55"/>
  <c r="Y66" i="55"/>
  <c r="P36" i="59"/>
  <c r="P36" i="58" s="1"/>
  <c r="P66" i="58" s="1"/>
  <c r="A43" i="59"/>
  <c r="X43" i="58"/>
  <c r="P43" i="58"/>
  <c r="H43" i="58"/>
  <c r="P73" i="59"/>
  <c r="S73" i="59"/>
  <c r="O43" i="58"/>
  <c r="G43" i="58"/>
  <c r="Z73" i="59"/>
  <c r="V73" i="59"/>
  <c r="R73" i="59"/>
  <c r="N73" i="59"/>
  <c r="J73" i="59"/>
  <c r="F73" i="59"/>
  <c r="T43" i="58"/>
  <c r="L43" i="58"/>
  <c r="D43" i="58"/>
  <c r="W43" i="58"/>
  <c r="K43" i="58"/>
  <c r="C43" i="58"/>
  <c r="X73" i="59"/>
  <c r="H73" i="59"/>
  <c r="U73" i="59"/>
  <c r="Q73" i="59"/>
  <c r="M43" i="58"/>
  <c r="I43" i="58"/>
  <c r="E73" i="59"/>
  <c r="K73" i="59"/>
  <c r="L36" i="59"/>
  <c r="L36" i="58" s="1"/>
  <c r="L66" i="58" s="1"/>
  <c r="X36" i="59"/>
  <c r="X36" i="58" s="1"/>
  <c r="X66" i="58" s="1"/>
  <c r="H36" i="59"/>
  <c r="H36" i="58" s="1"/>
  <c r="H66" i="58" s="1"/>
  <c r="T66" i="55"/>
  <c r="D66" i="55"/>
  <c r="D65" i="55"/>
  <c r="L65" i="55"/>
  <c r="T65" i="55"/>
  <c r="P35" i="59"/>
  <c r="P35" i="58" s="1"/>
  <c r="X65" i="55"/>
  <c r="H65" i="55"/>
  <c r="U35" i="59"/>
  <c r="U35" i="58" s="1"/>
  <c r="U65" i="58" s="1"/>
  <c r="M35" i="59"/>
  <c r="M65" i="59" s="1"/>
  <c r="E35" i="59"/>
  <c r="E65" i="59" s="1"/>
  <c r="S35" i="59"/>
  <c r="S35" i="58" s="1"/>
  <c r="K35" i="59"/>
  <c r="K35" i="58" s="1"/>
  <c r="C35" i="59"/>
  <c r="C65" i="59" s="1"/>
  <c r="C41" i="63"/>
  <c r="C105" i="61" s="1"/>
  <c r="D111" i="61" s="1"/>
  <c r="D128" i="61" s="1"/>
  <c r="E128" i="61" s="1"/>
  <c r="S73" i="55"/>
  <c r="M73" i="55"/>
  <c r="C73" i="55"/>
  <c r="W73" i="59"/>
  <c r="O73" i="59"/>
  <c r="I73" i="59"/>
  <c r="C73" i="59"/>
  <c r="S43" i="58"/>
  <c r="M73" i="59"/>
  <c r="G73" i="59"/>
  <c r="Z43" i="58"/>
  <c r="V43" i="58"/>
  <c r="R43" i="58"/>
  <c r="N43" i="58"/>
  <c r="J43" i="58"/>
  <c r="F43" i="58"/>
  <c r="U43" i="58"/>
  <c r="Q43" i="58"/>
  <c r="E43" i="58"/>
  <c r="Y66" i="59"/>
  <c r="Y36" i="58"/>
  <c r="Y66" i="58" s="1"/>
  <c r="Q36" i="58"/>
  <c r="Q66" i="58" s="1"/>
  <c r="Q66" i="59"/>
  <c r="I66" i="59"/>
  <c r="I36" i="58"/>
  <c r="I66" i="58" s="1"/>
  <c r="M66" i="59"/>
  <c r="U36" i="58"/>
  <c r="U66" i="58" s="1"/>
  <c r="E36" i="58"/>
  <c r="E66" i="58" s="1"/>
  <c r="Y35" i="58"/>
  <c r="Y65" i="58" s="1"/>
  <c r="Y65" i="59"/>
  <c r="I35" i="58"/>
  <c r="I65" i="58" s="1"/>
  <c r="I65" i="59"/>
  <c r="Y65" i="55"/>
  <c r="Q65" i="55"/>
  <c r="I65" i="55"/>
  <c r="W35" i="59"/>
  <c r="W35" i="58" s="1"/>
  <c r="Q35" i="59"/>
  <c r="G35" i="59"/>
  <c r="G35" i="58" s="1"/>
  <c r="E35" i="58"/>
  <c r="W65" i="55"/>
  <c r="O65" i="55"/>
  <c r="G65" i="55"/>
  <c r="O36" i="58"/>
  <c r="O66" i="58" s="1"/>
  <c r="O66" i="59"/>
  <c r="V36" i="58"/>
  <c r="V66" i="58" s="1"/>
  <c r="V66" i="59"/>
  <c r="N36" i="58"/>
  <c r="N66" i="58" s="1"/>
  <c r="N66" i="59"/>
  <c r="J36" i="58"/>
  <c r="J66" i="58" s="1"/>
  <c r="J66" i="59"/>
  <c r="Z35" i="58"/>
  <c r="Z65" i="59"/>
  <c r="V35" i="58"/>
  <c r="V65" i="59"/>
  <c r="R35" i="58"/>
  <c r="R65" i="59"/>
  <c r="F35" i="58"/>
  <c r="F65" i="59"/>
  <c r="S36" i="58"/>
  <c r="S66" i="58" s="1"/>
  <c r="S66" i="59"/>
  <c r="C36" i="58"/>
  <c r="C66" i="58" s="1"/>
  <c r="C66" i="59"/>
  <c r="E65" i="58"/>
  <c r="K36" i="58"/>
  <c r="K66" i="58" s="1"/>
  <c r="K66" i="59"/>
  <c r="G65" i="59"/>
  <c r="Z36" i="58"/>
  <c r="Z66" i="58" s="1"/>
  <c r="Z66" i="59"/>
  <c r="R36" i="58"/>
  <c r="R66" i="58" s="1"/>
  <c r="R66" i="59"/>
  <c r="F36" i="58"/>
  <c r="F66" i="58" s="1"/>
  <c r="F66" i="59"/>
  <c r="N35" i="59"/>
  <c r="J35" i="58"/>
  <c r="J65" i="59"/>
  <c r="W36" i="58"/>
  <c r="W66" i="58" s="1"/>
  <c r="W66" i="59"/>
  <c r="G36" i="58"/>
  <c r="G66" i="58" s="1"/>
  <c r="G66" i="59"/>
  <c r="O35" i="58"/>
  <c r="O65" i="59"/>
  <c r="X66" i="59"/>
  <c r="T66" i="59"/>
  <c r="P66" i="59"/>
  <c r="L66" i="59"/>
  <c r="D66" i="59"/>
  <c r="X65" i="59"/>
  <c r="T65" i="59"/>
  <c r="L65" i="59"/>
  <c r="H65" i="59"/>
  <c r="D65" i="59"/>
  <c r="X35" i="58"/>
  <c r="T35" i="58"/>
  <c r="L35" i="58"/>
  <c r="H35" i="58"/>
  <c r="D35" i="58"/>
  <c r="B43" i="59"/>
  <c r="B66" i="59"/>
  <c r="B65" i="58"/>
  <c r="B65" i="59"/>
  <c r="D110" i="61"/>
  <c r="D127" i="61" s="1"/>
  <c r="E127" i="61" s="1"/>
  <c r="R39" i="61"/>
  <c r="G57" i="61"/>
  <c r="V30" i="61"/>
  <c r="S56" i="61"/>
  <c r="S57" i="61"/>
  <c r="AA56" i="61"/>
  <c r="W57" i="61"/>
  <c r="AD7" i="61"/>
  <c r="G56" i="61"/>
  <c r="AA57" i="61"/>
  <c r="F30" i="61"/>
  <c r="D43" i="61"/>
  <c r="E38" i="61" s="1"/>
  <c r="E40" i="61" s="1"/>
  <c r="O56" i="61"/>
  <c r="K57" i="61"/>
  <c r="M111" i="61"/>
  <c r="N111" i="61" s="1"/>
  <c r="AA17" i="61"/>
  <c r="G32" i="61"/>
  <c r="G41" i="61" s="1"/>
  <c r="K32" i="61"/>
  <c r="K41" i="61" s="1"/>
  <c r="O32" i="61"/>
  <c r="O41" i="61" s="1"/>
  <c r="S32" i="61"/>
  <c r="S41" i="61" s="1"/>
  <c r="W32" i="61"/>
  <c r="W41" i="61" s="1"/>
  <c r="AA32" i="61"/>
  <c r="AA41" i="61" s="1"/>
  <c r="Z17" i="61"/>
  <c r="F32" i="61"/>
  <c r="F41" i="61" s="1"/>
  <c r="R32" i="61"/>
  <c r="R41" i="61" s="1"/>
  <c r="Z32" i="61"/>
  <c r="Z41" i="61" s="1"/>
  <c r="C13" i="61"/>
  <c r="AD16" i="61"/>
  <c r="H32" i="61"/>
  <c r="H41" i="61" s="1"/>
  <c r="AB17" i="61"/>
  <c r="L32" i="61"/>
  <c r="L41" i="61" s="1"/>
  <c r="P32" i="61"/>
  <c r="P41" i="61" s="1"/>
  <c r="T32" i="61"/>
  <c r="T41" i="61" s="1"/>
  <c r="X32" i="61"/>
  <c r="X41" i="61" s="1"/>
  <c r="AB32" i="61"/>
  <c r="AB41" i="61" s="1"/>
  <c r="J32" i="61"/>
  <c r="J41" i="61" s="1"/>
  <c r="N32" i="61"/>
  <c r="N41" i="61" s="1"/>
  <c r="V32" i="61"/>
  <c r="V41" i="61" s="1"/>
  <c r="E32" i="61"/>
  <c r="E41" i="61" s="1"/>
  <c r="H127" i="61"/>
  <c r="K127" i="61" s="1"/>
  <c r="F127" i="61"/>
  <c r="L39" i="61"/>
  <c r="L30" i="61"/>
  <c r="X39" i="61"/>
  <c r="X30" i="61"/>
  <c r="E39" i="61"/>
  <c r="AD39" i="61" s="1"/>
  <c r="E30" i="61"/>
  <c r="I39" i="61"/>
  <c r="I30" i="61"/>
  <c r="M39" i="61"/>
  <c r="M30" i="61"/>
  <c r="Q39" i="61"/>
  <c r="Q30" i="61"/>
  <c r="U39" i="61"/>
  <c r="U30" i="61"/>
  <c r="Y39" i="61"/>
  <c r="Y30" i="61"/>
  <c r="AD6" i="61"/>
  <c r="AD8" i="61"/>
  <c r="J30" i="61"/>
  <c r="Z30" i="61"/>
  <c r="H39" i="61"/>
  <c r="H30" i="61"/>
  <c r="T39" i="61"/>
  <c r="T30" i="61"/>
  <c r="AB39" i="61"/>
  <c r="AB30" i="61"/>
  <c r="E18" i="61"/>
  <c r="F18" i="61" s="1"/>
  <c r="G18" i="61" s="1"/>
  <c r="H18" i="61" s="1"/>
  <c r="I18" i="61" s="1"/>
  <c r="J18" i="61" s="1"/>
  <c r="K18" i="61" s="1"/>
  <c r="L18" i="61" s="1"/>
  <c r="M18" i="61" s="1"/>
  <c r="N18" i="61" s="1"/>
  <c r="O18" i="61" s="1"/>
  <c r="P18" i="61" s="1"/>
  <c r="Q18" i="61" s="1"/>
  <c r="R18" i="61" s="1"/>
  <c r="S18" i="61" s="1"/>
  <c r="T18" i="61" s="1"/>
  <c r="U18" i="61" s="1"/>
  <c r="V18" i="61" s="1"/>
  <c r="W18" i="61" s="1"/>
  <c r="X18" i="61" s="1"/>
  <c r="Y17" i="61"/>
  <c r="AC17" i="61"/>
  <c r="N30" i="61"/>
  <c r="D34" i="61"/>
  <c r="E29" i="61" s="1"/>
  <c r="P39" i="61"/>
  <c r="P30" i="61"/>
  <c r="G39" i="61"/>
  <c r="G30" i="61"/>
  <c r="K39" i="61"/>
  <c r="K30" i="61"/>
  <c r="O39" i="61"/>
  <c r="O30" i="61"/>
  <c r="S39" i="61"/>
  <c r="S30" i="61"/>
  <c r="W39" i="61"/>
  <c r="W30" i="61"/>
  <c r="AA39" i="61"/>
  <c r="AA30" i="61"/>
  <c r="W56" i="61"/>
  <c r="Z56" i="61"/>
  <c r="N56" i="61"/>
  <c r="Q56" i="61"/>
  <c r="E56" i="61"/>
  <c r="T56" i="61"/>
  <c r="H56" i="61"/>
  <c r="R57" i="61"/>
  <c r="F57" i="61"/>
  <c r="U57" i="61"/>
  <c r="I57" i="61"/>
  <c r="X57" i="61"/>
  <c r="L57" i="61"/>
  <c r="L56" i="61"/>
  <c r="P56" i="61"/>
  <c r="X56" i="61"/>
  <c r="AB56" i="61"/>
  <c r="H57" i="61"/>
  <c r="P57" i="61"/>
  <c r="T57" i="61"/>
  <c r="AB57" i="61"/>
  <c r="N110" i="61"/>
  <c r="I56" i="61"/>
  <c r="M56" i="61"/>
  <c r="U56" i="61"/>
  <c r="Y56" i="61"/>
  <c r="E57" i="61"/>
  <c r="M57" i="61"/>
  <c r="Q57" i="61"/>
  <c r="Y57" i="61"/>
  <c r="F56" i="61"/>
  <c r="J56" i="61"/>
  <c r="J57" i="61"/>
  <c r="N57" i="61"/>
  <c r="V57" i="61"/>
  <c r="Y43" i="58" l="1"/>
  <c r="Y73" i="58" s="1"/>
  <c r="A65" i="59"/>
  <c r="A35" i="58"/>
  <c r="A65" i="58" s="1"/>
  <c r="H66" i="59"/>
  <c r="S65" i="59"/>
  <c r="A73" i="59"/>
  <c r="A43" i="58"/>
  <c r="A73" i="58" s="1"/>
  <c r="C73" i="58"/>
  <c r="L73" i="58"/>
  <c r="V73" i="58"/>
  <c r="P73" i="58"/>
  <c r="E73" i="58"/>
  <c r="J73" i="58"/>
  <c r="Z73" i="58"/>
  <c r="S73" i="58"/>
  <c r="M73" i="58"/>
  <c r="K73" i="58"/>
  <c r="D73" i="58"/>
  <c r="T73" i="58"/>
  <c r="O73" i="58"/>
  <c r="U73" i="58"/>
  <c r="R73" i="58"/>
  <c r="I73" i="58"/>
  <c r="W73" i="58"/>
  <c r="G73" i="58"/>
  <c r="F73" i="58"/>
  <c r="Q73" i="58"/>
  <c r="N73" i="58"/>
  <c r="H73" i="58"/>
  <c r="X73" i="58"/>
  <c r="K65" i="59"/>
  <c r="B6" i="55"/>
  <c r="P65" i="59"/>
  <c r="M35" i="58"/>
  <c r="M65" i="58" s="1"/>
  <c r="C35" i="58"/>
  <c r="C65" i="58" s="1"/>
  <c r="U65" i="59"/>
  <c r="F128" i="61"/>
  <c r="C6" i="55"/>
  <c r="W65" i="59"/>
  <c r="Q35" i="58"/>
  <c r="Q65" i="59"/>
  <c r="D65" i="58"/>
  <c r="T65" i="58"/>
  <c r="F65" i="58"/>
  <c r="P65" i="58"/>
  <c r="R65" i="58"/>
  <c r="W65" i="58"/>
  <c r="H65" i="58"/>
  <c r="X65" i="58"/>
  <c r="J65" i="58"/>
  <c r="K65" i="58"/>
  <c r="Z65" i="58"/>
  <c r="N35" i="58"/>
  <c r="N65" i="59"/>
  <c r="S65" i="58"/>
  <c r="L65" i="58"/>
  <c r="O65" i="58"/>
  <c r="G65" i="58"/>
  <c r="V65" i="58"/>
  <c r="B73" i="59"/>
  <c r="B43" i="58"/>
  <c r="M112" i="61"/>
  <c r="N112" i="61" s="1"/>
  <c r="Y18" i="61"/>
  <c r="Z18" i="61" s="1"/>
  <c r="AA18" i="61" s="1"/>
  <c r="AB18" i="61" s="1"/>
  <c r="AC18" i="61" s="1"/>
  <c r="E42" i="61"/>
  <c r="E43" i="61" s="1"/>
  <c r="F38" i="61" s="1"/>
  <c r="F40" i="61" s="1"/>
  <c r="AD30" i="61"/>
  <c r="AD32" i="61"/>
  <c r="E31" i="61"/>
  <c r="I127" i="61"/>
  <c r="J127" i="61" s="1"/>
  <c r="G127" i="61"/>
  <c r="AD41" i="61"/>
  <c r="AD17" i="61"/>
  <c r="L127" i="61"/>
  <c r="N127" i="61"/>
  <c r="Q127" i="61" s="1"/>
  <c r="T127" i="61" s="1"/>
  <c r="W127" i="61" s="1"/>
  <c r="Z127" i="61" s="1"/>
  <c r="B63" i="55" l="1"/>
  <c r="B33" i="55"/>
  <c r="B6" i="59"/>
  <c r="B6" i="58"/>
  <c r="C6" i="58"/>
  <c r="C6" i="59"/>
  <c r="G128" i="61"/>
  <c r="D6" i="55"/>
  <c r="C33" i="55"/>
  <c r="C63" i="55"/>
  <c r="Q65" i="58"/>
  <c r="N65" i="58"/>
  <c r="B73" i="58"/>
  <c r="E33" i="61"/>
  <c r="F42" i="61"/>
  <c r="M127" i="61"/>
  <c r="O127" i="61"/>
  <c r="B63" i="58" l="1"/>
  <c r="B33" i="59"/>
  <c r="B33" i="58"/>
  <c r="B63" i="59"/>
  <c r="C33" i="58"/>
  <c r="C63" i="58"/>
  <c r="D6" i="58"/>
  <c r="D6" i="59"/>
  <c r="C33" i="59"/>
  <c r="C63" i="59"/>
  <c r="D63" i="55"/>
  <c r="D33" i="55"/>
  <c r="H128" i="61"/>
  <c r="E6" i="55"/>
  <c r="F43" i="61"/>
  <c r="G38" i="61" s="1"/>
  <c r="E34" i="61"/>
  <c r="F29" i="61" s="1"/>
  <c r="P127" i="61"/>
  <c r="R127" i="61"/>
  <c r="D33" i="58" l="1"/>
  <c r="D63" i="58"/>
  <c r="D33" i="59"/>
  <c r="D63" i="59"/>
  <c r="E63" i="55"/>
  <c r="E33" i="55"/>
  <c r="I128" i="61"/>
  <c r="F6" i="55"/>
  <c r="U127" i="61"/>
  <c r="S127" i="61"/>
  <c r="F31" i="61"/>
  <c r="G40" i="61"/>
  <c r="F6" i="59" l="1"/>
  <c r="F6" i="58"/>
  <c r="F63" i="55"/>
  <c r="F33" i="55"/>
  <c r="J128" i="61"/>
  <c r="G6" i="55"/>
  <c r="X127" i="61"/>
  <c r="V127" i="61"/>
  <c r="G42" i="61"/>
  <c r="F33" i="61"/>
  <c r="G6" i="58" l="1"/>
  <c r="G6" i="59"/>
  <c r="F63" i="58"/>
  <c r="F33" i="58"/>
  <c r="F33" i="59"/>
  <c r="F63" i="59"/>
  <c r="G33" i="55"/>
  <c r="G63" i="55"/>
  <c r="K128" i="61"/>
  <c r="H6" i="55"/>
  <c r="G43" i="61"/>
  <c r="H38" i="61" s="1"/>
  <c r="Y127" i="61"/>
  <c r="AA127" i="61"/>
  <c r="AB127" i="61" s="1"/>
  <c r="AC127" i="61" s="1"/>
  <c r="F34" i="61"/>
  <c r="G29" i="61" s="1"/>
  <c r="G33" i="59" l="1"/>
  <c r="G63" i="59"/>
  <c r="G33" i="58"/>
  <c r="G63" i="58"/>
  <c r="L128" i="61"/>
  <c r="I6" i="55"/>
  <c r="H33" i="55"/>
  <c r="H63" i="55"/>
  <c r="H40" i="61"/>
  <c r="G31" i="61"/>
  <c r="I6" i="58" l="1"/>
  <c r="I6" i="59"/>
  <c r="M128" i="61"/>
  <c r="J6" i="55"/>
  <c r="I63" i="55"/>
  <c r="I33" i="55"/>
  <c r="G33" i="61"/>
  <c r="H42" i="61"/>
  <c r="I33" i="58" l="1"/>
  <c r="I63" i="58"/>
  <c r="J6" i="59"/>
  <c r="J6" i="58"/>
  <c r="I63" i="59"/>
  <c r="I33" i="59"/>
  <c r="N128" i="61"/>
  <c r="K6" i="55"/>
  <c r="J63" i="55"/>
  <c r="J33" i="55"/>
  <c r="G34" i="61"/>
  <c r="H29" i="61" s="1"/>
  <c r="H43" i="61"/>
  <c r="I38" i="61" s="1"/>
  <c r="J63" i="58" l="1"/>
  <c r="J33" i="58"/>
  <c r="J33" i="59"/>
  <c r="J63" i="59"/>
  <c r="O128" i="61"/>
  <c r="L6" i="55"/>
  <c r="K63" i="55"/>
  <c r="K33" i="55"/>
  <c r="I40" i="61"/>
  <c r="H31" i="61"/>
  <c r="L6" i="59" l="1"/>
  <c r="L6" i="58"/>
  <c r="L33" i="55"/>
  <c r="L63" i="55"/>
  <c r="P128" i="61"/>
  <c r="M6" i="55"/>
  <c r="I42" i="61"/>
  <c r="I43" i="61" s="1"/>
  <c r="J38" i="61" s="1"/>
  <c r="H33" i="61"/>
  <c r="H34" i="61" s="1"/>
  <c r="I29" i="61" s="1"/>
  <c r="L33" i="58" l="1"/>
  <c r="L63" i="58"/>
  <c r="L63" i="59"/>
  <c r="L33" i="59"/>
  <c r="M6" i="58"/>
  <c r="M6" i="59"/>
  <c r="Q128" i="61"/>
  <c r="N6" i="55"/>
  <c r="M63" i="55"/>
  <c r="M33" i="55"/>
  <c r="I31" i="61"/>
  <c r="J40" i="61"/>
  <c r="M33" i="58" l="1"/>
  <c r="M63" i="58"/>
  <c r="M63" i="59"/>
  <c r="M33" i="59"/>
  <c r="N63" i="55"/>
  <c r="N33" i="55"/>
  <c r="R128" i="61"/>
  <c r="O6" i="55"/>
  <c r="I33" i="61"/>
  <c r="I34" i="61" s="1"/>
  <c r="J29" i="61" s="1"/>
  <c r="J42" i="61"/>
  <c r="J43" i="61" s="1"/>
  <c r="K38" i="61" s="1"/>
  <c r="O6" i="58" l="1"/>
  <c r="O6" i="59"/>
  <c r="S128" i="61"/>
  <c r="P6" i="55"/>
  <c r="O33" i="55"/>
  <c r="O63" i="55"/>
  <c r="K40" i="61"/>
  <c r="K42" i="61" s="1"/>
  <c r="K43" i="61" s="1"/>
  <c r="L38" i="61" s="1"/>
  <c r="J31" i="61"/>
  <c r="J33" i="61" s="1"/>
  <c r="J34" i="61" s="1"/>
  <c r="K29" i="61" s="1"/>
  <c r="P6" i="58" l="1"/>
  <c r="P6" i="59"/>
  <c r="O33" i="59"/>
  <c r="O63" i="59"/>
  <c r="O33" i="58"/>
  <c r="O63" i="58"/>
  <c r="P33" i="55"/>
  <c r="P63" i="55"/>
  <c r="T128" i="61"/>
  <c r="Q6" i="55"/>
  <c r="L40" i="61"/>
  <c r="L42" i="61" s="1"/>
  <c r="L43" i="61" s="1"/>
  <c r="M38" i="61" s="1"/>
  <c r="K31" i="61"/>
  <c r="K33" i="61" s="1"/>
  <c r="K34" i="61" s="1"/>
  <c r="L29" i="61" s="1"/>
  <c r="P63" i="59" l="1"/>
  <c r="P33" i="59"/>
  <c r="P63" i="58"/>
  <c r="P33" i="58"/>
  <c r="Q63" i="55"/>
  <c r="Q33" i="55"/>
  <c r="U128" i="61"/>
  <c r="R6" i="55"/>
  <c r="L31" i="61"/>
  <c r="L33" i="61" s="1"/>
  <c r="L34" i="61" s="1"/>
  <c r="M29" i="61" s="1"/>
  <c r="M40" i="61"/>
  <c r="M42" i="61" s="1"/>
  <c r="M43" i="61" s="1"/>
  <c r="N38" i="61" s="1"/>
  <c r="R6" i="59" l="1"/>
  <c r="R6" i="58"/>
  <c r="R33" i="55"/>
  <c r="R63" i="55"/>
  <c r="V128" i="61"/>
  <c r="S6" i="55"/>
  <c r="M31" i="61"/>
  <c r="M33" i="61" s="1"/>
  <c r="M34" i="61" s="1"/>
  <c r="N29" i="61" s="1"/>
  <c r="N40" i="61"/>
  <c r="N42" i="61" s="1"/>
  <c r="N43" i="61" s="1"/>
  <c r="O38" i="61" s="1"/>
  <c r="S6" i="58" l="1"/>
  <c r="S6" i="59"/>
  <c r="R63" i="58"/>
  <c r="R33" i="58"/>
  <c r="R33" i="59"/>
  <c r="R63" i="59"/>
  <c r="S63" i="55"/>
  <c r="S33" i="55"/>
  <c r="W128" i="61"/>
  <c r="T6" i="55"/>
  <c r="O40" i="61"/>
  <c r="O42" i="61" s="1"/>
  <c r="O43" i="61" s="1"/>
  <c r="P38" i="61" s="1"/>
  <c r="N31" i="61"/>
  <c r="N33" i="61" s="1"/>
  <c r="N34" i="61" s="1"/>
  <c r="O29" i="61" s="1"/>
  <c r="S63" i="58" l="1"/>
  <c r="S33" i="58"/>
  <c r="S33" i="59"/>
  <c r="S63" i="59"/>
  <c r="T33" i="55"/>
  <c r="T63" i="55"/>
  <c r="X128" i="61"/>
  <c r="U6" i="55"/>
  <c r="O31" i="61"/>
  <c r="O33" i="61" s="1"/>
  <c r="O34" i="61" s="1"/>
  <c r="P29" i="61" s="1"/>
  <c r="P40" i="61"/>
  <c r="P42" i="61" s="1"/>
  <c r="P43" i="61" s="1"/>
  <c r="Q38" i="61" s="1"/>
  <c r="U6" i="58" l="1"/>
  <c r="U6" i="59"/>
  <c r="U63" i="55"/>
  <c r="U33" i="55"/>
  <c r="Y128" i="61"/>
  <c r="V6" i="55"/>
  <c r="P31" i="61"/>
  <c r="P33" i="61" s="1"/>
  <c r="P34" i="61" s="1"/>
  <c r="Q29" i="61" s="1"/>
  <c r="Q40" i="61"/>
  <c r="Q42" i="61" s="1"/>
  <c r="Q43" i="61" s="1"/>
  <c r="R38" i="61" s="1"/>
  <c r="U33" i="58" l="1"/>
  <c r="U63" i="58"/>
  <c r="V6" i="59"/>
  <c r="V6" i="58"/>
  <c r="U63" i="59"/>
  <c r="U33" i="59"/>
  <c r="V63" i="55"/>
  <c r="V33" i="55"/>
  <c r="Z128" i="61"/>
  <c r="W6" i="55"/>
  <c r="Q31" i="61"/>
  <c r="Q33" i="61" s="1"/>
  <c r="Q34" i="61" s="1"/>
  <c r="R29" i="61" s="1"/>
  <c r="R40" i="61"/>
  <c r="R42" i="61" s="1"/>
  <c r="R43" i="61" s="1"/>
  <c r="S38" i="61" s="1"/>
  <c r="C163" i="36"/>
  <c r="D163" i="36" s="1"/>
  <c r="C159" i="36"/>
  <c r="D159" i="36" s="1"/>
  <c r="C158" i="36"/>
  <c r="D158" i="36" s="1"/>
  <c r="C157" i="36"/>
  <c r="D157" i="36" s="1"/>
  <c r="C155" i="36"/>
  <c r="D155" i="36" s="1"/>
  <c r="C151" i="36"/>
  <c r="D151" i="36" s="1"/>
  <c r="C150" i="36"/>
  <c r="D150" i="36" s="1"/>
  <c r="C167" i="32"/>
  <c r="D167" i="32" s="1"/>
  <c r="C166" i="32"/>
  <c r="D166" i="32" s="1"/>
  <c r="C164" i="32"/>
  <c r="D164" i="32" s="1"/>
  <c r="C163" i="32"/>
  <c r="D163" i="32" s="1"/>
  <c r="C161" i="32"/>
  <c r="D161" i="32" s="1"/>
  <c r="C162" i="32"/>
  <c r="D162" i="32" s="1"/>
  <c r="C160" i="32"/>
  <c r="D160" i="32" s="1"/>
  <c r="C159" i="32"/>
  <c r="D159" i="32" s="1"/>
  <c r="C157" i="32"/>
  <c r="D157" i="32" s="1"/>
  <c r="C153" i="32"/>
  <c r="D153" i="32" s="1"/>
  <c r="C152" i="32"/>
  <c r="D152" i="32" s="1"/>
  <c r="A9" i="53"/>
  <c r="A6" i="53"/>
  <c r="A5" i="53"/>
  <c r="C119" i="32"/>
  <c r="C151" i="32" s="1"/>
  <c r="D151" i="32" s="1"/>
  <c r="C99" i="61" l="1"/>
  <c r="C95" i="61" s="1"/>
  <c r="C134" i="36"/>
  <c r="C164" i="36" s="1"/>
  <c r="D164" i="36" s="1"/>
  <c r="V63" i="58"/>
  <c r="V33" i="58"/>
  <c r="V33" i="59"/>
  <c r="V63" i="59"/>
  <c r="AA128" i="61"/>
  <c r="X6" i="55"/>
  <c r="W63" i="55"/>
  <c r="W33" i="55"/>
  <c r="S40" i="61"/>
  <c r="S42" i="61" s="1"/>
  <c r="S43" i="61" s="1"/>
  <c r="T38" i="61" s="1"/>
  <c r="R31" i="61"/>
  <c r="R33" i="61" s="1"/>
  <c r="R34" i="61" s="1"/>
  <c r="S29" i="61" s="1"/>
  <c r="E42" i="52"/>
  <c r="C42" i="52"/>
  <c r="D42" i="52" s="1"/>
  <c r="H42" i="52" s="1"/>
  <c r="E40" i="52"/>
  <c r="C40" i="52"/>
  <c r="D40" i="52" s="1"/>
  <c r="H40" i="52" s="1"/>
  <c r="C39" i="52"/>
  <c r="C38" i="52"/>
  <c r="D38" i="52" s="1"/>
  <c r="F37" i="52"/>
  <c r="G37" i="52" s="1"/>
  <c r="H37" i="52" s="1"/>
  <c r="H44" i="52" l="1"/>
  <c r="X6" i="59"/>
  <c r="X6" i="58"/>
  <c r="X33" i="55"/>
  <c r="X63" i="55"/>
  <c r="AB128" i="61"/>
  <c r="Y6" i="55"/>
  <c r="S31" i="61"/>
  <c r="S33" i="61" s="1"/>
  <c r="S34" i="61" s="1"/>
  <c r="T29" i="61" s="1"/>
  <c r="T40" i="61"/>
  <c r="T42" i="61" s="1"/>
  <c r="T43" i="61" s="1"/>
  <c r="U38" i="61" s="1"/>
  <c r="D39" i="52"/>
  <c r="D41" i="52" s="1"/>
  <c r="P40" i="41"/>
  <c r="P40" i="42" s="1"/>
  <c r="P74" i="42" s="1"/>
  <c r="B40" i="41"/>
  <c r="B74" i="41" s="1"/>
  <c r="A50" i="41"/>
  <c r="A50" i="42" s="1"/>
  <c r="A84" i="42" s="1"/>
  <c r="A40" i="41"/>
  <c r="A39" i="41"/>
  <c r="B40" i="43" l="1"/>
  <c r="B74" i="43" s="1"/>
  <c r="P74" i="41"/>
  <c r="Y6" i="58"/>
  <c r="Y6" i="59"/>
  <c r="X63" i="58"/>
  <c r="X33" i="58"/>
  <c r="X63" i="59"/>
  <c r="X33" i="59"/>
  <c r="AC128" i="61"/>
  <c r="Z6" i="55"/>
  <c r="Y63" i="55"/>
  <c r="Y33" i="55"/>
  <c r="U40" i="61"/>
  <c r="U42" i="61" s="1"/>
  <c r="U43" i="61" s="1"/>
  <c r="V38" i="61" s="1"/>
  <c r="T31" i="61"/>
  <c r="T33" i="61" s="1"/>
  <c r="T34" i="61" s="1"/>
  <c r="U29" i="61" s="1"/>
  <c r="D44" i="52"/>
  <c r="C45" i="52" s="1"/>
  <c r="D43" i="52"/>
  <c r="A39" i="42"/>
  <c r="A73" i="42" s="1"/>
  <c r="A39" i="43"/>
  <c r="A73" i="43" s="1"/>
  <c r="A40" i="42"/>
  <c r="A74" i="42" s="1"/>
  <c r="A40" i="43"/>
  <c r="A74" i="43" s="1"/>
  <c r="A74" i="41"/>
  <c r="A50" i="43"/>
  <c r="A84" i="43" s="1"/>
  <c r="A73" i="41"/>
  <c r="A84" i="41"/>
  <c r="P40" i="43"/>
  <c r="P74" i="43" s="1"/>
  <c r="B40" i="42"/>
  <c r="B74" i="42" s="1"/>
  <c r="C146" i="25" l="1"/>
  <c r="C145" i="25"/>
  <c r="Y63" i="59"/>
  <c r="Y33" i="59"/>
  <c r="Y33" i="58"/>
  <c r="Y63" i="58"/>
  <c r="Z63" i="55"/>
  <c r="Z33" i="55"/>
  <c r="U31" i="61"/>
  <c r="U33" i="61" s="1"/>
  <c r="U34" i="61" s="1"/>
  <c r="V29" i="61" s="1"/>
  <c r="V40" i="61"/>
  <c r="V42" i="61" s="1"/>
  <c r="V43" i="61" s="1"/>
  <c r="W38" i="61" s="1"/>
  <c r="C171" i="25"/>
  <c r="D171" i="25" s="1"/>
  <c r="C170" i="25"/>
  <c r="D170" i="25" s="1"/>
  <c r="C161" i="25"/>
  <c r="D161" i="25" s="1"/>
  <c r="C162" i="25"/>
  <c r="D162" i="25" s="1"/>
  <c r="C163" i="25"/>
  <c r="D163" i="25" s="1"/>
  <c r="C164" i="25"/>
  <c r="D164" i="25" s="1"/>
  <c r="C165" i="25"/>
  <c r="C166" i="25"/>
  <c r="D166" i="25" s="1"/>
  <c r="C167" i="25"/>
  <c r="D167" i="25" s="1"/>
  <c r="C168" i="25"/>
  <c r="D168" i="25" s="1"/>
  <c r="C169" i="25"/>
  <c r="D169" i="25" s="1"/>
  <c r="C156" i="25"/>
  <c r="D156" i="25" s="1"/>
  <c r="C155" i="25"/>
  <c r="D155" i="25" s="1"/>
  <c r="C154" i="25"/>
  <c r="D154" i="25" s="1"/>
  <c r="C153" i="25"/>
  <c r="D153" i="25" s="1"/>
  <c r="C125" i="25"/>
  <c r="C160" i="25" s="1"/>
  <c r="D160" i="25" s="1"/>
  <c r="D165" i="25" l="1"/>
  <c r="W40" i="61"/>
  <c r="W42" i="61" s="1"/>
  <c r="W43" i="61" s="1"/>
  <c r="X38" i="61" s="1"/>
  <c r="V31" i="61"/>
  <c r="V33" i="61" s="1"/>
  <c r="V34" i="61" s="1"/>
  <c r="W29" i="61" s="1"/>
  <c r="A87" i="1"/>
  <c r="A54" i="1"/>
  <c r="A90" i="1"/>
  <c r="A89" i="1"/>
  <c r="A57" i="1"/>
  <c r="A56" i="1"/>
  <c r="A67" i="1"/>
  <c r="A34" i="1"/>
  <c r="I14" i="14"/>
  <c r="N14" i="14" s="1"/>
  <c r="L14" i="14"/>
  <c r="Q14" i="14" s="1"/>
  <c r="H14" i="14"/>
  <c r="M14" i="14" s="1"/>
  <c r="M13" i="14"/>
  <c r="H13" i="14"/>
  <c r="C13" i="14"/>
  <c r="F14" i="14"/>
  <c r="K14" i="14" s="1"/>
  <c r="P14" i="14" s="1"/>
  <c r="E14" i="14"/>
  <c r="J14" i="14" s="1"/>
  <c r="O14" i="14" s="1"/>
  <c r="W31" i="61" l="1"/>
  <c r="W33" i="61" s="1"/>
  <c r="W34" i="61" s="1"/>
  <c r="X29" i="61" s="1"/>
  <c r="X40" i="61"/>
  <c r="X42" i="61" s="1"/>
  <c r="X43" i="61" s="1"/>
  <c r="Y38" i="61" s="1"/>
  <c r="C199" i="40"/>
  <c r="A90" i="42"/>
  <c r="A89" i="42"/>
  <c r="A56" i="42"/>
  <c r="A55" i="42"/>
  <c r="A53" i="42"/>
  <c r="A90" i="43"/>
  <c r="A89" i="43"/>
  <c r="A56" i="43"/>
  <c r="A55" i="43"/>
  <c r="X31" i="61" l="1"/>
  <c r="X33" i="61" s="1"/>
  <c r="X34" i="61" s="1"/>
  <c r="Y29" i="61" s="1"/>
  <c r="Y40" i="61"/>
  <c r="Y42" i="61" s="1"/>
  <c r="Y43" i="61" s="1"/>
  <c r="Z38" i="61" s="1"/>
  <c r="B39" i="41"/>
  <c r="P39" i="41"/>
  <c r="A94" i="42"/>
  <c r="A92" i="42"/>
  <c r="A60" i="42"/>
  <c r="A58" i="42"/>
  <c r="A94" i="43"/>
  <c r="A92" i="43"/>
  <c r="A87" i="43"/>
  <c r="A53" i="43"/>
  <c r="A87" i="42"/>
  <c r="A87" i="41"/>
  <c r="A53" i="41"/>
  <c r="Z40" i="61" l="1"/>
  <c r="Z42" i="61" s="1"/>
  <c r="Z43" i="61" s="1"/>
  <c r="AA38" i="61" s="1"/>
  <c r="Y31" i="61"/>
  <c r="Y33" i="61" s="1"/>
  <c r="Y34" i="61" s="1"/>
  <c r="Z29" i="61" s="1"/>
  <c r="B73" i="41"/>
  <c r="B39" i="43"/>
  <c r="B73" i="43" s="1"/>
  <c r="B39" i="42"/>
  <c r="B73" i="42" s="1"/>
  <c r="P39" i="43"/>
  <c r="P73" i="43" s="1"/>
  <c r="P73" i="41"/>
  <c r="P39" i="42"/>
  <c r="P73" i="42" s="1"/>
  <c r="A69" i="41"/>
  <c r="A35" i="41"/>
  <c r="A95" i="41"/>
  <c r="A93" i="41"/>
  <c r="A60" i="41"/>
  <c r="A58" i="41"/>
  <c r="A60" i="43"/>
  <c r="A58" i="43"/>
  <c r="Z31" i="61" l="1"/>
  <c r="Z33" i="61" s="1"/>
  <c r="Z34" i="61" s="1"/>
  <c r="AA29" i="61" s="1"/>
  <c r="AA40" i="61"/>
  <c r="AA42" i="61" s="1"/>
  <c r="AA43" i="61" s="1"/>
  <c r="AB38" i="61" s="1"/>
  <c r="E42" i="51"/>
  <c r="C42" i="51"/>
  <c r="D42" i="51" s="1"/>
  <c r="E40" i="51"/>
  <c r="C40" i="51"/>
  <c r="D40" i="51" s="1"/>
  <c r="C39" i="51"/>
  <c r="C38" i="51"/>
  <c r="D38" i="51" s="1"/>
  <c r="F37" i="51"/>
  <c r="G37" i="51" s="1"/>
  <c r="H37" i="51" s="1"/>
  <c r="C161" i="40"/>
  <c r="D161" i="40" s="1"/>
  <c r="C162" i="40"/>
  <c r="C163" i="40"/>
  <c r="D163" i="40" s="1"/>
  <c r="C164" i="40"/>
  <c r="D164" i="40" s="1"/>
  <c r="C165" i="40"/>
  <c r="D165" i="40" s="1"/>
  <c r="C203" i="40" s="1"/>
  <c r="C166" i="40"/>
  <c r="C153" i="40"/>
  <c r="C154" i="40"/>
  <c r="D154" i="40" s="1"/>
  <c r="C151" i="40"/>
  <c r="D151" i="40" s="1"/>
  <c r="D166" i="40"/>
  <c r="D153" i="40"/>
  <c r="C120" i="40"/>
  <c r="E134" i="40"/>
  <c r="C116" i="40" s="1"/>
  <c r="D134" i="40"/>
  <c r="C134" i="40"/>
  <c r="C113" i="40" s="1"/>
  <c r="C121" i="40"/>
  <c r="AB40" i="61" l="1"/>
  <c r="AA31" i="61"/>
  <c r="AA33" i="61" s="1"/>
  <c r="AA34" i="61" s="1"/>
  <c r="AB29" i="61" s="1"/>
  <c r="P50" i="41"/>
  <c r="B50" i="41"/>
  <c r="H42" i="51"/>
  <c r="H40" i="51"/>
  <c r="H44" i="51"/>
  <c r="D39" i="51"/>
  <c r="D41" i="51" s="1"/>
  <c r="C152" i="40"/>
  <c r="D152" i="40" s="1"/>
  <c r="C155" i="40"/>
  <c r="D155" i="40" s="1"/>
  <c r="C159" i="40"/>
  <c r="D159" i="40" s="1"/>
  <c r="C160" i="40"/>
  <c r="D160" i="40" s="1"/>
  <c r="AB31" i="61" l="1"/>
  <c r="AB42" i="61"/>
  <c r="AD40" i="61"/>
  <c r="B84" i="41"/>
  <c r="B50" i="42"/>
  <c r="B50" i="43"/>
  <c r="B84" i="43" s="1"/>
  <c r="P50" i="42"/>
  <c r="P84" i="42" s="1"/>
  <c r="P50" i="43"/>
  <c r="P84" i="43" s="1"/>
  <c r="P84" i="41"/>
  <c r="D44" i="51"/>
  <c r="C45" i="51" s="1"/>
  <c r="C143" i="40" s="1"/>
  <c r="D162" i="40" s="1"/>
  <c r="D43" i="51"/>
  <c r="AD42" i="61" l="1"/>
  <c r="AB43" i="61"/>
  <c r="AB33" i="61"/>
  <c r="AD31" i="61"/>
  <c r="B84" i="42"/>
  <c r="D158" i="45"/>
  <c r="C158" i="45"/>
  <c r="B158" i="45"/>
  <c r="D159" i="45"/>
  <c r="E159" i="45" s="1"/>
  <c r="F159" i="45" s="1"/>
  <c r="C159" i="45"/>
  <c r="B159" i="45"/>
  <c r="A59" i="46"/>
  <c r="A31" i="46"/>
  <c r="C24" i="45"/>
  <c r="H47" i="45" s="1"/>
  <c r="C23" i="45"/>
  <c r="F37" i="45" s="1"/>
  <c r="N9" i="45"/>
  <c r="J10" i="45"/>
  <c r="K10" i="45"/>
  <c r="L10" i="45"/>
  <c r="M10" i="45"/>
  <c r="M11" i="45" s="1"/>
  <c r="K39" i="46" s="1"/>
  <c r="I10" i="45"/>
  <c r="K39" i="65" l="1"/>
  <c r="K67" i="46"/>
  <c r="G159" i="45"/>
  <c r="E158" i="45"/>
  <c r="K47" i="45"/>
  <c r="G47" i="45"/>
  <c r="D47" i="45"/>
  <c r="J47" i="45"/>
  <c r="F47" i="45"/>
  <c r="M47" i="45"/>
  <c r="I47" i="45"/>
  <c r="E47" i="45"/>
  <c r="L47" i="45"/>
  <c r="AD33" i="61"/>
  <c r="AB34" i="61"/>
  <c r="M37" i="45"/>
  <c r="E37" i="45"/>
  <c r="L37" i="45"/>
  <c r="I37" i="45"/>
  <c r="H37" i="45"/>
  <c r="K37" i="45"/>
  <c r="G37" i="45"/>
  <c r="D37" i="45"/>
  <c r="J37" i="45"/>
  <c r="N10" i="45"/>
  <c r="K39" i="66" l="1"/>
  <c r="K67" i="66" s="1"/>
  <c r="K67" i="65"/>
  <c r="H159" i="45"/>
  <c r="F158" i="45"/>
  <c r="G158" i="45" s="1"/>
  <c r="H158" i="45" s="1"/>
  <c r="I158" i="45" s="1"/>
  <c r="J158" i="45" s="1"/>
  <c r="K158" i="45" s="1"/>
  <c r="L158" i="45" s="1"/>
  <c r="M158" i="45" s="1"/>
  <c r="I159" i="45" l="1"/>
  <c r="J159" i="45" l="1"/>
  <c r="D164" i="45"/>
  <c r="E164" i="45" s="1"/>
  <c r="F164" i="45" s="1"/>
  <c r="G164" i="45" s="1"/>
  <c r="H164" i="45" s="1"/>
  <c r="I164" i="45" s="1"/>
  <c r="J164" i="45" s="1"/>
  <c r="K164" i="45" s="1"/>
  <c r="L164" i="45" s="1"/>
  <c r="M164" i="45" s="1"/>
  <c r="C164" i="45"/>
  <c r="B164" i="45"/>
  <c r="D163" i="45"/>
  <c r="C163" i="45"/>
  <c r="B163" i="45"/>
  <c r="D162" i="45"/>
  <c r="C162" i="45"/>
  <c r="B162" i="45"/>
  <c r="D157" i="45"/>
  <c r="E157" i="45" s="1"/>
  <c r="F157" i="45" s="1"/>
  <c r="G157" i="45" s="1"/>
  <c r="H157" i="45" s="1"/>
  <c r="I157" i="45" s="1"/>
  <c r="J157" i="45" s="1"/>
  <c r="K157" i="45" s="1"/>
  <c r="L157" i="45" s="1"/>
  <c r="M157" i="45" s="1"/>
  <c r="C157" i="45"/>
  <c r="B157" i="45"/>
  <c r="D156" i="45"/>
  <c r="C156" i="45"/>
  <c r="B156" i="45"/>
  <c r="C155" i="45"/>
  <c r="B155" i="45"/>
  <c r="D155" i="45"/>
  <c r="F79" i="45"/>
  <c r="E79" i="45"/>
  <c r="AA84" i="45" s="1"/>
  <c r="D79" i="45"/>
  <c r="W84" i="45" s="1"/>
  <c r="F78" i="45"/>
  <c r="Y83" i="45" s="1"/>
  <c r="E78" i="45"/>
  <c r="U83" i="45" s="1"/>
  <c r="D78" i="45"/>
  <c r="Z83" i="45" s="1"/>
  <c r="C73" i="45"/>
  <c r="D69" i="45"/>
  <c r="W66" i="45"/>
  <c r="S66" i="45"/>
  <c r="G66" i="45"/>
  <c r="D66" i="45"/>
  <c r="D59" i="45"/>
  <c r="D60" i="45" s="1"/>
  <c r="V57" i="45"/>
  <c r="N57" i="45"/>
  <c r="F57" i="45"/>
  <c r="D50" i="45"/>
  <c r="D38" i="45"/>
  <c r="C20" i="45"/>
  <c r="AA57" i="45"/>
  <c r="Z66" i="45"/>
  <c r="W57" i="45"/>
  <c r="V66" i="45"/>
  <c r="S57" i="45"/>
  <c r="R66" i="45"/>
  <c r="O57" i="45"/>
  <c r="N66" i="45"/>
  <c r="K57" i="45"/>
  <c r="J66" i="45"/>
  <c r="G57" i="45"/>
  <c r="F66" i="45"/>
  <c r="D57" i="45"/>
  <c r="V151" i="32"/>
  <c r="Q151" i="32"/>
  <c r="L151" i="32"/>
  <c r="V151" i="40"/>
  <c r="E107" i="25"/>
  <c r="F107" i="25"/>
  <c r="D107" i="25"/>
  <c r="E95" i="25"/>
  <c r="F95" i="25"/>
  <c r="D95" i="25"/>
  <c r="E96" i="25"/>
  <c r="F96" i="25"/>
  <c r="D96" i="25"/>
  <c r="B29" i="14"/>
  <c r="B30" i="14"/>
  <c r="B28" i="14"/>
  <c r="V149" i="36"/>
  <c r="Q149" i="36"/>
  <c r="L149" i="36"/>
  <c r="A68" i="35"/>
  <c r="A69" i="35"/>
  <c r="A70" i="35"/>
  <c r="A71" i="35"/>
  <c r="A67" i="35"/>
  <c r="A42" i="35"/>
  <c r="A68" i="33"/>
  <c r="A69" i="33"/>
  <c r="A70" i="33"/>
  <c r="A71" i="33"/>
  <c r="A67" i="33"/>
  <c r="A42" i="33"/>
  <c r="A14" i="34" s="1"/>
  <c r="A43" i="34" s="1"/>
  <c r="D190" i="32"/>
  <c r="E190" i="32" s="1"/>
  <c r="F190" i="32" s="1"/>
  <c r="G190" i="32" s="1"/>
  <c r="H190" i="32" s="1"/>
  <c r="I190" i="32" s="1"/>
  <c r="J190" i="32" s="1"/>
  <c r="K190" i="32" s="1"/>
  <c r="L190" i="32" s="1"/>
  <c r="M190" i="32" s="1"/>
  <c r="N190" i="32" s="1"/>
  <c r="O190" i="32" s="1"/>
  <c r="P190" i="32" s="1"/>
  <c r="Q190" i="32" s="1"/>
  <c r="R190" i="32" s="1"/>
  <c r="S190" i="32" s="1"/>
  <c r="T190" i="32" s="1"/>
  <c r="U190" i="32" s="1"/>
  <c r="V190" i="32" s="1"/>
  <c r="W190" i="32" s="1"/>
  <c r="X190" i="32" s="1"/>
  <c r="Y190" i="32" s="1"/>
  <c r="Z190" i="32" s="1"/>
  <c r="AA190" i="32" s="1"/>
  <c r="AB190" i="32" s="1"/>
  <c r="D191" i="32"/>
  <c r="E191" i="32" s="1"/>
  <c r="F191" i="32" s="1"/>
  <c r="G191" i="32" s="1"/>
  <c r="H191" i="32" s="1"/>
  <c r="I191" i="32" s="1"/>
  <c r="J191" i="32" s="1"/>
  <c r="K191" i="32" s="1"/>
  <c r="L191" i="32" s="1"/>
  <c r="M191" i="32" s="1"/>
  <c r="N191" i="32" s="1"/>
  <c r="O191" i="32" s="1"/>
  <c r="P191" i="32" s="1"/>
  <c r="Q191" i="32" s="1"/>
  <c r="R191" i="32" s="1"/>
  <c r="S191" i="32" s="1"/>
  <c r="T191" i="32" s="1"/>
  <c r="U191" i="32" s="1"/>
  <c r="V191" i="32" s="1"/>
  <c r="W191" i="32" s="1"/>
  <c r="X191" i="32" s="1"/>
  <c r="Y191" i="32" s="1"/>
  <c r="Z191" i="32" s="1"/>
  <c r="AA191" i="32" s="1"/>
  <c r="AB191" i="32" s="1"/>
  <c r="D189" i="32"/>
  <c r="C189" i="32"/>
  <c r="C190" i="32"/>
  <c r="C191" i="32"/>
  <c r="B190" i="32"/>
  <c r="B191" i="32"/>
  <c r="B189" i="32"/>
  <c r="M151" i="40"/>
  <c r="M153" i="25"/>
  <c r="M154" i="25" s="1"/>
  <c r="A82" i="43"/>
  <c r="C80" i="43"/>
  <c r="A72" i="43"/>
  <c r="A71" i="43"/>
  <c r="C70" i="43"/>
  <c r="A70" i="43"/>
  <c r="A66" i="43"/>
  <c r="A48" i="43"/>
  <c r="C46" i="43"/>
  <c r="A38" i="43"/>
  <c r="A37" i="43"/>
  <c r="C36" i="43"/>
  <c r="A36" i="43"/>
  <c r="A32" i="43"/>
  <c r="A82" i="42"/>
  <c r="C80" i="42"/>
  <c r="A72" i="42"/>
  <c r="A71" i="42"/>
  <c r="C70" i="42"/>
  <c r="A70" i="42"/>
  <c r="A66" i="42"/>
  <c r="A48" i="42"/>
  <c r="C46" i="42"/>
  <c r="A38" i="42"/>
  <c r="A37" i="42"/>
  <c r="C36" i="42"/>
  <c r="A36" i="42"/>
  <c r="A32" i="42"/>
  <c r="A82" i="41"/>
  <c r="A48" i="41"/>
  <c r="D191" i="40"/>
  <c r="E191" i="40" s="1"/>
  <c r="F191" i="40" s="1"/>
  <c r="G191" i="40" s="1"/>
  <c r="H191" i="40" s="1"/>
  <c r="I191" i="40" s="1"/>
  <c r="J191" i="40" s="1"/>
  <c r="K191" i="40" s="1"/>
  <c r="L191" i="40" s="1"/>
  <c r="M191" i="40" s="1"/>
  <c r="N191" i="40" s="1"/>
  <c r="O191" i="40" s="1"/>
  <c r="P191" i="40" s="1"/>
  <c r="Q191" i="40" s="1"/>
  <c r="R191" i="40" s="1"/>
  <c r="D190" i="40"/>
  <c r="E190" i="40" s="1"/>
  <c r="F190" i="40" s="1"/>
  <c r="G190" i="40" s="1"/>
  <c r="H190" i="40" s="1"/>
  <c r="I190" i="40" s="1"/>
  <c r="J190" i="40" s="1"/>
  <c r="K190" i="40" s="1"/>
  <c r="L190" i="40" s="1"/>
  <c r="M190" i="40" s="1"/>
  <c r="N190" i="40" s="1"/>
  <c r="O190" i="40" s="1"/>
  <c r="P190" i="40" s="1"/>
  <c r="Q190" i="40" s="1"/>
  <c r="R190" i="40" s="1"/>
  <c r="C190" i="40"/>
  <c r="C191" i="40"/>
  <c r="B190" i="40"/>
  <c r="B191" i="40"/>
  <c r="B189" i="40"/>
  <c r="D189" i="40"/>
  <c r="E189" i="40" s="1"/>
  <c r="F189" i="40" s="1"/>
  <c r="C189" i="40"/>
  <c r="A71" i="41"/>
  <c r="A72" i="41"/>
  <c r="A70" i="41"/>
  <c r="A37" i="41"/>
  <c r="A38" i="41"/>
  <c r="A36" i="41"/>
  <c r="Q151" i="40"/>
  <c r="L151" i="40"/>
  <c r="D180" i="40"/>
  <c r="B8" i="43" s="1"/>
  <c r="D177" i="40"/>
  <c r="E177" i="40" s="1"/>
  <c r="F177" i="40" s="1"/>
  <c r="G177" i="40" s="1"/>
  <c r="H177" i="40" s="1"/>
  <c r="I177" i="40" s="1"/>
  <c r="J177" i="40" s="1"/>
  <c r="K177" i="40" s="1"/>
  <c r="L177" i="40" s="1"/>
  <c r="M177" i="40" s="1"/>
  <c r="N177" i="40" s="1"/>
  <c r="O177" i="40" s="1"/>
  <c r="P177" i="40" s="1"/>
  <c r="Q177" i="40" s="1"/>
  <c r="R177" i="40" s="1"/>
  <c r="D33" i="40"/>
  <c r="D185" i="40"/>
  <c r="B12" i="43" s="1"/>
  <c r="B44" i="43" s="1"/>
  <c r="S9" i="40"/>
  <c r="C6" i="40" s="1"/>
  <c r="F169" i="40"/>
  <c r="E169" i="40"/>
  <c r="D169" i="40"/>
  <c r="A66" i="41"/>
  <c r="A32" i="41"/>
  <c r="D179" i="40"/>
  <c r="E179" i="40" s="1"/>
  <c r="F179" i="40" s="1"/>
  <c r="I179" i="40" s="1"/>
  <c r="K179" i="40" s="1"/>
  <c r="L179" i="40" s="1"/>
  <c r="N179" i="40" s="1"/>
  <c r="O179" i="40" s="1"/>
  <c r="Q179" i="40" s="1"/>
  <c r="R179" i="40" s="1"/>
  <c r="C180" i="40"/>
  <c r="C179" i="40"/>
  <c r="B180" i="40"/>
  <c r="B179" i="40"/>
  <c r="O10" i="40"/>
  <c r="P10" i="40"/>
  <c r="Q10" i="40"/>
  <c r="R10" i="40"/>
  <c r="N10" i="40"/>
  <c r="D192" i="40"/>
  <c r="E192" i="40" s="1"/>
  <c r="F192" i="40" s="1"/>
  <c r="G192" i="40" s="1"/>
  <c r="H192" i="40" s="1"/>
  <c r="I192" i="40" s="1"/>
  <c r="J192" i="40" s="1"/>
  <c r="K192" i="40" s="1"/>
  <c r="L192" i="40" s="1"/>
  <c r="M192" i="40" s="1"/>
  <c r="N192" i="40" s="1"/>
  <c r="O192" i="40" s="1"/>
  <c r="P192" i="40" s="1"/>
  <c r="Q192" i="40" s="1"/>
  <c r="R192" i="40" s="1"/>
  <c r="C192" i="40"/>
  <c r="B192" i="40"/>
  <c r="D188" i="40"/>
  <c r="E188" i="40" s="1"/>
  <c r="F188" i="40" s="1"/>
  <c r="C188" i="40"/>
  <c r="B188" i="40"/>
  <c r="A15" i="41" s="1"/>
  <c r="A47" i="41" s="1"/>
  <c r="D187" i="40"/>
  <c r="E187" i="40" s="1"/>
  <c r="F187" i="40" s="1"/>
  <c r="C187" i="40"/>
  <c r="B187" i="40"/>
  <c r="C186" i="40"/>
  <c r="B186" i="40"/>
  <c r="A13" i="41" s="1"/>
  <c r="A45" i="41" s="1"/>
  <c r="C185" i="40"/>
  <c r="B185" i="40"/>
  <c r="D178" i="40"/>
  <c r="E178" i="40" s="1"/>
  <c r="F178" i="40" s="1"/>
  <c r="G178" i="40" s="1"/>
  <c r="H178" i="40" s="1"/>
  <c r="I178" i="40" s="1"/>
  <c r="J178" i="40" s="1"/>
  <c r="K178" i="40" s="1"/>
  <c r="L178" i="40" s="1"/>
  <c r="M178" i="40" s="1"/>
  <c r="N178" i="40" s="1"/>
  <c r="O178" i="40" s="1"/>
  <c r="P178" i="40" s="1"/>
  <c r="Q178" i="40" s="1"/>
  <c r="R178" i="40" s="1"/>
  <c r="C178" i="40"/>
  <c r="B178" i="40"/>
  <c r="C177" i="40"/>
  <c r="B177" i="40"/>
  <c r="C176" i="40"/>
  <c r="B176" i="40"/>
  <c r="P106" i="40"/>
  <c r="AA106" i="40"/>
  <c r="H106" i="40"/>
  <c r="P105" i="40"/>
  <c r="X105" i="40"/>
  <c r="W105" i="40"/>
  <c r="V94" i="40"/>
  <c r="J93" i="40"/>
  <c r="X93" i="40"/>
  <c r="X80" i="40"/>
  <c r="T80" i="40"/>
  <c r="X79" i="40"/>
  <c r="T79" i="40"/>
  <c r="D65" i="40"/>
  <c r="D62" i="40"/>
  <c r="D55" i="40"/>
  <c r="D56" i="40" s="1"/>
  <c r="X53" i="40"/>
  <c r="P53" i="40"/>
  <c r="H53" i="40"/>
  <c r="D46" i="40"/>
  <c r="B49" i="41" s="1"/>
  <c r="C20" i="40"/>
  <c r="X55" i="40"/>
  <c r="X64" i="40" s="1"/>
  <c r="P43" i="40"/>
  <c r="L43" i="40"/>
  <c r="K43" i="40"/>
  <c r="G43" i="40"/>
  <c r="D43" i="40"/>
  <c r="AB62" i="40"/>
  <c r="AA62" i="40"/>
  <c r="X62" i="40"/>
  <c r="W62" i="40"/>
  <c r="V53" i="40"/>
  <c r="T62" i="40"/>
  <c r="S62" i="40"/>
  <c r="P62" i="40"/>
  <c r="O62" i="40"/>
  <c r="L62" i="40"/>
  <c r="K62" i="40"/>
  <c r="H62" i="40"/>
  <c r="G62" i="40"/>
  <c r="F53" i="40"/>
  <c r="A57" i="39"/>
  <c r="A41" i="39"/>
  <c r="A33" i="39"/>
  <c r="A61" i="39" s="1"/>
  <c r="A29" i="39"/>
  <c r="A57" i="38"/>
  <c r="A41" i="38"/>
  <c r="A33" i="38"/>
  <c r="A61" i="38" s="1"/>
  <c r="A29" i="38"/>
  <c r="A57" i="37"/>
  <c r="A29" i="37"/>
  <c r="A41" i="37"/>
  <c r="A33" i="37"/>
  <c r="A61" i="37" s="1"/>
  <c r="AB40" i="36"/>
  <c r="AC40" i="36"/>
  <c r="AB41" i="36"/>
  <c r="AC41" i="36"/>
  <c r="C30" i="36"/>
  <c r="AC16" i="36"/>
  <c r="AB7" i="36"/>
  <c r="AB8" i="36"/>
  <c r="AB16" i="36" s="1"/>
  <c r="D185" i="36"/>
  <c r="E185" i="36" s="1"/>
  <c r="F185" i="36" s="1"/>
  <c r="G185" i="36" s="1"/>
  <c r="H185" i="36" s="1"/>
  <c r="I185" i="36" s="1"/>
  <c r="J185" i="36" s="1"/>
  <c r="K185" i="36" s="1"/>
  <c r="L185" i="36" s="1"/>
  <c r="M185" i="36" s="1"/>
  <c r="N185" i="36" s="1"/>
  <c r="O185" i="36" s="1"/>
  <c r="P185" i="36" s="1"/>
  <c r="Q185" i="36" s="1"/>
  <c r="R185" i="36" s="1"/>
  <c r="S185" i="36" s="1"/>
  <c r="T185" i="36" s="1"/>
  <c r="U185" i="36" s="1"/>
  <c r="V185" i="36" s="1"/>
  <c r="W185" i="36" s="1"/>
  <c r="X185" i="36" s="1"/>
  <c r="Y185" i="36" s="1"/>
  <c r="Z185" i="36" s="1"/>
  <c r="AA185" i="36" s="1"/>
  <c r="AB185" i="36" s="1"/>
  <c r="AC185" i="36" s="1"/>
  <c r="C185" i="36"/>
  <c r="B185" i="36"/>
  <c r="D184" i="36"/>
  <c r="E184" i="36" s="1"/>
  <c r="F184" i="36" s="1"/>
  <c r="C184" i="36"/>
  <c r="B184" i="36"/>
  <c r="A13" i="38" s="1"/>
  <c r="A40" i="38" s="1"/>
  <c r="D183" i="36"/>
  <c r="E183" i="36" s="1"/>
  <c r="F183" i="36" s="1"/>
  <c r="C183" i="36"/>
  <c r="B183" i="36"/>
  <c r="A12" i="38" s="1"/>
  <c r="A39" i="38" s="1"/>
  <c r="C182" i="36"/>
  <c r="B182" i="36"/>
  <c r="A11" i="39" s="1"/>
  <c r="A38" i="39" s="1"/>
  <c r="D181" i="36"/>
  <c r="E181" i="36" s="1"/>
  <c r="F181" i="36" s="1"/>
  <c r="G181" i="36" s="1"/>
  <c r="H181" i="36" s="1"/>
  <c r="I181" i="36" s="1"/>
  <c r="J181" i="36" s="1"/>
  <c r="K181" i="36" s="1"/>
  <c r="L181" i="36" s="1"/>
  <c r="M181" i="36" s="1"/>
  <c r="N181" i="36" s="1"/>
  <c r="O181" i="36" s="1"/>
  <c r="P181" i="36" s="1"/>
  <c r="Q181" i="36" s="1"/>
  <c r="R181" i="36" s="1"/>
  <c r="S181" i="36" s="1"/>
  <c r="T181" i="36" s="1"/>
  <c r="U181" i="36" s="1"/>
  <c r="V181" i="36" s="1"/>
  <c r="W181" i="36" s="1"/>
  <c r="X181" i="36" s="1"/>
  <c r="Y181" i="36" s="1"/>
  <c r="Z181" i="36" s="1"/>
  <c r="AA181" i="36" s="1"/>
  <c r="AB181" i="36" s="1"/>
  <c r="AC181" i="36" s="1"/>
  <c r="C181" i="36"/>
  <c r="B181" i="36"/>
  <c r="A10" i="39" s="1"/>
  <c r="A37" i="39" s="1"/>
  <c r="D177" i="36"/>
  <c r="E177" i="36" s="1"/>
  <c r="F177" i="36" s="1"/>
  <c r="G177" i="36" s="1"/>
  <c r="H177" i="36" s="1"/>
  <c r="I177" i="36" s="1"/>
  <c r="J177" i="36" s="1"/>
  <c r="K177" i="36" s="1"/>
  <c r="L177" i="36" s="1"/>
  <c r="M177" i="36" s="1"/>
  <c r="N177" i="36" s="1"/>
  <c r="O177" i="36" s="1"/>
  <c r="P177" i="36" s="1"/>
  <c r="Q177" i="36" s="1"/>
  <c r="R177" i="36" s="1"/>
  <c r="S177" i="36" s="1"/>
  <c r="T177" i="36" s="1"/>
  <c r="U177" i="36" s="1"/>
  <c r="V177" i="36" s="1"/>
  <c r="W177" i="36" s="1"/>
  <c r="X177" i="36" s="1"/>
  <c r="Y177" i="36" s="1"/>
  <c r="Z177" i="36" s="1"/>
  <c r="AA177" i="36" s="1"/>
  <c r="AB177" i="36" s="1"/>
  <c r="AC177" i="36" s="1"/>
  <c r="C177" i="36"/>
  <c r="B177" i="36"/>
  <c r="D176" i="36"/>
  <c r="E176" i="36" s="1"/>
  <c r="F176" i="36" s="1"/>
  <c r="G176" i="36" s="1"/>
  <c r="H176" i="36" s="1"/>
  <c r="I176" i="36" s="1"/>
  <c r="J176" i="36" s="1"/>
  <c r="K176" i="36" s="1"/>
  <c r="L176" i="36" s="1"/>
  <c r="M176" i="36" s="1"/>
  <c r="N176" i="36" s="1"/>
  <c r="O176" i="36" s="1"/>
  <c r="P176" i="36" s="1"/>
  <c r="Q176" i="36" s="1"/>
  <c r="R176" i="36" s="1"/>
  <c r="S176" i="36" s="1"/>
  <c r="T176" i="36" s="1"/>
  <c r="U176" i="36" s="1"/>
  <c r="V176" i="36" s="1"/>
  <c r="W176" i="36" s="1"/>
  <c r="X176" i="36" s="1"/>
  <c r="Y176" i="36" s="1"/>
  <c r="Z176" i="36" s="1"/>
  <c r="AA176" i="36" s="1"/>
  <c r="AB176" i="36" s="1"/>
  <c r="AC176" i="36" s="1"/>
  <c r="C176" i="36"/>
  <c r="B176" i="36"/>
  <c r="C175" i="36"/>
  <c r="B175" i="36"/>
  <c r="F96" i="36"/>
  <c r="G101" i="36" s="1"/>
  <c r="F82" i="36"/>
  <c r="E82" i="36"/>
  <c r="AA87" i="36" s="1"/>
  <c r="D82" i="36"/>
  <c r="W87" i="36" s="1"/>
  <c r="F81" i="36"/>
  <c r="Y86" i="36" s="1"/>
  <c r="E81" i="36"/>
  <c r="L86" i="36" s="1"/>
  <c r="D81" i="36"/>
  <c r="W86" i="36" s="1"/>
  <c r="C76" i="36"/>
  <c r="D72" i="36"/>
  <c r="D69" i="36"/>
  <c r="D62" i="36"/>
  <c r="D53" i="36"/>
  <c r="B41" i="37" s="1"/>
  <c r="D41" i="36"/>
  <c r="D43" i="36" s="1"/>
  <c r="B14" i="39" s="1"/>
  <c r="B69" i="39" s="1"/>
  <c r="C27" i="36"/>
  <c r="AA8" i="36"/>
  <c r="AA16" i="36" s="1"/>
  <c r="Z8" i="36"/>
  <c r="Z16" i="36" s="1"/>
  <c r="Y8" i="36"/>
  <c r="Y16" i="36" s="1"/>
  <c r="Y50" i="36" s="1"/>
  <c r="X8" i="36"/>
  <c r="X16" i="36" s="1"/>
  <c r="W8" i="36"/>
  <c r="W16" i="36" s="1"/>
  <c r="V8" i="36"/>
  <c r="V16" i="36" s="1"/>
  <c r="U8" i="36"/>
  <c r="U16" i="36" s="1"/>
  <c r="U50" i="36" s="1"/>
  <c r="T8" i="36"/>
  <c r="T16" i="36" s="1"/>
  <c r="S8" i="36"/>
  <c r="S16" i="36" s="1"/>
  <c r="R8" i="36"/>
  <c r="R16" i="36" s="1"/>
  <c r="Q8" i="36"/>
  <c r="Q16" i="36" s="1"/>
  <c r="Q50" i="36" s="1"/>
  <c r="P8" i="36"/>
  <c r="P16" i="36" s="1"/>
  <c r="O8" i="36"/>
  <c r="O16" i="36" s="1"/>
  <c r="N8" i="36"/>
  <c r="N16" i="36" s="1"/>
  <c r="M8" i="36"/>
  <c r="M16" i="36" s="1"/>
  <c r="M50" i="36" s="1"/>
  <c r="L8" i="36"/>
  <c r="L16" i="36" s="1"/>
  <c r="K8" i="36"/>
  <c r="K16" i="36" s="1"/>
  <c r="J8" i="36"/>
  <c r="J16" i="36" s="1"/>
  <c r="I8" i="36"/>
  <c r="I16" i="36" s="1"/>
  <c r="I50" i="36" s="1"/>
  <c r="H8" i="36"/>
  <c r="H16" i="36" s="1"/>
  <c r="F10" i="39" s="1"/>
  <c r="F65" i="39" s="1"/>
  <c r="G8" i="36"/>
  <c r="G16" i="36" s="1"/>
  <c r="F8" i="36"/>
  <c r="F16" i="36" s="1"/>
  <c r="E8" i="36"/>
  <c r="D8" i="36"/>
  <c r="D16" i="36" s="1"/>
  <c r="AA7" i="36"/>
  <c r="Z7" i="36"/>
  <c r="Y7" i="36"/>
  <c r="X7" i="36"/>
  <c r="W7" i="36"/>
  <c r="V7" i="36"/>
  <c r="U7" i="36"/>
  <c r="T7" i="36"/>
  <c r="S7" i="36"/>
  <c r="R7" i="36"/>
  <c r="Q7" i="36"/>
  <c r="P7" i="36"/>
  <c r="O7" i="36"/>
  <c r="N7" i="36"/>
  <c r="M7" i="36"/>
  <c r="L7" i="36"/>
  <c r="K7" i="36"/>
  <c r="J7" i="36"/>
  <c r="I7" i="36"/>
  <c r="H7" i="36"/>
  <c r="G7" i="36"/>
  <c r="F7" i="36"/>
  <c r="E7" i="36"/>
  <c r="D7" i="36"/>
  <c r="AB6" i="36"/>
  <c r="AA6" i="36"/>
  <c r="AA69" i="36" s="1"/>
  <c r="Z6" i="36"/>
  <c r="Z60" i="36" s="1"/>
  <c r="Y6" i="36"/>
  <c r="X6" i="36"/>
  <c r="W6" i="36"/>
  <c r="W69" i="36" s="1"/>
  <c r="V6" i="36"/>
  <c r="U6" i="36"/>
  <c r="T6" i="36"/>
  <c r="S6" i="36"/>
  <c r="S69" i="36" s="1"/>
  <c r="R6" i="36"/>
  <c r="R60" i="36" s="1"/>
  <c r="Q6" i="36"/>
  <c r="P6" i="36"/>
  <c r="O6" i="36"/>
  <c r="O69" i="36" s="1"/>
  <c r="N6" i="36"/>
  <c r="M6" i="36"/>
  <c r="L6" i="36"/>
  <c r="K6" i="36"/>
  <c r="K69" i="36" s="1"/>
  <c r="J6" i="36"/>
  <c r="J60" i="36" s="1"/>
  <c r="I6" i="36"/>
  <c r="H6" i="36"/>
  <c r="G6" i="36"/>
  <c r="G69" i="36" s="1"/>
  <c r="F6" i="36"/>
  <c r="E6" i="36"/>
  <c r="D6" i="36"/>
  <c r="D60" i="36" s="1"/>
  <c r="A43" i="35"/>
  <c r="A41" i="35"/>
  <c r="A40" i="35"/>
  <c r="A39" i="35"/>
  <c r="A38" i="35"/>
  <c r="A34" i="35"/>
  <c r="A63" i="35" s="1"/>
  <c r="A44" i="34"/>
  <c r="A42" i="34"/>
  <c r="A41" i="34"/>
  <c r="A40" i="34"/>
  <c r="A39" i="34"/>
  <c r="A35" i="34"/>
  <c r="A64" i="34" s="1"/>
  <c r="A34" i="33"/>
  <c r="A63" i="33" s="1"/>
  <c r="A39" i="33"/>
  <c r="A69" i="34" s="1"/>
  <c r="A40" i="33"/>
  <c r="A70" i="34" s="1"/>
  <c r="A41" i="33"/>
  <c r="A71" i="34" s="1"/>
  <c r="A43" i="33"/>
  <c r="A38" i="33"/>
  <c r="A68" i="34" s="1"/>
  <c r="D188" i="32"/>
  <c r="B13" i="34" s="1"/>
  <c r="B42" i="34" s="1"/>
  <c r="D187" i="32"/>
  <c r="B12" i="33" s="1"/>
  <c r="B40" i="33" s="1"/>
  <c r="B192" i="32"/>
  <c r="B188" i="32"/>
  <c r="B187" i="32"/>
  <c r="B186" i="32"/>
  <c r="B185" i="32"/>
  <c r="B181" i="32"/>
  <c r="B180" i="32"/>
  <c r="B179" i="32"/>
  <c r="C76" i="32"/>
  <c r="E82" i="32"/>
  <c r="F87" i="32" s="1"/>
  <c r="F82" i="32"/>
  <c r="E81" i="32"/>
  <c r="O86" i="32" s="1"/>
  <c r="F81" i="32"/>
  <c r="Y86" i="32" s="1"/>
  <c r="D82" i="32"/>
  <c r="W87" i="32" s="1"/>
  <c r="D81" i="32"/>
  <c r="Z86" i="32" s="1"/>
  <c r="L6" i="32"/>
  <c r="L69" i="32" s="1"/>
  <c r="M6" i="32"/>
  <c r="M69" i="32" s="1"/>
  <c r="N6" i="32"/>
  <c r="O6" i="32"/>
  <c r="O60" i="32" s="1"/>
  <c r="P6" i="32"/>
  <c r="P69" i="32" s="1"/>
  <c r="Q6" i="32"/>
  <c r="Q60" i="32" s="1"/>
  <c r="R6" i="32"/>
  <c r="S6" i="32"/>
  <c r="S60" i="32" s="1"/>
  <c r="T6" i="32"/>
  <c r="T69" i="32" s="1"/>
  <c r="U6" i="32"/>
  <c r="U69" i="32" s="1"/>
  <c r="V6" i="32"/>
  <c r="W6" i="32"/>
  <c r="W60" i="32" s="1"/>
  <c r="X6" i="32"/>
  <c r="X69" i="32" s="1"/>
  <c r="Y6" i="32"/>
  <c r="Y69" i="32" s="1"/>
  <c r="Z6" i="32"/>
  <c r="AA6" i="32"/>
  <c r="AA60" i="32" s="1"/>
  <c r="AB6" i="32"/>
  <c r="AB69" i="32" s="1"/>
  <c r="L7" i="32"/>
  <c r="L16" i="32" s="1"/>
  <c r="L50" i="32" s="1"/>
  <c r="M7" i="32"/>
  <c r="M16" i="32" s="1"/>
  <c r="M50" i="32" s="1"/>
  <c r="N7" i="32"/>
  <c r="N16" i="32" s="1"/>
  <c r="O7" i="32"/>
  <c r="O16" i="32" s="1"/>
  <c r="O50" i="32" s="1"/>
  <c r="P7" i="32"/>
  <c r="P16" i="32" s="1"/>
  <c r="Q7" i="32"/>
  <c r="Q16" i="32" s="1"/>
  <c r="Q50" i="32" s="1"/>
  <c r="R7" i="32"/>
  <c r="R16" i="32" s="1"/>
  <c r="S7" i="32"/>
  <c r="S16" i="32" s="1"/>
  <c r="S50" i="32" s="1"/>
  <c r="T7" i="32"/>
  <c r="T16" i="32" s="1"/>
  <c r="T50" i="32" s="1"/>
  <c r="U7" i="32"/>
  <c r="U16" i="32" s="1"/>
  <c r="U50" i="32" s="1"/>
  <c r="V7" i="32"/>
  <c r="V16" i="32" s="1"/>
  <c r="W7" i="32"/>
  <c r="W16" i="32" s="1"/>
  <c r="W50" i="32" s="1"/>
  <c r="X7" i="32"/>
  <c r="X16" i="32" s="1"/>
  <c r="Y7" i="32"/>
  <c r="Y16" i="32" s="1"/>
  <c r="Z7" i="32"/>
  <c r="Z16" i="32" s="1"/>
  <c r="AA7" i="32"/>
  <c r="AA16" i="32" s="1"/>
  <c r="AA50" i="32" s="1"/>
  <c r="AB7" i="32"/>
  <c r="AB16" i="32" s="1"/>
  <c r="L8" i="32"/>
  <c r="M8" i="32"/>
  <c r="N8" i="32"/>
  <c r="O8" i="32"/>
  <c r="P8" i="32"/>
  <c r="Q8" i="32"/>
  <c r="R8" i="32"/>
  <c r="S8" i="32"/>
  <c r="T8" i="32"/>
  <c r="U8" i="32"/>
  <c r="V8" i="32"/>
  <c r="W8" i="32"/>
  <c r="X8" i="32"/>
  <c r="Y8" i="32"/>
  <c r="Z8" i="32"/>
  <c r="AA8" i="32"/>
  <c r="AB8" i="32"/>
  <c r="E6" i="32"/>
  <c r="E69" i="32" s="1"/>
  <c r="F6" i="32"/>
  <c r="F60" i="32" s="1"/>
  <c r="G6" i="32"/>
  <c r="H6" i="32"/>
  <c r="H60" i="32" s="1"/>
  <c r="I6" i="32"/>
  <c r="I69" i="32" s="1"/>
  <c r="J6" i="32"/>
  <c r="J69" i="32" s="1"/>
  <c r="K6" i="32"/>
  <c r="E7" i="32"/>
  <c r="E16" i="32" s="1"/>
  <c r="E50" i="32" s="1"/>
  <c r="F7" i="32"/>
  <c r="F16" i="32" s="1"/>
  <c r="F50" i="32" s="1"/>
  <c r="G7" i="32"/>
  <c r="G16" i="32" s="1"/>
  <c r="G50" i="32" s="1"/>
  <c r="H7" i="32"/>
  <c r="H16" i="32" s="1"/>
  <c r="AB17" i="32" s="1"/>
  <c r="I7" i="32"/>
  <c r="I16" i="32" s="1"/>
  <c r="I50" i="32" s="1"/>
  <c r="J7" i="32"/>
  <c r="J16" i="32" s="1"/>
  <c r="J40" i="32" s="1"/>
  <c r="K7" i="32"/>
  <c r="K16" i="32" s="1"/>
  <c r="K50" i="32" s="1"/>
  <c r="E8" i="32"/>
  <c r="F8" i="32"/>
  <c r="G8" i="32"/>
  <c r="H8" i="32"/>
  <c r="I8" i="32"/>
  <c r="J8" i="32"/>
  <c r="K8" i="32"/>
  <c r="D7" i="32"/>
  <c r="D16" i="32" s="1"/>
  <c r="D8" i="32"/>
  <c r="D6" i="32"/>
  <c r="D60" i="32" s="1"/>
  <c r="D192" i="32"/>
  <c r="E192" i="32" s="1"/>
  <c r="F192" i="32" s="1"/>
  <c r="G192" i="32" s="1"/>
  <c r="C192" i="32"/>
  <c r="C188" i="32"/>
  <c r="C187" i="32"/>
  <c r="C186" i="32"/>
  <c r="C185" i="32"/>
  <c r="D181" i="32"/>
  <c r="E181" i="32" s="1"/>
  <c r="C181" i="32"/>
  <c r="D180" i="32"/>
  <c r="E180" i="32" s="1"/>
  <c r="C180" i="32"/>
  <c r="C179" i="32"/>
  <c r="D185" i="32"/>
  <c r="D72" i="32"/>
  <c r="D69" i="32"/>
  <c r="D62" i="32"/>
  <c r="D63" i="32" s="1"/>
  <c r="D53" i="32"/>
  <c r="D41" i="32"/>
  <c r="D43" i="32" s="1"/>
  <c r="B15" i="34" s="1"/>
  <c r="B73" i="34" s="1"/>
  <c r="C27" i="32"/>
  <c r="C77" i="31"/>
  <c r="B77" i="31"/>
  <c r="C71" i="31"/>
  <c r="B71" i="31"/>
  <c r="C44" i="31"/>
  <c r="B44" i="31"/>
  <c r="C38" i="31"/>
  <c r="B38" i="31"/>
  <c r="C77" i="30"/>
  <c r="B77" i="30"/>
  <c r="C71" i="30"/>
  <c r="B71" i="30"/>
  <c r="C44" i="30"/>
  <c r="B44" i="30"/>
  <c r="C38" i="30"/>
  <c r="B38" i="30"/>
  <c r="D185" i="25"/>
  <c r="E185" i="25" s="1"/>
  <c r="F185" i="25" s="1"/>
  <c r="H185" i="25" s="1"/>
  <c r="I185" i="25" s="1"/>
  <c r="D188" i="25"/>
  <c r="B15" i="31" s="1"/>
  <c r="D189" i="25"/>
  <c r="B16" i="1" s="1"/>
  <c r="B81" i="1" s="1"/>
  <c r="D190" i="25"/>
  <c r="D187" i="25"/>
  <c r="B14" i="1" s="1"/>
  <c r="D184" i="25"/>
  <c r="E184" i="25" s="1"/>
  <c r="F184" i="25" s="1"/>
  <c r="D176" i="25"/>
  <c r="E176" i="25" s="1"/>
  <c r="D41" i="25"/>
  <c r="D43" i="25" s="1"/>
  <c r="B19" i="1" s="1"/>
  <c r="C77" i="1"/>
  <c r="B77" i="1"/>
  <c r="C71" i="1"/>
  <c r="B71" i="1"/>
  <c r="C44" i="1"/>
  <c r="B44" i="1"/>
  <c r="C38" i="1"/>
  <c r="B38" i="1"/>
  <c r="D178" i="25"/>
  <c r="D177" i="25"/>
  <c r="D191" i="25"/>
  <c r="D194" i="25"/>
  <c r="D193" i="25"/>
  <c r="D192" i="25"/>
  <c r="D186" i="25"/>
  <c r="E186" i="25" s="1"/>
  <c r="F186" i="25" s="1"/>
  <c r="G186" i="25" s="1"/>
  <c r="H186" i="25" s="1"/>
  <c r="I186" i="25" s="1"/>
  <c r="J186" i="25" s="1"/>
  <c r="K186" i="25" s="1"/>
  <c r="L186" i="25" s="1"/>
  <c r="M186" i="25" s="1"/>
  <c r="N186" i="25" s="1"/>
  <c r="O186" i="25" s="1"/>
  <c r="P186" i="25" s="1"/>
  <c r="Q186" i="25" s="1"/>
  <c r="R186" i="25" s="1"/>
  <c r="S186" i="25" s="1"/>
  <c r="T186" i="25" s="1"/>
  <c r="U186" i="25" s="1"/>
  <c r="V186" i="25" s="1"/>
  <c r="W186" i="25" s="1"/>
  <c r="X186" i="25" s="1"/>
  <c r="Y186" i="25" s="1"/>
  <c r="Z186" i="25" s="1"/>
  <c r="AA186" i="25" s="1"/>
  <c r="AB186" i="25" s="1"/>
  <c r="C184" i="25"/>
  <c r="C185" i="25"/>
  <c r="C186" i="25"/>
  <c r="C187" i="25"/>
  <c r="C188" i="25"/>
  <c r="C189" i="25"/>
  <c r="C190" i="25"/>
  <c r="C191" i="25"/>
  <c r="C192" i="25"/>
  <c r="C193" i="25"/>
  <c r="C194" i="25"/>
  <c r="C183" i="25"/>
  <c r="C177" i="25"/>
  <c r="C178" i="25"/>
  <c r="C179" i="25"/>
  <c r="C176" i="25"/>
  <c r="F69" i="25"/>
  <c r="G69" i="25"/>
  <c r="H69" i="25"/>
  <c r="I69" i="25"/>
  <c r="J69" i="25"/>
  <c r="K69" i="25"/>
  <c r="L69" i="25"/>
  <c r="M69" i="25"/>
  <c r="N69" i="25"/>
  <c r="O69" i="25"/>
  <c r="P69" i="25"/>
  <c r="Q69" i="25"/>
  <c r="R69" i="25"/>
  <c r="S69" i="25"/>
  <c r="T69" i="25"/>
  <c r="U69" i="25"/>
  <c r="V69" i="25"/>
  <c r="W69" i="25"/>
  <c r="X69" i="25"/>
  <c r="Y69" i="25"/>
  <c r="Z69" i="25"/>
  <c r="AA69" i="25"/>
  <c r="AB69" i="25"/>
  <c r="E69" i="25"/>
  <c r="N112" i="25"/>
  <c r="H112" i="25"/>
  <c r="I101" i="25"/>
  <c r="AB87" i="25"/>
  <c r="AA87" i="25"/>
  <c r="Z87" i="25"/>
  <c r="Y87" i="25"/>
  <c r="X87" i="25"/>
  <c r="W87" i="25"/>
  <c r="V87" i="25"/>
  <c r="U87" i="25"/>
  <c r="T87" i="25"/>
  <c r="S87" i="25"/>
  <c r="R87" i="25"/>
  <c r="Q87" i="25"/>
  <c r="P87" i="25"/>
  <c r="O87" i="25"/>
  <c r="N87" i="25"/>
  <c r="M87" i="25"/>
  <c r="L87" i="25"/>
  <c r="K87" i="25"/>
  <c r="J87" i="25"/>
  <c r="I87" i="25"/>
  <c r="H87" i="25"/>
  <c r="G87" i="25"/>
  <c r="F87" i="25"/>
  <c r="E87" i="25"/>
  <c r="AA86" i="25"/>
  <c r="AB86" i="25"/>
  <c r="Z86" i="25"/>
  <c r="X86" i="25"/>
  <c r="Y86" i="25"/>
  <c r="W86" i="25"/>
  <c r="U86" i="25"/>
  <c r="V86" i="25"/>
  <c r="T86" i="25"/>
  <c r="R86" i="25"/>
  <c r="S86" i="25"/>
  <c r="Q86" i="25"/>
  <c r="O86" i="25"/>
  <c r="P86" i="25"/>
  <c r="N86" i="25"/>
  <c r="L86" i="25"/>
  <c r="M86" i="25"/>
  <c r="K86" i="25"/>
  <c r="I86" i="25"/>
  <c r="J86" i="25"/>
  <c r="H86" i="25"/>
  <c r="G86" i="25"/>
  <c r="F86" i="25"/>
  <c r="E86" i="25"/>
  <c r="E62" i="25"/>
  <c r="E71" i="25" s="1"/>
  <c r="D62" i="25"/>
  <c r="D63" i="25" s="1"/>
  <c r="E60" i="25"/>
  <c r="F60" i="25"/>
  <c r="G60" i="25"/>
  <c r="H60" i="25"/>
  <c r="I60" i="25"/>
  <c r="J60" i="25"/>
  <c r="K60" i="25"/>
  <c r="L60" i="25"/>
  <c r="M60" i="25"/>
  <c r="N60" i="25"/>
  <c r="O60" i="25"/>
  <c r="P60" i="25"/>
  <c r="Q60" i="25"/>
  <c r="R60" i="25"/>
  <c r="S60" i="25"/>
  <c r="T60" i="25"/>
  <c r="U60" i="25"/>
  <c r="V60" i="25"/>
  <c r="W60" i="25"/>
  <c r="X60" i="25"/>
  <c r="Y60" i="25"/>
  <c r="Z60" i="25"/>
  <c r="AA60" i="25"/>
  <c r="AB60" i="25"/>
  <c r="D60" i="25"/>
  <c r="D72" i="25"/>
  <c r="D69" i="25"/>
  <c r="C27" i="25"/>
  <c r="D53" i="25"/>
  <c r="E16" i="25"/>
  <c r="F16" i="25"/>
  <c r="G16" i="25"/>
  <c r="H16" i="25"/>
  <c r="AB17" i="25" s="1"/>
  <c r="I16" i="25"/>
  <c r="I50" i="25" s="1"/>
  <c r="J16" i="25"/>
  <c r="K16" i="25"/>
  <c r="L16" i="25"/>
  <c r="L50" i="25" s="1"/>
  <c r="M16" i="25"/>
  <c r="M50" i="25" s="1"/>
  <c r="N16" i="25"/>
  <c r="O16" i="25"/>
  <c r="O50" i="25" s="1"/>
  <c r="P16" i="25"/>
  <c r="Q16" i="25"/>
  <c r="Q50" i="25" s="1"/>
  <c r="R16" i="25"/>
  <c r="S16" i="25"/>
  <c r="T16" i="25"/>
  <c r="U16" i="25"/>
  <c r="V16" i="25"/>
  <c r="W16" i="25"/>
  <c r="X16" i="25"/>
  <c r="X50" i="25" s="1"/>
  <c r="Y16" i="25"/>
  <c r="Y50" i="25" s="1"/>
  <c r="Z16" i="25"/>
  <c r="AA16" i="25"/>
  <c r="AA50" i="25" s="1"/>
  <c r="AB16" i="25"/>
  <c r="AB50" i="25" s="1"/>
  <c r="D16" i="25"/>
  <c r="AC7" i="25"/>
  <c r="AC8" i="25"/>
  <c r="AC6" i="25"/>
  <c r="E92" i="45" l="1"/>
  <c r="U97" i="45" s="1"/>
  <c r="E65" i="61"/>
  <c r="Q101" i="25"/>
  <c r="D66" i="61"/>
  <c r="D104" i="45"/>
  <c r="N109" i="45" s="1"/>
  <c r="D77" i="61"/>
  <c r="F92" i="45"/>
  <c r="P97" i="45" s="1"/>
  <c r="F65" i="61"/>
  <c r="F93" i="45"/>
  <c r="F66" i="61"/>
  <c r="F107" i="36"/>
  <c r="J112" i="36" s="1"/>
  <c r="F77" i="61"/>
  <c r="E108" i="25"/>
  <c r="E66" i="61"/>
  <c r="E107" i="32"/>
  <c r="E77" i="61"/>
  <c r="AB42" i="36"/>
  <c r="AB43" i="36" s="1"/>
  <c r="Z14" i="39" s="1"/>
  <c r="Z69" i="39" s="1"/>
  <c r="D95" i="36"/>
  <c r="W100" i="36" s="1"/>
  <c r="D65" i="61"/>
  <c r="B32" i="46"/>
  <c r="B60" i="46" s="1"/>
  <c r="B10" i="65"/>
  <c r="B10" i="66"/>
  <c r="B6" i="65"/>
  <c r="B6" i="66"/>
  <c r="A11" i="66"/>
  <c r="A11" i="65"/>
  <c r="A10" i="66"/>
  <c r="A10" i="65"/>
  <c r="B38" i="66"/>
  <c r="B38" i="65"/>
  <c r="B11" i="66"/>
  <c r="B11" i="65"/>
  <c r="K159" i="45"/>
  <c r="B38" i="46"/>
  <c r="A11" i="46"/>
  <c r="A37" i="46" s="1"/>
  <c r="A10" i="46"/>
  <c r="A64" i="46" s="1"/>
  <c r="J10" i="37"/>
  <c r="J65" i="37" s="1"/>
  <c r="N10" i="39"/>
  <c r="N37" i="39" s="1"/>
  <c r="V10" i="39"/>
  <c r="V65" i="39" s="1"/>
  <c r="R10" i="37"/>
  <c r="R65" i="37" s="1"/>
  <c r="D10" i="37"/>
  <c r="D65" i="37" s="1"/>
  <c r="H10" i="37"/>
  <c r="H37" i="37" s="1"/>
  <c r="L10" i="37"/>
  <c r="L65" i="37" s="1"/>
  <c r="P10" i="37"/>
  <c r="P65" i="37" s="1"/>
  <c r="T10" i="37"/>
  <c r="T65" i="37" s="1"/>
  <c r="X10" i="37"/>
  <c r="X65" i="37" s="1"/>
  <c r="E10" i="39"/>
  <c r="E37" i="39" s="1"/>
  <c r="I10" i="39"/>
  <c r="I65" i="39" s="1"/>
  <c r="M10" i="39"/>
  <c r="M37" i="39" s="1"/>
  <c r="Q10" i="39"/>
  <c r="Q65" i="39" s="1"/>
  <c r="U10" i="39"/>
  <c r="U65" i="39" s="1"/>
  <c r="Y10" i="39"/>
  <c r="Y65" i="39" s="1"/>
  <c r="D73" i="36"/>
  <c r="E68" i="36" s="1"/>
  <c r="E70" i="36" s="1"/>
  <c r="A12" i="37"/>
  <c r="A39" i="37" s="1"/>
  <c r="A10" i="38"/>
  <c r="A37" i="38" s="1"/>
  <c r="B14" i="38"/>
  <c r="B69" i="38" s="1"/>
  <c r="B41" i="38"/>
  <c r="A12" i="39"/>
  <c r="A39" i="39" s="1"/>
  <c r="AA10" i="38"/>
  <c r="AA65" i="38" s="1"/>
  <c r="A13" i="37"/>
  <c r="A40" i="37" s="1"/>
  <c r="A11" i="38"/>
  <c r="A38" i="38" s="1"/>
  <c r="A13" i="39"/>
  <c r="A40" i="39" s="1"/>
  <c r="A10" i="37"/>
  <c r="A37" i="37" s="1"/>
  <c r="B14" i="37"/>
  <c r="B69" i="37" s="1"/>
  <c r="B41" i="39"/>
  <c r="Z10" i="39"/>
  <c r="Z65" i="39" s="1"/>
  <c r="A11" i="37"/>
  <c r="A38" i="37" s="1"/>
  <c r="B14" i="33"/>
  <c r="B14" i="35" s="1"/>
  <c r="B42" i="35" s="1"/>
  <c r="AC50" i="36"/>
  <c r="AC52" i="36" s="1"/>
  <c r="AA10" i="39"/>
  <c r="AA37" i="39" s="1"/>
  <c r="AA10" i="37"/>
  <c r="AA65" i="37" s="1"/>
  <c r="G101" i="25"/>
  <c r="P101" i="25"/>
  <c r="R100" i="25"/>
  <c r="Y101" i="25"/>
  <c r="G100" i="25"/>
  <c r="AB101" i="25"/>
  <c r="I100" i="25"/>
  <c r="M101" i="25"/>
  <c r="I52" i="36"/>
  <c r="I62" i="36" s="1"/>
  <c r="I71" i="36" s="1"/>
  <c r="M52" i="36"/>
  <c r="M62" i="36" s="1"/>
  <c r="M71" i="36" s="1"/>
  <c r="Q52" i="36"/>
  <c r="Q62" i="36" s="1"/>
  <c r="Q71" i="36" s="1"/>
  <c r="U52" i="36"/>
  <c r="U62" i="36" s="1"/>
  <c r="U71" i="36" s="1"/>
  <c r="Y52" i="36"/>
  <c r="Y62" i="36" s="1"/>
  <c r="Y71" i="36" s="1"/>
  <c r="AB100" i="25"/>
  <c r="I112" i="25"/>
  <c r="K10" i="37"/>
  <c r="K65" i="37" s="1"/>
  <c r="F95" i="32"/>
  <c r="V100" i="32" s="1"/>
  <c r="O100" i="25"/>
  <c r="U100" i="25"/>
  <c r="S101" i="25"/>
  <c r="F112" i="25"/>
  <c r="R112" i="25"/>
  <c r="E95" i="32"/>
  <c r="U100" i="32" s="1"/>
  <c r="S100" i="25"/>
  <c r="P100" i="25"/>
  <c r="X100" i="25"/>
  <c r="J101" i="25"/>
  <c r="V101" i="25"/>
  <c r="U112" i="25"/>
  <c r="F96" i="32"/>
  <c r="P101" i="32" s="1"/>
  <c r="E95" i="36"/>
  <c r="O100" i="36" s="1"/>
  <c r="N101" i="25"/>
  <c r="K100" i="25"/>
  <c r="Z101" i="25"/>
  <c r="E188" i="25"/>
  <c r="F188" i="25" s="1"/>
  <c r="H188" i="25" s="1"/>
  <c r="I188" i="25" s="1"/>
  <c r="K188" i="25" s="1"/>
  <c r="L188" i="25" s="1"/>
  <c r="N188" i="25" s="1"/>
  <c r="O188" i="25" s="1"/>
  <c r="Q188" i="25" s="1"/>
  <c r="R188" i="25" s="1"/>
  <c r="T188" i="25" s="1"/>
  <c r="U188" i="25" s="1"/>
  <c r="W188" i="25" s="1"/>
  <c r="X188" i="25" s="1"/>
  <c r="Z188" i="25" s="1"/>
  <c r="AA188" i="25" s="1"/>
  <c r="F100" i="25"/>
  <c r="L100" i="25"/>
  <c r="AA100" i="25"/>
  <c r="M112" i="25"/>
  <c r="Y112" i="25"/>
  <c r="F95" i="36"/>
  <c r="S100" i="36" s="1"/>
  <c r="D108" i="25"/>
  <c r="D93" i="45"/>
  <c r="W98" i="45" s="1"/>
  <c r="W100" i="25"/>
  <c r="Y10" i="38"/>
  <c r="Y37" i="38" s="1"/>
  <c r="Q112" i="25"/>
  <c r="W112" i="25"/>
  <c r="B16" i="30"/>
  <c r="B81" i="30" s="1"/>
  <c r="D107" i="32"/>
  <c r="T112" i="32" s="1"/>
  <c r="W10" i="37"/>
  <c r="W65" i="37" s="1"/>
  <c r="G10" i="37"/>
  <c r="G65" i="37" s="1"/>
  <c r="D10" i="38"/>
  <c r="D65" i="38" s="1"/>
  <c r="L10" i="38"/>
  <c r="L37" i="38" s="1"/>
  <c r="T10" i="38"/>
  <c r="T65" i="38" s="1"/>
  <c r="E104" i="45"/>
  <c r="U109" i="45" s="1"/>
  <c r="I10" i="38"/>
  <c r="I65" i="38" s="1"/>
  <c r="Q10" i="38"/>
  <c r="Q37" i="38" s="1"/>
  <c r="E112" i="25"/>
  <c r="K112" i="25"/>
  <c r="D107" i="36"/>
  <c r="N112" i="36" s="1"/>
  <c r="S10" i="37"/>
  <c r="S65" i="37" s="1"/>
  <c r="E10" i="38"/>
  <c r="E65" i="38" s="1"/>
  <c r="M10" i="38"/>
  <c r="M37" i="38" s="1"/>
  <c r="U10" i="38"/>
  <c r="U65" i="38" s="1"/>
  <c r="T112" i="25"/>
  <c r="Z112" i="25"/>
  <c r="B18" i="1"/>
  <c r="B50" i="1" s="1"/>
  <c r="O10" i="37"/>
  <c r="O65" i="37" s="1"/>
  <c r="H10" i="38"/>
  <c r="H37" i="38" s="1"/>
  <c r="P10" i="38"/>
  <c r="P37" i="38" s="1"/>
  <c r="X10" i="38"/>
  <c r="X37" i="38" s="1"/>
  <c r="B10" i="37"/>
  <c r="B65" i="37" s="1"/>
  <c r="B10" i="38"/>
  <c r="B65" i="38" s="1"/>
  <c r="B10" i="39"/>
  <c r="B65" i="39" s="1"/>
  <c r="E105" i="45"/>
  <c r="R110" i="45" s="1"/>
  <c r="X113" i="25"/>
  <c r="L113" i="25"/>
  <c r="E108" i="36"/>
  <c r="X113" i="36" s="1"/>
  <c r="R113" i="25"/>
  <c r="AA113" i="25"/>
  <c r="O113" i="25"/>
  <c r="E108" i="32"/>
  <c r="L113" i="32" s="1"/>
  <c r="F113" i="25"/>
  <c r="U113" i="25"/>
  <c r="H87" i="36"/>
  <c r="H100" i="25"/>
  <c r="O101" i="25"/>
  <c r="J112" i="25"/>
  <c r="V112" i="25"/>
  <c r="Q87" i="36"/>
  <c r="Z10" i="37"/>
  <c r="Z65" i="37" s="1"/>
  <c r="V10" i="37"/>
  <c r="V37" i="37" s="1"/>
  <c r="N10" i="37"/>
  <c r="N37" i="37" s="1"/>
  <c r="F10" i="37"/>
  <c r="F65" i="37" s="1"/>
  <c r="G10" i="39"/>
  <c r="G37" i="39" s="1"/>
  <c r="O10" i="39"/>
  <c r="O37" i="39" s="1"/>
  <c r="S10" i="39"/>
  <c r="S65" i="39" s="1"/>
  <c r="D92" i="45"/>
  <c r="W97" i="45" s="1"/>
  <c r="E93" i="45"/>
  <c r="AA98" i="45" s="1"/>
  <c r="F104" i="45"/>
  <c r="Y109" i="45" s="1"/>
  <c r="E100" i="25"/>
  <c r="M100" i="25"/>
  <c r="Q100" i="25"/>
  <c r="Y100" i="25"/>
  <c r="F101" i="25"/>
  <c r="L101" i="25"/>
  <c r="AA101" i="25"/>
  <c r="G112" i="25"/>
  <c r="O112" i="25"/>
  <c r="S112" i="25"/>
  <c r="AA112" i="25"/>
  <c r="B16" i="31"/>
  <c r="B81" i="31" s="1"/>
  <c r="F107" i="32"/>
  <c r="P112" i="32" s="1"/>
  <c r="R69" i="36"/>
  <c r="T87" i="36"/>
  <c r="E96" i="36"/>
  <c r="O101" i="36" s="1"/>
  <c r="E107" i="36"/>
  <c r="X112" i="36" s="1"/>
  <c r="AC42" i="36"/>
  <c r="AC43" i="36" s="1"/>
  <c r="Y10" i="37"/>
  <c r="Y65" i="37" s="1"/>
  <c r="U10" i="37"/>
  <c r="U65" i="37" s="1"/>
  <c r="Q10" i="37"/>
  <c r="Q65" i="37" s="1"/>
  <c r="M10" i="37"/>
  <c r="M65" i="37" s="1"/>
  <c r="I10" i="37"/>
  <c r="I65" i="37" s="1"/>
  <c r="E10" i="37"/>
  <c r="E65" i="37" s="1"/>
  <c r="F10" i="38"/>
  <c r="F65" i="38" s="1"/>
  <c r="J10" i="38"/>
  <c r="J65" i="38" s="1"/>
  <c r="N10" i="38"/>
  <c r="N65" i="38" s="1"/>
  <c r="R10" i="38"/>
  <c r="R65" i="38" s="1"/>
  <c r="V10" i="38"/>
  <c r="V65" i="38" s="1"/>
  <c r="Z10" i="38"/>
  <c r="Z65" i="38" s="1"/>
  <c r="D10" i="39"/>
  <c r="D65" i="39" s="1"/>
  <c r="H10" i="39"/>
  <c r="H65" i="39" s="1"/>
  <c r="L10" i="39"/>
  <c r="L65" i="39" s="1"/>
  <c r="P10" i="39"/>
  <c r="P65" i="39" s="1"/>
  <c r="T10" i="39"/>
  <c r="T65" i="39" s="1"/>
  <c r="X10" i="39"/>
  <c r="X65" i="39" s="1"/>
  <c r="R153" i="25"/>
  <c r="R154" i="25" s="1"/>
  <c r="R155" i="25" s="1"/>
  <c r="F108" i="25"/>
  <c r="F78" i="61" s="1"/>
  <c r="J10" i="39"/>
  <c r="J65" i="39" s="1"/>
  <c r="R10" i="39"/>
  <c r="R65" i="39" s="1"/>
  <c r="T100" i="25"/>
  <c r="U101" i="25"/>
  <c r="B18" i="30"/>
  <c r="B83" i="30" s="1"/>
  <c r="AD8" i="36"/>
  <c r="K10" i="39"/>
  <c r="K65" i="39" s="1"/>
  <c r="W10" i="39"/>
  <c r="W37" i="39" s="1"/>
  <c r="J100" i="25"/>
  <c r="N100" i="25"/>
  <c r="V100" i="25"/>
  <c r="Z100" i="25"/>
  <c r="R101" i="25"/>
  <c r="X101" i="25"/>
  <c r="L112" i="25"/>
  <c r="P112" i="25"/>
  <c r="X112" i="25"/>
  <c r="AB112" i="25"/>
  <c r="E189" i="25"/>
  <c r="F189" i="25" s="1"/>
  <c r="H189" i="25" s="1"/>
  <c r="I189" i="25" s="1"/>
  <c r="K189" i="25" s="1"/>
  <c r="L189" i="25" s="1"/>
  <c r="N189" i="25" s="1"/>
  <c r="O189" i="25" s="1"/>
  <c r="Q189" i="25" s="1"/>
  <c r="R189" i="25" s="1"/>
  <c r="T189" i="25" s="1"/>
  <c r="U189" i="25" s="1"/>
  <c r="W189" i="25" s="1"/>
  <c r="X189" i="25" s="1"/>
  <c r="Z189" i="25" s="1"/>
  <c r="AA189" i="25" s="1"/>
  <c r="B13" i="30"/>
  <c r="B78" i="30" s="1"/>
  <c r="D95" i="32"/>
  <c r="K100" i="32" s="1"/>
  <c r="E96" i="32"/>
  <c r="O101" i="32" s="1"/>
  <c r="E87" i="36"/>
  <c r="AC17" i="36"/>
  <c r="G10" i="38"/>
  <c r="G65" i="38" s="1"/>
  <c r="K10" i="38"/>
  <c r="K37" i="38" s="1"/>
  <c r="O10" i="38"/>
  <c r="O37" i="38" s="1"/>
  <c r="S10" i="38"/>
  <c r="S65" i="38" s="1"/>
  <c r="W10" i="38"/>
  <c r="W65" i="38" s="1"/>
  <c r="A72" i="34"/>
  <c r="B15" i="43"/>
  <c r="B47" i="43" s="1"/>
  <c r="B15" i="42"/>
  <c r="B47" i="42" s="1"/>
  <c r="B7" i="42"/>
  <c r="B37" i="42" s="1"/>
  <c r="B7" i="43"/>
  <c r="B37" i="43" s="1"/>
  <c r="B38" i="43"/>
  <c r="B72" i="43"/>
  <c r="A12" i="41"/>
  <c r="A12" i="43"/>
  <c r="A78" i="43" s="1"/>
  <c r="A12" i="42"/>
  <c r="A78" i="42" s="1"/>
  <c r="A14" i="41"/>
  <c r="A14" i="43"/>
  <c r="A80" i="43" s="1"/>
  <c r="A14" i="42"/>
  <c r="A81" i="41"/>
  <c r="A13" i="42"/>
  <c r="A79" i="42" s="1"/>
  <c r="A13" i="43"/>
  <c r="A79" i="43" s="1"/>
  <c r="A79" i="41"/>
  <c r="B8" i="42"/>
  <c r="B12" i="42"/>
  <c r="A15" i="42"/>
  <c r="A47" i="42" s="1"/>
  <c r="B49" i="42"/>
  <c r="A15" i="43"/>
  <c r="A81" i="43" s="1"/>
  <c r="B49" i="43"/>
  <c r="E156" i="45"/>
  <c r="B6" i="46"/>
  <c r="E163" i="45"/>
  <c r="F163" i="45" s="1"/>
  <c r="H163" i="45" s="1"/>
  <c r="I163" i="45" s="1"/>
  <c r="K163" i="45" s="1"/>
  <c r="L163" i="45" s="1"/>
  <c r="B11" i="46"/>
  <c r="E155" i="45"/>
  <c r="E162" i="45"/>
  <c r="B10" i="46"/>
  <c r="D40" i="45"/>
  <c r="M140" i="45"/>
  <c r="N140" i="45" s="1"/>
  <c r="E39" i="45"/>
  <c r="J83" i="45"/>
  <c r="S83" i="45"/>
  <c r="AB97" i="45"/>
  <c r="AB83" i="45"/>
  <c r="R83" i="45"/>
  <c r="AA83" i="45"/>
  <c r="O84" i="45"/>
  <c r="Z109" i="45"/>
  <c r="K83" i="45"/>
  <c r="S84" i="45"/>
  <c r="F83" i="45"/>
  <c r="O83" i="45"/>
  <c r="V83" i="45"/>
  <c r="G84" i="45"/>
  <c r="V84" i="45"/>
  <c r="G83" i="45"/>
  <c r="P83" i="45"/>
  <c r="J84" i="45"/>
  <c r="Y97" i="45"/>
  <c r="J49" i="45"/>
  <c r="J59" i="45" s="1"/>
  <c r="J68" i="45" s="1"/>
  <c r="J39" i="45"/>
  <c r="R59" i="45"/>
  <c r="R68" i="45" s="1"/>
  <c r="Z59" i="45"/>
  <c r="Z68" i="45" s="1"/>
  <c r="I66" i="45"/>
  <c r="I57" i="45"/>
  <c r="Q66" i="45"/>
  <c r="Q57" i="45"/>
  <c r="Y66" i="45"/>
  <c r="Y57" i="45"/>
  <c r="K49" i="45"/>
  <c r="K59" i="45" s="1"/>
  <c r="K68" i="45" s="1"/>
  <c r="K39" i="45"/>
  <c r="AA59" i="45"/>
  <c r="AA68" i="45" s="1"/>
  <c r="H49" i="45"/>
  <c r="H59" i="45" s="1"/>
  <c r="H68" i="45" s="1"/>
  <c r="H39" i="45"/>
  <c r="P59" i="45"/>
  <c r="P68" i="45" s="1"/>
  <c r="AB59" i="45"/>
  <c r="AB68" i="45" s="1"/>
  <c r="F49" i="45"/>
  <c r="F59" i="45" s="1"/>
  <c r="F68" i="45" s="1"/>
  <c r="V59" i="45"/>
  <c r="V68" i="45" s="1"/>
  <c r="I49" i="45"/>
  <c r="I59" i="45" s="1"/>
  <c r="I68" i="45" s="1"/>
  <c r="I39" i="45"/>
  <c r="Q59" i="45"/>
  <c r="Q68" i="45" s="1"/>
  <c r="Y59" i="45"/>
  <c r="Y68" i="45" s="1"/>
  <c r="F39" i="45"/>
  <c r="E66" i="45"/>
  <c r="AC66" i="45" s="1"/>
  <c r="E57" i="45"/>
  <c r="M66" i="45"/>
  <c r="M57" i="45"/>
  <c r="U66" i="45"/>
  <c r="U57" i="45"/>
  <c r="G49" i="45"/>
  <c r="G59" i="45" s="1"/>
  <c r="G68" i="45" s="1"/>
  <c r="G39" i="45"/>
  <c r="O59" i="45"/>
  <c r="O68" i="45" s="1"/>
  <c r="W59" i="45"/>
  <c r="W68" i="45" s="1"/>
  <c r="E49" i="45"/>
  <c r="E11" i="45"/>
  <c r="C39" i="46" s="1"/>
  <c r="M49" i="45"/>
  <c r="M59" i="45" s="1"/>
  <c r="M68" i="45" s="1"/>
  <c r="M39" i="45"/>
  <c r="U59" i="45"/>
  <c r="U68" i="45" s="1"/>
  <c r="L49" i="45"/>
  <c r="L59" i="45" s="1"/>
  <c r="L68" i="45" s="1"/>
  <c r="L39" i="45"/>
  <c r="T59" i="45"/>
  <c r="T68" i="45" s="1"/>
  <c r="X59" i="45"/>
  <c r="X68" i="45" s="1"/>
  <c r="D61" i="45"/>
  <c r="E56" i="45" s="1"/>
  <c r="H66" i="45"/>
  <c r="H57" i="45"/>
  <c r="AC57" i="45" s="1"/>
  <c r="L66" i="45"/>
  <c r="L57" i="45"/>
  <c r="P66" i="45"/>
  <c r="P57" i="45"/>
  <c r="T66" i="45"/>
  <c r="T57" i="45"/>
  <c r="X66" i="45"/>
  <c r="X57" i="45"/>
  <c r="AB66" i="45"/>
  <c r="AB57" i="45"/>
  <c r="S59" i="45"/>
  <c r="S68" i="45" s="1"/>
  <c r="J57" i="45"/>
  <c r="R57" i="45"/>
  <c r="Z57" i="45"/>
  <c r="K66" i="45"/>
  <c r="AA66" i="45"/>
  <c r="K84" i="45"/>
  <c r="O66" i="45"/>
  <c r="L97" i="45"/>
  <c r="Q84" i="45"/>
  <c r="E84" i="45"/>
  <c r="T84" i="45"/>
  <c r="H84" i="45"/>
  <c r="Z84" i="45"/>
  <c r="N84" i="45"/>
  <c r="AA97" i="45"/>
  <c r="O97" i="45"/>
  <c r="R97" i="45"/>
  <c r="F97" i="45"/>
  <c r="X97" i="45"/>
  <c r="I97" i="45"/>
  <c r="R140" i="45"/>
  <c r="R141" i="45" s="1"/>
  <c r="S98" i="45"/>
  <c r="G98" i="45"/>
  <c r="V98" i="45"/>
  <c r="J98" i="45"/>
  <c r="P98" i="45"/>
  <c r="AB98" i="45"/>
  <c r="M98" i="45"/>
  <c r="Y98" i="45"/>
  <c r="D70" i="45"/>
  <c r="E65" i="45" s="1"/>
  <c r="Q83" i="45"/>
  <c r="E83" i="45"/>
  <c r="T83" i="45"/>
  <c r="H83" i="45"/>
  <c r="U84" i="45"/>
  <c r="I84" i="45"/>
  <c r="X84" i="45"/>
  <c r="L84" i="45"/>
  <c r="W83" i="45"/>
  <c r="F84" i="45"/>
  <c r="N83" i="45"/>
  <c r="R84" i="45"/>
  <c r="S97" i="45"/>
  <c r="G97" i="45"/>
  <c r="V97" i="45"/>
  <c r="J97" i="45"/>
  <c r="M97" i="45"/>
  <c r="T109" i="45"/>
  <c r="H109" i="45"/>
  <c r="L83" i="45"/>
  <c r="X83" i="45"/>
  <c r="P84" i="45"/>
  <c r="AB84" i="45"/>
  <c r="I83" i="45"/>
  <c r="M83" i="45"/>
  <c r="M84" i="45"/>
  <c r="Y84" i="45"/>
  <c r="B14" i="42"/>
  <c r="B46" i="42" s="1"/>
  <c r="B14" i="43"/>
  <c r="B46" i="43" s="1"/>
  <c r="W151" i="40"/>
  <c r="W152" i="40" s="1"/>
  <c r="P101" i="36"/>
  <c r="R151" i="40"/>
  <c r="K101" i="25"/>
  <c r="W101" i="25"/>
  <c r="D96" i="32"/>
  <c r="Z101" i="32" s="1"/>
  <c r="N94" i="40"/>
  <c r="H101" i="25"/>
  <c r="T101" i="25"/>
  <c r="D96" i="36"/>
  <c r="H101" i="36" s="1"/>
  <c r="E101" i="25"/>
  <c r="N65" i="39"/>
  <c r="B13" i="38"/>
  <c r="B68" i="38" s="1"/>
  <c r="B13" i="39"/>
  <c r="B68" i="39" s="1"/>
  <c r="B13" i="37"/>
  <c r="B40" i="37" s="1"/>
  <c r="B12" i="37"/>
  <c r="B67" i="37" s="1"/>
  <c r="B12" i="39"/>
  <c r="B67" i="39" s="1"/>
  <c r="B12" i="38"/>
  <c r="B67" i="38" s="1"/>
  <c r="E189" i="32"/>
  <c r="B43" i="33"/>
  <c r="B43" i="35"/>
  <c r="B10" i="33"/>
  <c r="B67" i="33" s="1"/>
  <c r="B10" i="35"/>
  <c r="B67" i="35" s="1"/>
  <c r="B44" i="34"/>
  <c r="B10" i="34"/>
  <c r="B68" i="34" s="1"/>
  <c r="B15" i="33"/>
  <c r="B72" i="33" s="1"/>
  <c r="B15" i="35"/>
  <c r="B72" i="35" s="1"/>
  <c r="J87" i="32"/>
  <c r="M151" i="32"/>
  <c r="E188" i="32"/>
  <c r="F188" i="32" s="1"/>
  <c r="H188" i="32" s="1"/>
  <c r="I188" i="32" s="1"/>
  <c r="K188" i="32" s="1"/>
  <c r="L188" i="32" s="1"/>
  <c r="N188" i="32" s="1"/>
  <c r="B13" i="35"/>
  <c r="B41" i="35" s="1"/>
  <c r="B12" i="35"/>
  <c r="B69" i="35" s="1"/>
  <c r="B12" i="34"/>
  <c r="B70" i="34" s="1"/>
  <c r="B16" i="42"/>
  <c r="B82" i="42" s="1"/>
  <c r="B16" i="43"/>
  <c r="B48" i="43" s="1"/>
  <c r="B78" i="43"/>
  <c r="G189" i="40"/>
  <c r="B16" i="41"/>
  <c r="E180" i="40"/>
  <c r="B8" i="41"/>
  <c r="S10" i="40"/>
  <c r="B14" i="41"/>
  <c r="B46" i="41" s="1"/>
  <c r="B15" i="41"/>
  <c r="B81" i="41" s="1"/>
  <c r="E185" i="40"/>
  <c r="C7" i="43" s="1"/>
  <c r="B12" i="41"/>
  <c r="B78" i="41" s="1"/>
  <c r="B7" i="41"/>
  <c r="B37" i="41" s="1"/>
  <c r="H179" i="40"/>
  <c r="D66" i="40"/>
  <c r="E61" i="40" s="1"/>
  <c r="E63" i="40" s="1"/>
  <c r="W55" i="40"/>
  <c r="W64" i="40" s="1"/>
  <c r="AA55" i="40"/>
  <c r="AA64" i="40" s="1"/>
  <c r="T55" i="40"/>
  <c r="T64" i="40" s="1"/>
  <c r="AB55" i="40"/>
  <c r="AB64" i="40" s="1"/>
  <c r="F106" i="40"/>
  <c r="M106" i="40"/>
  <c r="S93" i="40"/>
  <c r="E105" i="40"/>
  <c r="M80" i="40"/>
  <c r="P94" i="40"/>
  <c r="Q105" i="40"/>
  <c r="U79" i="40"/>
  <c r="Q80" i="40"/>
  <c r="H105" i="40"/>
  <c r="T105" i="40"/>
  <c r="R106" i="40"/>
  <c r="E79" i="40"/>
  <c r="E80" i="40"/>
  <c r="U80" i="40"/>
  <c r="G93" i="40"/>
  <c r="AB93" i="40"/>
  <c r="N105" i="40"/>
  <c r="U105" i="40"/>
  <c r="I106" i="40"/>
  <c r="U106" i="40"/>
  <c r="Q79" i="40"/>
  <c r="H43" i="40"/>
  <c r="I79" i="40"/>
  <c r="I80" i="40"/>
  <c r="Y80" i="40"/>
  <c r="Z105" i="40"/>
  <c r="L106" i="40"/>
  <c r="X106" i="40"/>
  <c r="I43" i="40"/>
  <c r="F43" i="40"/>
  <c r="J43" i="40"/>
  <c r="N43" i="40"/>
  <c r="R43" i="40"/>
  <c r="V55" i="40"/>
  <c r="V64" i="40" s="1"/>
  <c r="Z55" i="40"/>
  <c r="Z64" i="40" s="1"/>
  <c r="E11" i="40"/>
  <c r="E43" i="40"/>
  <c r="M43" i="40"/>
  <c r="U55" i="40"/>
  <c r="U64" i="40" s="1"/>
  <c r="Y55" i="40"/>
  <c r="Y64" i="40" s="1"/>
  <c r="Q43" i="40"/>
  <c r="R62" i="40"/>
  <c r="R53" i="40"/>
  <c r="N33" i="40"/>
  <c r="O35" i="40" s="1"/>
  <c r="AB79" i="40"/>
  <c r="P79" i="40"/>
  <c r="S79" i="40"/>
  <c r="G79" i="40"/>
  <c r="V79" i="40"/>
  <c r="J79" i="40"/>
  <c r="M79" i="40"/>
  <c r="Y79" i="40"/>
  <c r="G33" i="40"/>
  <c r="H35" i="40" s="1"/>
  <c r="K33" i="40"/>
  <c r="L35" i="40" s="1"/>
  <c r="O33" i="40"/>
  <c r="P35" i="40" s="1"/>
  <c r="O43" i="40"/>
  <c r="K53" i="40"/>
  <c r="S53" i="40"/>
  <c r="AA53" i="40"/>
  <c r="J53" i="40"/>
  <c r="J62" i="40"/>
  <c r="N53" i="40"/>
  <c r="N62" i="40"/>
  <c r="Z53" i="40"/>
  <c r="Z62" i="40"/>
  <c r="F33" i="40"/>
  <c r="G35" i="40" s="1"/>
  <c r="R33" i="40"/>
  <c r="D47" i="40"/>
  <c r="E42" i="40" s="1"/>
  <c r="H33" i="40"/>
  <c r="I35" i="40" s="1"/>
  <c r="L33" i="40"/>
  <c r="M35" i="40" s="1"/>
  <c r="P33" i="40"/>
  <c r="Q35" i="40" s="1"/>
  <c r="D36" i="40"/>
  <c r="D53" i="40"/>
  <c r="L53" i="40"/>
  <c r="T53" i="40"/>
  <c r="AB53" i="40"/>
  <c r="F62" i="40"/>
  <c r="Q93" i="40"/>
  <c r="E93" i="40"/>
  <c r="W93" i="40"/>
  <c r="K93" i="40"/>
  <c r="Z93" i="40"/>
  <c r="T93" i="40"/>
  <c r="H93" i="40"/>
  <c r="N93" i="40"/>
  <c r="U94" i="40"/>
  <c r="I94" i="40"/>
  <c r="O94" i="40"/>
  <c r="X94" i="40"/>
  <c r="R94" i="40"/>
  <c r="L94" i="40"/>
  <c r="AA94" i="40"/>
  <c r="F94" i="40"/>
  <c r="S105" i="40"/>
  <c r="G105" i="40"/>
  <c r="Y105" i="40"/>
  <c r="M105" i="40"/>
  <c r="AB105" i="40"/>
  <c r="V105" i="40"/>
  <c r="J105" i="40"/>
  <c r="J33" i="40"/>
  <c r="E62" i="40"/>
  <c r="AD62" i="40" s="1"/>
  <c r="E53" i="40"/>
  <c r="I62" i="40"/>
  <c r="I53" i="40"/>
  <c r="M62" i="40"/>
  <c r="M53" i="40"/>
  <c r="Q62" i="40"/>
  <c r="Q53" i="40"/>
  <c r="U62" i="40"/>
  <c r="U53" i="40"/>
  <c r="Y62" i="40"/>
  <c r="Y53" i="40"/>
  <c r="E33" i="40"/>
  <c r="F35" i="40" s="1"/>
  <c r="I33" i="40"/>
  <c r="J35" i="40" s="1"/>
  <c r="M33" i="40"/>
  <c r="N35" i="40" s="1"/>
  <c r="Q33" i="40"/>
  <c r="R35" i="40" s="1"/>
  <c r="G53" i="40"/>
  <c r="O53" i="40"/>
  <c r="W53" i="40"/>
  <c r="V62" i="40"/>
  <c r="H187" i="40"/>
  <c r="H188" i="40"/>
  <c r="I188" i="40" s="1"/>
  <c r="M159" i="40"/>
  <c r="N159" i="40" s="1"/>
  <c r="M152" i="40"/>
  <c r="N151" i="40"/>
  <c r="F79" i="40"/>
  <c r="N79" i="40"/>
  <c r="R79" i="40"/>
  <c r="Z79" i="40"/>
  <c r="F80" i="40"/>
  <c r="J80" i="40"/>
  <c r="N80" i="40"/>
  <c r="R80" i="40"/>
  <c r="V80" i="40"/>
  <c r="Z80" i="40"/>
  <c r="U93" i="40"/>
  <c r="I93" i="40"/>
  <c r="Y94" i="40"/>
  <c r="M94" i="40"/>
  <c r="O93" i="40"/>
  <c r="G94" i="40"/>
  <c r="W94" i="40"/>
  <c r="AB94" i="40"/>
  <c r="W106" i="40"/>
  <c r="K106" i="40"/>
  <c r="F105" i="40"/>
  <c r="L105" i="40"/>
  <c r="N106" i="40"/>
  <c r="T106" i="40"/>
  <c r="Y106" i="40"/>
  <c r="K79" i="40"/>
  <c r="O79" i="40"/>
  <c r="W79" i="40"/>
  <c r="AA79" i="40"/>
  <c r="G80" i="40"/>
  <c r="K80" i="40"/>
  <c r="O80" i="40"/>
  <c r="S80" i="40"/>
  <c r="W80" i="40"/>
  <c r="AA80" i="40"/>
  <c r="Y93" i="40"/>
  <c r="M93" i="40"/>
  <c r="F93" i="40"/>
  <c r="P93" i="40"/>
  <c r="V93" i="40"/>
  <c r="AA93" i="40"/>
  <c r="S94" i="40"/>
  <c r="R105" i="40"/>
  <c r="E106" i="40"/>
  <c r="J106" i="40"/>
  <c r="Z106" i="40"/>
  <c r="H79" i="40"/>
  <c r="L79" i="40"/>
  <c r="H80" i="40"/>
  <c r="L80" i="40"/>
  <c r="P80" i="40"/>
  <c r="AB80" i="40"/>
  <c r="L93" i="40"/>
  <c r="R93" i="40"/>
  <c r="J94" i="40"/>
  <c r="AA105" i="40"/>
  <c r="O105" i="40"/>
  <c r="S106" i="40"/>
  <c r="G106" i="40"/>
  <c r="I105" i="40"/>
  <c r="Q106" i="40"/>
  <c r="V106" i="40"/>
  <c r="AB106" i="40"/>
  <c r="K105" i="40"/>
  <c r="O106" i="40"/>
  <c r="F37" i="39"/>
  <c r="V37" i="39"/>
  <c r="E16" i="36"/>
  <c r="E40" i="36" s="1"/>
  <c r="E42" i="36" s="1"/>
  <c r="K60" i="36"/>
  <c r="AA60" i="36"/>
  <c r="Q86" i="36"/>
  <c r="G60" i="36"/>
  <c r="O60" i="36"/>
  <c r="E86" i="36"/>
  <c r="T86" i="36"/>
  <c r="I87" i="36"/>
  <c r="U87" i="36"/>
  <c r="W60" i="36"/>
  <c r="N86" i="36"/>
  <c r="Y112" i="36"/>
  <c r="S60" i="36"/>
  <c r="H86" i="36"/>
  <c r="L87" i="36"/>
  <c r="X87" i="36"/>
  <c r="F50" i="36"/>
  <c r="F52" i="36" s="1"/>
  <c r="F62" i="36" s="1"/>
  <c r="F71" i="36" s="1"/>
  <c r="F40" i="36"/>
  <c r="F42" i="36" s="1"/>
  <c r="Z17" i="36"/>
  <c r="J50" i="36"/>
  <c r="J52" i="36" s="1"/>
  <c r="J62" i="36" s="1"/>
  <c r="J71" i="36" s="1"/>
  <c r="J40" i="36"/>
  <c r="J42" i="36" s="1"/>
  <c r="R50" i="36"/>
  <c r="R52" i="36" s="1"/>
  <c r="R62" i="36" s="1"/>
  <c r="R71" i="36" s="1"/>
  <c r="R40" i="36"/>
  <c r="R42" i="36" s="1"/>
  <c r="V50" i="36"/>
  <c r="V52" i="36" s="1"/>
  <c r="V62" i="36" s="1"/>
  <c r="V71" i="36" s="1"/>
  <c r="V40" i="36"/>
  <c r="V42" i="36" s="1"/>
  <c r="Z50" i="36"/>
  <c r="Z52" i="36" s="1"/>
  <c r="Z62" i="36" s="1"/>
  <c r="Z71" i="36" s="1"/>
  <c r="Z40" i="36"/>
  <c r="Z42" i="36" s="1"/>
  <c r="AA17" i="36"/>
  <c r="G50" i="36"/>
  <c r="G52" i="36" s="1"/>
  <c r="G62" i="36" s="1"/>
  <c r="G71" i="36" s="1"/>
  <c r="G40" i="36"/>
  <c r="G42" i="36" s="1"/>
  <c r="K50" i="36"/>
  <c r="K52" i="36" s="1"/>
  <c r="K62" i="36" s="1"/>
  <c r="K71" i="36" s="1"/>
  <c r="K40" i="36"/>
  <c r="K42" i="36" s="1"/>
  <c r="O50" i="36"/>
  <c r="O52" i="36" s="1"/>
  <c r="O62" i="36" s="1"/>
  <c r="O71" i="36" s="1"/>
  <c r="O40" i="36"/>
  <c r="O42" i="36" s="1"/>
  <c r="S50" i="36"/>
  <c r="S52" i="36" s="1"/>
  <c r="S62" i="36" s="1"/>
  <c r="S71" i="36" s="1"/>
  <c r="S40" i="36"/>
  <c r="S42" i="36" s="1"/>
  <c r="W50" i="36"/>
  <c r="W52" i="36" s="1"/>
  <c r="W62" i="36" s="1"/>
  <c r="W71" i="36" s="1"/>
  <c r="W40" i="36"/>
  <c r="W42" i="36" s="1"/>
  <c r="AA50" i="36"/>
  <c r="AA52" i="36" s="1"/>
  <c r="AA62" i="36" s="1"/>
  <c r="AA71" i="36" s="1"/>
  <c r="AA40" i="36"/>
  <c r="AA42" i="36" s="1"/>
  <c r="M60" i="36"/>
  <c r="M69" i="36"/>
  <c r="Y69" i="36"/>
  <c r="Y60" i="36"/>
  <c r="F60" i="36"/>
  <c r="F69" i="36"/>
  <c r="N60" i="36"/>
  <c r="N69" i="36"/>
  <c r="V60" i="36"/>
  <c r="V69" i="36"/>
  <c r="AD7" i="36"/>
  <c r="AB17" i="36"/>
  <c r="H50" i="36"/>
  <c r="H52" i="36" s="1"/>
  <c r="H62" i="36" s="1"/>
  <c r="H71" i="36" s="1"/>
  <c r="H40" i="36"/>
  <c r="H42" i="36" s="1"/>
  <c r="L50" i="36"/>
  <c r="L52" i="36" s="1"/>
  <c r="L62" i="36" s="1"/>
  <c r="L71" i="36" s="1"/>
  <c r="L40" i="36"/>
  <c r="L42" i="36" s="1"/>
  <c r="P50" i="36"/>
  <c r="P52" i="36" s="1"/>
  <c r="P62" i="36" s="1"/>
  <c r="P71" i="36" s="1"/>
  <c r="P40" i="36"/>
  <c r="P42" i="36" s="1"/>
  <c r="T50" i="36"/>
  <c r="T52" i="36" s="1"/>
  <c r="T62" i="36" s="1"/>
  <c r="T71" i="36" s="1"/>
  <c r="T40" i="36"/>
  <c r="T42" i="36" s="1"/>
  <c r="X50" i="36"/>
  <c r="X52" i="36" s="1"/>
  <c r="X62" i="36" s="1"/>
  <c r="X71" i="36" s="1"/>
  <c r="X40" i="36"/>
  <c r="X42" i="36" s="1"/>
  <c r="AB50" i="36"/>
  <c r="AB52" i="36" s="1"/>
  <c r="AB62" i="36" s="1"/>
  <c r="AB71" i="36" s="1"/>
  <c r="Z69" i="36"/>
  <c r="I69" i="36"/>
  <c r="I60" i="36"/>
  <c r="U60" i="36"/>
  <c r="U69" i="36"/>
  <c r="E60" i="36"/>
  <c r="E69" i="36"/>
  <c r="Q69" i="36"/>
  <c r="Q60" i="36"/>
  <c r="AD6" i="36"/>
  <c r="D63" i="36"/>
  <c r="D64" i="36" s="1"/>
  <c r="E59" i="36" s="1"/>
  <c r="H184" i="36"/>
  <c r="H69" i="36"/>
  <c r="H60" i="36"/>
  <c r="L69" i="36"/>
  <c r="L60" i="36"/>
  <c r="P69" i="36"/>
  <c r="P60" i="36"/>
  <c r="T69" i="36"/>
  <c r="T60" i="36"/>
  <c r="X69" i="36"/>
  <c r="X60" i="36"/>
  <c r="AB69" i="36"/>
  <c r="AB60" i="36"/>
  <c r="N40" i="36"/>
  <c r="N42" i="36" s="1"/>
  <c r="N50" i="36"/>
  <c r="N52" i="36" s="1"/>
  <c r="N62" i="36" s="1"/>
  <c r="N71" i="36" s="1"/>
  <c r="J69" i="36"/>
  <c r="AA86" i="36"/>
  <c r="O86" i="36"/>
  <c r="R86" i="36"/>
  <c r="F86" i="36"/>
  <c r="X86" i="36"/>
  <c r="I86" i="36"/>
  <c r="U86" i="36"/>
  <c r="S87" i="36"/>
  <c r="G87" i="36"/>
  <c r="M149" i="36"/>
  <c r="V87" i="36"/>
  <c r="J87" i="36"/>
  <c r="P87" i="36"/>
  <c r="M87" i="36"/>
  <c r="AB87" i="36"/>
  <c r="Y87" i="36"/>
  <c r="S86" i="36"/>
  <c r="G86" i="36"/>
  <c r="V86" i="36"/>
  <c r="J86" i="36"/>
  <c r="M86" i="36"/>
  <c r="AB86" i="36"/>
  <c r="Z100" i="36"/>
  <c r="I40" i="36"/>
  <c r="I42" i="36" s="1"/>
  <c r="M40" i="36"/>
  <c r="M42" i="36" s="1"/>
  <c r="Q40" i="36"/>
  <c r="Q42" i="36" s="1"/>
  <c r="U40" i="36"/>
  <c r="U42" i="36" s="1"/>
  <c r="Y40" i="36"/>
  <c r="Y42" i="36" s="1"/>
  <c r="P86" i="36"/>
  <c r="H183" i="36"/>
  <c r="Z86" i="36"/>
  <c r="F87" i="36"/>
  <c r="N87" i="36"/>
  <c r="R87" i="36"/>
  <c r="Z87" i="36"/>
  <c r="R149" i="36"/>
  <c r="V101" i="36"/>
  <c r="J101" i="36"/>
  <c r="Y101" i="36"/>
  <c r="M101" i="36"/>
  <c r="S101" i="36"/>
  <c r="AB112" i="36"/>
  <c r="K86" i="36"/>
  <c r="K87" i="36"/>
  <c r="O87" i="36"/>
  <c r="AB101" i="36"/>
  <c r="B71" i="34"/>
  <c r="D179" i="32"/>
  <c r="E179" i="32" s="1"/>
  <c r="B13" i="33"/>
  <c r="B70" i="33" s="1"/>
  <c r="B69" i="33"/>
  <c r="K69" i="32"/>
  <c r="K60" i="32"/>
  <c r="G60" i="32"/>
  <c r="G69" i="32"/>
  <c r="S86" i="32"/>
  <c r="V86" i="32"/>
  <c r="J42" i="32"/>
  <c r="F52" i="32"/>
  <c r="F62" i="32" s="1"/>
  <c r="F71" i="32" s="1"/>
  <c r="AA17" i="32"/>
  <c r="Z17" i="32"/>
  <c r="Y17" i="32"/>
  <c r="L60" i="32"/>
  <c r="Q69" i="32"/>
  <c r="I52" i="32"/>
  <c r="U52" i="32"/>
  <c r="U62" i="32" s="1"/>
  <c r="U71" i="32" s="1"/>
  <c r="L52" i="32"/>
  <c r="E52" i="32"/>
  <c r="E62" i="32" s="1"/>
  <c r="E71" i="32" s="1"/>
  <c r="Q52" i="32"/>
  <c r="M52" i="32"/>
  <c r="M62" i="32" s="1"/>
  <c r="M71" i="32" s="1"/>
  <c r="T52" i="32"/>
  <c r="J86" i="32"/>
  <c r="K52" i="32"/>
  <c r="G52" i="32"/>
  <c r="G62" i="32" s="1"/>
  <c r="G71" i="32" s="1"/>
  <c r="AA52" i="32"/>
  <c r="W52" i="32"/>
  <c r="S52" i="32"/>
  <c r="O52" i="32"/>
  <c r="O62" i="32" s="1"/>
  <c r="O71" i="32" s="1"/>
  <c r="T60" i="32"/>
  <c r="AB60" i="32"/>
  <c r="F69" i="32"/>
  <c r="E187" i="32"/>
  <c r="M86" i="32"/>
  <c r="AB86" i="32"/>
  <c r="P86" i="32"/>
  <c r="H87" i="32"/>
  <c r="L87" i="32"/>
  <c r="R87" i="32"/>
  <c r="X87" i="32"/>
  <c r="I60" i="32"/>
  <c r="AB40" i="32"/>
  <c r="AB42" i="32" s="1"/>
  <c r="Y40" i="32"/>
  <c r="Y42" i="32" s="1"/>
  <c r="X40" i="32"/>
  <c r="X42" i="32" s="1"/>
  <c r="P40" i="32"/>
  <c r="P42" i="32" s="1"/>
  <c r="U60" i="32"/>
  <c r="I87" i="32"/>
  <c r="N87" i="32"/>
  <c r="T87" i="32"/>
  <c r="Z87" i="32"/>
  <c r="M60" i="32"/>
  <c r="Y60" i="32"/>
  <c r="G86" i="32"/>
  <c r="E87" i="32"/>
  <c r="O87" i="32"/>
  <c r="U87" i="32"/>
  <c r="AA87" i="32"/>
  <c r="K87" i="32"/>
  <c r="Q87" i="32"/>
  <c r="E60" i="32"/>
  <c r="J60" i="32"/>
  <c r="P60" i="32"/>
  <c r="X60" i="32"/>
  <c r="B79" i="1"/>
  <c r="B46" i="1"/>
  <c r="W50" i="25"/>
  <c r="Y52" i="25" s="1"/>
  <c r="Y62" i="25" s="1"/>
  <c r="Y71" i="25" s="1"/>
  <c r="S50" i="25"/>
  <c r="K50" i="25"/>
  <c r="M52" i="25" s="1"/>
  <c r="M62" i="25" s="1"/>
  <c r="M71" i="25" s="1"/>
  <c r="B51" i="1"/>
  <c r="B84" i="1" s="1"/>
  <c r="B51" i="31"/>
  <c r="B84" i="31" s="1"/>
  <c r="D12" i="31"/>
  <c r="D44" i="31" s="1"/>
  <c r="H184" i="25"/>
  <c r="I184" i="25" s="1"/>
  <c r="D12" i="1"/>
  <c r="D77" i="1" s="1"/>
  <c r="Z17" i="25"/>
  <c r="V50" i="25"/>
  <c r="F50" i="25"/>
  <c r="E187" i="25"/>
  <c r="F187" i="25" s="1"/>
  <c r="H187" i="25" s="1"/>
  <c r="I187" i="25" s="1"/>
  <c r="B13" i="1"/>
  <c r="B78" i="1" s="1"/>
  <c r="D12" i="30"/>
  <c r="D77" i="30" s="1"/>
  <c r="B19" i="31"/>
  <c r="B19" i="30"/>
  <c r="U50" i="25"/>
  <c r="E50" i="25"/>
  <c r="F52" i="25" s="1"/>
  <c r="F62" i="25" s="1"/>
  <c r="F71" i="25" s="1"/>
  <c r="B17" i="1"/>
  <c r="B82" i="1" s="1"/>
  <c r="B17" i="31"/>
  <c r="B49" i="31" s="1"/>
  <c r="E190" i="25"/>
  <c r="F190" i="25" s="1"/>
  <c r="H190" i="25" s="1"/>
  <c r="I190" i="25" s="1"/>
  <c r="B51" i="30"/>
  <c r="B84" i="30" s="1"/>
  <c r="Z40" i="32"/>
  <c r="Z42" i="32" s="1"/>
  <c r="Z69" i="32"/>
  <c r="V40" i="32"/>
  <c r="V42" i="32" s="1"/>
  <c r="V69" i="32"/>
  <c r="R40" i="32"/>
  <c r="R42" i="32" s="1"/>
  <c r="R69" i="32"/>
  <c r="N50" i="32"/>
  <c r="N52" i="32" s="1"/>
  <c r="N62" i="32" s="1"/>
  <c r="N71" i="32" s="1"/>
  <c r="N69" i="32"/>
  <c r="AA17" i="25"/>
  <c r="G50" i="25"/>
  <c r="U86" i="32"/>
  <c r="I86" i="32"/>
  <c r="X86" i="32"/>
  <c r="L86" i="32"/>
  <c r="R86" i="32"/>
  <c r="F86" i="32"/>
  <c r="AA86" i="32"/>
  <c r="N50" i="25"/>
  <c r="P52" i="25" s="1"/>
  <c r="P62" i="25" s="1"/>
  <c r="P71" i="25" s="1"/>
  <c r="B14" i="31"/>
  <c r="B13" i="31"/>
  <c r="B78" i="31" s="1"/>
  <c r="B14" i="30"/>
  <c r="B46" i="30" s="1"/>
  <c r="D50" i="25"/>
  <c r="D54" i="25" s="1"/>
  <c r="E49" i="25" s="1"/>
  <c r="E51" i="25" s="1"/>
  <c r="E53" i="25" s="1"/>
  <c r="Z50" i="25"/>
  <c r="AB52" i="25" s="1"/>
  <c r="AB62" i="25" s="1"/>
  <c r="AB71" i="25" s="1"/>
  <c r="R50" i="25"/>
  <c r="S52" i="25" s="1"/>
  <c r="S62" i="25" s="1"/>
  <c r="S71" i="25" s="1"/>
  <c r="J50" i="25"/>
  <c r="B17" i="30"/>
  <c r="Q86" i="32"/>
  <c r="E86" i="32"/>
  <c r="T86" i="32"/>
  <c r="H86" i="32"/>
  <c r="W86" i="32"/>
  <c r="K86" i="32"/>
  <c r="Y87" i="32"/>
  <c r="M87" i="32"/>
  <c r="AB87" i="32"/>
  <c r="P87" i="32"/>
  <c r="S87" i="32"/>
  <c r="V87" i="32"/>
  <c r="U112" i="32"/>
  <c r="L112" i="32"/>
  <c r="X112" i="32"/>
  <c r="O112" i="32"/>
  <c r="F112" i="32"/>
  <c r="I112" i="32"/>
  <c r="B18" i="31"/>
  <c r="B50" i="31" s="1"/>
  <c r="T50" i="25"/>
  <c r="P50" i="25"/>
  <c r="R52" i="25" s="1"/>
  <c r="R62" i="25" s="1"/>
  <c r="R71" i="25" s="1"/>
  <c r="H50" i="25"/>
  <c r="B15" i="1"/>
  <c r="B15" i="30"/>
  <c r="B47" i="30" s="1"/>
  <c r="G87" i="32"/>
  <c r="R112" i="32"/>
  <c r="AA112" i="32"/>
  <c r="B80" i="31"/>
  <c r="B47" i="31"/>
  <c r="N86" i="32"/>
  <c r="Y50" i="32"/>
  <c r="Y52" i="32" s="1"/>
  <c r="AA69" i="32"/>
  <c r="AC8" i="32"/>
  <c r="P50" i="32"/>
  <c r="N60" i="32"/>
  <c r="R60" i="32"/>
  <c r="V60" i="32"/>
  <c r="Z60" i="32"/>
  <c r="AC16" i="32"/>
  <c r="O69" i="32"/>
  <c r="S69" i="32"/>
  <c r="W69" i="32"/>
  <c r="AC7" i="32"/>
  <c r="S40" i="32"/>
  <c r="S42" i="32" s="1"/>
  <c r="X50" i="32"/>
  <c r="X52" i="32" s="1"/>
  <c r="AC6" i="32"/>
  <c r="H69" i="32"/>
  <c r="H50" i="32"/>
  <c r="C13" i="32"/>
  <c r="E18" i="32"/>
  <c r="G40" i="32"/>
  <c r="G42" i="32" s="1"/>
  <c r="K40" i="32"/>
  <c r="K42" i="32" s="1"/>
  <c r="O40" i="32"/>
  <c r="O42" i="32" s="1"/>
  <c r="T40" i="32"/>
  <c r="T42" i="32" s="1"/>
  <c r="AA40" i="32"/>
  <c r="AA42" i="32" s="1"/>
  <c r="J50" i="32"/>
  <c r="R50" i="32"/>
  <c r="Z50" i="32"/>
  <c r="F40" i="32"/>
  <c r="F42" i="32" s="1"/>
  <c r="D40" i="32"/>
  <c r="H40" i="32"/>
  <c r="H42" i="32" s="1"/>
  <c r="L40" i="32"/>
  <c r="L42" i="32" s="1"/>
  <c r="U40" i="32"/>
  <c r="U42" i="32" s="1"/>
  <c r="D50" i="32"/>
  <c r="AB50" i="32"/>
  <c r="AB52" i="32" s="1"/>
  <c r="D64" i="32"/>
  <c r="E59" i="32" s="1"/>
  <c r="D73" i="32"/>
  <c r="E68" i="32" s="1"/>
  <c r="N40" i="32"/>
  <c r="N42" i="32" s="1"/>
  <c r="E40" i="32"/>
  <c r="E42" i="32" s="1"/>
  <c r="I40" i="32"/>
  <c r="I42" i="32" s="1"/>
  <c r="M40" i="32"/>
  <c r="M42" i="32" s="1"/>
  <c r="Q40" i="32"/>
  <c r="Q42" i="32" s="1"/>
  <c r="W40" i="32"/>
  <c r="W42" i="32" s="1"/>
  <c r="V50" i="32"/>
  <c r="V52" i="32" s="1"/>
  <c r="V62" i="32" s="1"/>
  <c r="V71" i="32" s="1"/>
  <c r="E185" i="32"/>
  <c r="F180" i="32"/>
  <c r="H192" i="32"/>
  <c r="F181" i="32"/>
  <c r="K185" i="25"/>
  <c r="L185" i="25" s="1"/>
  <c r="O185" i="25" s="1"/>
  <c r="H176" i="25"/>
  <c r="K176" i="25" s="1"/>
  <c r="F176" i="25"/>
  <c r="B48" i="1"/>
  <c r="E191" i="25"/>
  <c r="E178" i="25"/>
  <c r="E194" i="25"/>
  <c r="E193" i="25"/>
  <c r="E177" i="25"/>
  <c r="E192" i="25"/>
  <c r="M160" i="25"/>
  <c r="M155" i="25"/>
  <c r="N154" i="25"/>
  <c r="N52" i="25"/>
  <c r="N62" i="25" s="1"/>
  <c r="N71" i="25" s="1"/>
  <c r="Z52" i="25"/>
  <c r="Z62" i="25" s="1"/>
  <c r="Z71" i="25" s="1"/>
  <c r="AC60" i="25"/>
  <c r="AC69" i="25"/>
  <c r="D73" i="25"/>
  <c r="E68" i="25" s="1"/>
  <c r="E70" i="25" s="1"/>
  <c r="E72" i="25" s="1"/>
  <c r="D64" i="25"/>
  <c r="E59" i="25" s="1"/>
  <c r="E61" i="25" s="1"/>
  <c r="AC16" i="25"/>
  <c r="Y17" i="25"/>
  <c r="N153" i="25"/>
  <c r="E18" i="25"/>
  <c r="C13" i="25"/>
  <c r="V82" i="61" l="1"/>
  <c r="AB82" i="61"/>
  <c r="S82" i="61"/>
  <c r="M82" i="61"/>
  <c r="P82" i="61"/>
  <c r="J82" i="61"/>
  <c r="G82" i="61"/>
  <c r="Y82" i="61"/>
  <c r="H100" i="36"/>
  <c r="M112" i="36"/>
  <c r="E100" i="36"/>
  <c r="E109" i="45"/>
  <c r="B32" i="65"/>
  <c r="R82" i="61"/>
  <c r="I82" i="61"/>
  <c r="L82" i="61"/>
  <c r="U82" i="61"/>
  <c r="X82" i="61"/>
  <c r="O82" i="61"/>
  <c r="F82" i="61"/>
  <c r="AA82" i="61"/>
  <c r="R110" i="61"/>
  <c r="J71" i="61"/>
  <c r="G71" i="61"/>
  <c r="Y71" i="61"/>
  <c r="V71" i="61"/>
  <c r="S71" i="61"/>
  <c r="P71" i="61"/>
  <c r="M71" i="61"/>
  <c r="AB71" i="61"/>
  <c r="T71" i="61"/>
  <c r="N71" i="61"/>
  <c r="K71" i="61"/>
  <c r="Q71" i="61"/>
  <c r="E71" i="61"/>
  <c r="Z71" i="61"/>
  <c r="W71" i="61"/>
  <c r="H71" i="61"/>
  <c r="V112" i="36"/>
  <c r="G112" i="36"/>
  <c r="T100" i="36"/>
  <c r="Q109" i="45"/>
  <c r="K109" i="45"/>
  <c r="C67" i="46"/>
  <c r="C39" i="65"/>
  <c r="K82" i="61"/>
  <c r="W82" i="61"/>
  <c r="Q82" i="61"/>
  <c r="Z82" i="61"/>
  <c r="N82" i="61"/>
  <c r="T82" i="61"/>
  <c r="H82" i="61"/>
  <c r="E82" i="61"/>
  <c r="K100" i="36"/>
  <c r="S112" i="36"/>
  <c r="Q100" i="36"/>
  <c r="S83" i="61"/>
  <c r="M83" i="61"/>
  <c r="J83" i="61"/>
  <c r="G83" i="61"/>
  <c r="AB83" i="61"/>
  <c r="Y83" i="61"/>
  <c r="V83" i="61"/>
  <c r="W110" i="61"/>
  <c r="P83" i="61"/>
  <c r="N113" i="25"/>
  <c r="D78" i="61"/>
  <c r="X71" i="61"/>
  <c r="R71" i="61"/>
  <c r="I71" i="61"/>
  <c r="L71" i="61"/>
  <c r="O71" i="61"/>
  <c r="U71" i="61"/>
  <c r="F71" i="61"/>
  <c r="AA71" i="61"/>
  <c r="M70" i="61"/>
  <c r="V70" i="61"/>
  <c r="J70" i="61"/>
  <c r="Y70" i="61"/>
  <c r="P70" i="61"/>
  <c r="S70" i="61"/>
  <c r="AB70" i="61"/>
  <c r="G70" i="61"/>
  <c r="X70" i="61"/>
  <c r="U70" i="61"/>
  <c r="F70" i="61"/>
  <c r="L70" i="61"/>
  <c r="I70" i="61"/>
  <c r="R70" i="61"/>
  <c r="O70" i="61"/>
  <c r="AA70" i="61"/>
  <c r="P112" i="36"/>
  <c r="N100" i="36"/>
  <c r="W109" i="45"/>
  <c r="T70" i="61"/>
  <c r="Q70" i="61"/>
  <c r="H70" i="61"/>
  <c r="N70" i="61"/>
  <c r="K70" i="61"/>
  <c r="Z70" i="61"/>
  <c r="W70" i="61"/>
  <c r="E70" i="61"/>
  <c r="E78" i="61"/>
  <c r="I113" i="25"/>
  <c r="B60" i="65"/>
  <c r="B32" i="66"/>
  <c r="B60" i="66" s="1"/>
  <c r="F155" i="45"/>
  <c r="C32" i="46"/>
  <c r="R37" i="37"/>
  <c r="J37" i="37"/>
  <c r="C10" i="65"/>
  <c r="C10" i="66"/>
  <c r="B37" i="65"/>
  <c r="B65" i="65"/>
  <c r="A36" i="65"/>
  <c r="A64" i="65"/>
  <c r="B7" i="66"/>
  <c r="B31" i="66"/>
  <c r="B33" i="66" s="1"/>
  <c r="B59" i="66"/>
  <c r="C11" i="65"/>
  <c r="C11" i="66"/>
  <c r="C6" i="66"/>
  <c r="C6" i="65"/>
  <c r="B37" i="66"/>
  <c r="B65" i="66"/>
  <c r="A36" i="66"/>
  <c r="A64" i="66"/>
  <c r="B31" i="65"/>
  <c r="B33" i="65" s="1"/>
  <c r="B7" i="65"/>
  <c r="B59" i="65"/>
  <c r="B61" i="65" s="1"/>
  <c r="B12" i="65"/>
  <c r="B66" i="65" s="1"/>
  <c r="B12" i="66"/>
  <c r="B66" i="66" s="1"/>
  <c r="A65" i="65"/>
  <c r="A37" i="65"/>
  <c r="B36" i="66"/>
  <c r="B40" i="66" s="1"/>
  <c r="B64" i="66"/>
  <c r="A65" i="66"/>
  <c r="A37" i="66"/>
  <c r="B36" i="65"/>
  <c r="B40" i="65" s="1"/>
  <c r="B64" i="65"/>
  <c r="B68" i="65" s="1"/>
  <c r="L159" i="45"/>
  <c r="A65" i="46"/>
  <c r="A36" i="46"/>
  <c r="H155" i="45"/>
  <c r="B12" i="46"/>
  <c r="B66" i="46" s="1"/>
  <c r="X37" i="37"/>
  <c r="L37" i="37"/>
  <c r="U37" i="39"/>
  <c r="D37" i="37"/>
  <c r="T37" i="37"/>
  <c r="H65" i="37"/>
  <c r="E65" i="39"/>
  <c r="P37" i="37"/>
  <c r="I37" i="39"/>
  <c r="Y37" i="39"/>
  <c r="Q37" i="39"/>
  <c r="M65" i="39"/>
  <c r="Z14" i="37"/>
  <c r="Z69" i="37" s="1"/>
  <c r="Z14" i="38"/>
  <c r="Z69" i="38" s="1"/>
  <c r="AA65" i="39"/>
  <c r="Z37" i="39"/>
  <c r="H65" i="38"/>
  <c r="AA37" i="38"/>
  <c r="AA37" i="37"/>
  <c r="L113" i="36"/>
  <c r="R113" i="36"/>
  <c r="V100" i="36"/>
  <c r="F37" i="37"/>
  <c r="H112" i="32"/>
  <c r="B42" i="33"/>
  <c r="B72" i="34" s="1"/>
  <c r="Y101" i="32"/>
  <c r="V101" i="32"/>
  <c r="P100" i="32"/>
  <c r="B71" i="33"/>
  <c r="B71" i="35"/>
  <c r="M101" i="32"/>
  <c r="AB101" i="32"/>
  <c r="C16" i="42"/>
  <c r="C82" i="42" s="1"/>
  <c r="C40" i="41"/>
  <c r="C39" i="41"/>
  <c r="C50" i="41"/>
  <c r="B50" i="30"/>
  <c r="J101" i="32"/>
  <c r="G101" i="32"/>
  <c r="S101" i="32"/>
  <c r="J37" i="39"/>
  <c r="B45" i="30"/>
  <c r="AB100" i="32"/>
  <c r="AA113" i="32"/>
  <c r="F113" i="36"/>
  <c r="Q65" i="38"/>
  <c r="H113" i="25"/>
  <c r="R113" i="32"/>
  <c r="F113" i="32"/>
  <c r="AA113" i="36"/>
  <c r="B37" i="38"/>
  <c r="R37" i="39"/>
  <c r="G100" i="36"/>
  <c r="Y65" i="38"/>
  <c r="H112" i="36"/>
  <c r="U37" i="38"/>
  <c r="V112" i="32"/>
  <c r="S153" i="25"/>
  <c r="Y112" i="32"/>
  <c r="K37" i="37"/>
  <c r="Z112" i="36"/>
  <c r="R112" i="36"/>
  <c r="K113" i="25"/>
  <c r="D108" i="36"/>
  <c r="Q113" i="36" s="1"/>
  <c r="T101" i="32"/>
  <c r="P65" i="38"/>
  <c r="O65" i="38"/>
  <c r="B83" i="1"/>
  <c r="F110" i="45"/>
  <c r="R151" i="32"/>
  <c r="R152" i="32" s="1"/>
  <c r="Y100" i="32"/>
  <c r="M100" i="32"/>
  <c r="E112" i="32"/>
  <c r="Z112" i="32"/>
  <c r="M65" i="38"/>
  <c r="L65" i="38"/>
  <c r="G100" i="32"/>
  <c r="S100" i="32"/>
  <c r="J100" i="32"/>
  <c r="Y100" i="36"/>
  <c r="U101" i="36"/>
  <c r="E37" i="37"/>
  <c r="W65" i="39"/>
  <c r="S37" i="39"/>
  <c r="W100" i="32"/>
  <c r="W112" i="36"/>
  <c r="F100" i="36"/>
  <c r="T37" i="38"/>
  <c r="U110" i="45"/>
  <c r="L98" i="45"/>
  <c r="E112" i="36"/>
  <c r="Q113" i="25"/>
  <c r="D108" i="32"/>
  <c r="T113" i="32" s="1"/>
  <c r="O100" i="32"/>
  <c r="K112" i="36"/>
  <c r="W37" i="37"/>
  <c r="Q37" i="37"/>
  <c r="AA110" i="45"/>
  <c r="D105" i="45"/>
  <c r="Z110" i="45" s="1"/>
  <c r="W113" i="25"/>
  <c r="L100" i="36"/>
  <c r="AA100" i="36"/>
  <c r="S37" i="37"/>
  <c r="P37" i="39"/>
  <c r="O109" i="45"/>
  <c r="R109" i="45"/>
  <c r="J109" i="45"/>
  <c r="T98" i="45"/>
  <c r="X100" i="32"/>
  <c r="L100" i="32"/>
  <c r="G37" i="37"/>
  <c r="X65" i="38"/>
  <c r="Z98" i="45"/>
  <c r="Q98" i="45"/>
  <c r="C17" i="1"/>
  <c r="C49" i="1" s="1"/>
  <c r="AA52" i="25"/>
  <c r="AA62" i="25" s="1"/>
  <c r="AA71" i="25" s="1"/>
  <c r="R100" i="32"/>
  <c r="U100" i="36"/>
  <c r="B80" i="30"/>
  <c r="V52" i="25"/>
  <c r="V62" i="25" s="1"/>
  <c r="V71" i="25" s="1"/>
  <c r="N65" i="37"/>
  <c r="I37" i="38"/>
  <c r="AA101" i="32"/>
  <c r="F100" i="32"/>
  <c r="AA100" i="32"/>
  <c r="R100" i="36"/>
  <c r="V65" i="37"/>
  <c r="J37" i="38"/>
  <c r="I109" i="45"/>
  <c r="S109" i="45"/>
  <c r="I100" i="32"/>
  <c r="Q100" i="32"/>
  <c r="I101" i="32"/>
  <c r="I100" i="36"/>
  <c r="N37" i="38"/>
  <c r="X109" i="45"/>
  <c r="X100" i="36"/>
  <c r="K65" i="38"/>
  <c r="U113" i="36"/>
  <c r="Z100" i="32"/>
  <c r="Q112" i="32"/>
  <c r="N112" i="32"/>
  <c r="W112" i="32"/>
  <c r="O113" i="32"/>
  <c r="U113" i="32"/>
  <c r="O113" i="36"/>
  <c r="M100" i="36"/>
  <c r="I101" i="36"/>
  <c r="M37" i="37"/>
  <c r="R37" i="38"/>
  <c r="Z37" i="38"/>
  <c r="G37" i="38"/>
  <c r="C14" i="33"/>
  <c r="C14" i="35" s="1"/>
  <c r="C71" i="35" s="1"/>
  <c r="I113" i="36"/>
  <c r="M109" i="45"/>
  <c r="L109" i="45"/>
  <c r="G109" i="45"/>
  <c r="F109" i="45"/>
  <c r="AA109" i="45"/>
  <c r="T113" i="25"/>
  <c r="Z113" i="25"/>
  <c r="E113" i="25"/>
  <c r="Q52" i="25"/>
  <c r="Q62" i="25" s="1"/>
  <c r="Q71" i="25" s="1"/>
  <c r="B82" i="31"/>
  <c r="I113" i="32"/>
  <c r="K112" i="32"/>
  <c r="X113" i="32"/>
  <c r="B48" i="31"/>
  <c r="AB100" i="36"/>
  <c r="J100" i="36"/>
  <c r="X37" i="39"/>
  <c r="O65" i="39"/>
  <c r="P100" i="36"/>
  <c r="K98" i="45"/>
  <c r="N98" i="45"/>
  <c r="V109" i="45"/>
  <c r="AB109" i="45"/>
  <c r="E98" i="45"/>
  <c r="H98" i="45"/>
  <c r="P109" i="45"/>
  <c r="X52" i="25"/>
  <c r="X62" i="25" s="1"/>
  <c r="X71" i="25" s="1"/>
  <c r="H101" i="32"/>
  <c r="K101" i="32"/>
  <c r="W101" i="32"/>
  <c r="B37" i="37"/>
  <c r="Y37" i="37"/>
  <c r="D37" i="38"/>
  <c r="E37" i="38"/>
  <c r="T37" i="39"/>
  <c r="K37" i="39"/>
  <c r="T112" i="36"/>
  <c r="Q112" i="36"/>
  <c r="N101" i="32"/>
  <c r="R101" i="32"/>
  <c r="U52" i="25"/>
  <c r="U62" i="25" s="1"/>
  <c r="U71" i="25" s="1"/>
  <c r="Q101" i="32"/>
  <c r="B48" i="30"/>
  <c r="E101" i="32"/>
  <c r="Q101" i="36"/>
  <c r="O37" i="37"/>
  <c r="I37" i="37"/>
  <c r="W37" i="38"/>
  <c r="D37" i="39"/>
  <c r="S112" i="32"/>
  <c r="AA112" i="36"/>
  <c r="AD42" i="36"/>
  <c r="F98" i="45"/>
  <c r="AC17" i="25"/>
  <c r="T52" i="25"/>
  <c r="T62" i="25" s="1"/>
  <c r="T71" i="25" s="1"/>
  <c r="S154" i="25"/>
  <c r="B49" i="1"/>
  <c r="U101" i="32"/>
  <c r="AB112" i="32"/>
  <c r="T100" i="32"/>
  <c r="E100" i="32"/>
  <c r="W52" i="25"/>
  <c r="W62" i="25" s="1"/>
  <c r="W71" i="25" s="1"/>
  <c r="L112" i="36"/>
  <c r="AA101" i="36"/>
  <c r="F101" i="36"/>
  <c r="U112" i="36"/>
  <c r="Z37" i="37"/>
  <c r="V37" i="38"/>
  <c r="S37" i="38"/>
  <c r="H37" i="39"/>
  <c r="I112" i="36"/>
  <c r="L110" i="45"/>
  <c r="T97" i="45"/>
  <c r="O110" i="45"/>
  <c r="I98" i="45"/>
  <c r="X110" i="45"/>
  <c r="Z97" i="45"/>
  <c r="G112" i="32"/>
  <c r="F101" i="32"/>
  <c r="J112" i="32"/>
  <c r="G65" i="39"/>
  <c r="O98" i="45"/>
  <c r="R98" i="45"/>
  <c r="X101" i="32"/>
  <c r="L101" i="32"/>
  <c r="M112" i="32"/>
  <c r="H100" i="32"/>
  <c r="N100" i="32"/>
  <c r="O112" i="36"/>
  <c r="L101" i="36"/>
  <c r="R101" i="36"/>
  <c r="X101" i="36"/>
  <c r="C10" i="38"/>
  <c r="C10" i="39"/>
  <c r="C10" i="37"/>
  <c r="U37" i="37"/>
  <c r="F37" i="38"/>
  <c r="B37" i="39"/>
  <c r="L37" i="39"/>
  <c r="F112" i="36"/>
  <c r="K97" i="45"/>
  <c r="I110" i="45"/>
  <c r="X98" i="45"/>
  <c r="H97" i="45"/>
  <c r="U98" i="45"/>
  <c r="E97" i="45"/>
  <c r="Q97" i="45"/>
  <c r="N97" i="45"/>
  <c r="AB113" i="25"/>
  <c r="P113" i="25"/>
  <c r="W153" i="25"/>
  <c r="J113" i="25"/>
  <c r="F105" i="45"/>
  <c r="F108" i="32"/>
  <c r="Y113" i="25"/>
  <c r="F108" i="36"/>
  <c r="S113" i="25"/>
  <c r="G113" i="25"/>
  <c r="V113" i="25"/>
  <c r="M113" i="25"/>
  <c r="AA14" i="38"/>
  <c r="AA69" i="38" s="1"/>
  <c r="AA14" i="39"/>
  <c r="AA69" i="39" s="1"/>
  <c r="AA14" i="37"/>
  <c r="AA69" i="37" s="1"/>
  <c r="D44" i="1"/>
  <c r="A44" i="42"/>
  <c r="B81" i="43"/>
  <c r="A44" i="43"/>
  <c r="B71" i="42"/>
  <c r="A81" i="42"/>
  <c r="A45" i="43"/>
  <c r="A45" i="42"/>
  <c r="B81" i="42"/>
  <c r="B71" i="43"/>
  <c r="A46" i="43"/>
  <c r="C16" i="43"/>
  <c r="C48" i="43" s="1"/>
  <c r="C37" i="43"/>
  <c r="C71" i="43"/>
  <c r="C8" i="43"/>
  <c r="C9" i="43" s="1"/>
  <c r="C22" i="43" s="1"/>
  <c r="C8" i="42"/>
  <c r="B72" i="42"/>
  <c r="B38" i="42"/>
  <c r="B17" i="41"/>
  <c r="B83" i="41" s="1"/>
  <c r="B17" i="43"/>
  <c r="B83" i="43" s="1"/>
  <c r="B17" i="42"/>
  <c r="B83" i="42" s="1"/>
  <c r="C15" i="43"/>
  <c r="C15" i="42"/>
  <c r="A47" i="43"/>
  <c r="A80" i="42"/>
  <c r="A46" i="42"/>
  <c r="A80" i="41"/>
  <c r="A46" i="41"/>
  <c r="C12" i="43"/>
  <c r="C12" i="42"/>
  <c r="B72" i="41"/>
  <c r="B38" i="41"/>
  <c r="C16" i="41"/>
  <c r="C48" i="41" s="1"/>
  <c r="B44" i="42"/>
  <c r="B78" i="42"/>
  <c r="C7" i="42"/>
  <c r="A78" i="41"/>
  <c r="A44" i="41"/>
  <c r="F156" i="45"/>
  <c r="G156" i="45" s="1"/>
  <c r="H156" i="45" s="1"/>
  <c r="I156" i="45" s="1"/>
  <c r="J156" i="45" s="1"/>
  <c r="K156" i="45" s="1"/>
  <c r="L156" i="45" s="1"/>
  <c r="M156" i="45" s="1"/>
  <c r="C6" i="46"/>
  <c r="B7" i="46"/>
  <c r="B17" i="46" s="1"/>
  <c r="B31" i="46"/>
  <c r="B59" i="46"/>
  <c r="B36" i="46"/>
  <c r="B40" i="46" s="1"/>
  <c r="B64" i="46"/>
  <c r="B65" i="46"/>
  <c r="B37" i="46"/>
  <c r="F11" i="45"/>
  <c r="D39" i="46" s="1"/>
  <c r="C11" i="46"/>
  <c r="F162" i="45"/>
  <c r="C10" i="46"/>
  <c r="M141" i="45"/>
  <c r="M142" i="45" s="1"/>
  <c r="N47" i="45"/>
  <c r="N49" i="45"/>
  <c r="N59" i="45" s="1"/>
  <c r="N68" i="45" s="1"/>
  <c r="N39" i="45"/>
  <c r="N37" i="45"/>
  <c r="D41" i="45"/>
  <c r="E36" i="45" s="1"/>
  <c r="D51" i="45"/>
  <c r="E46" i="45" s="1"/>
  <c r="E58" i="45"/>
  <c r="S140" i="45"/>
  <c r="G155" i="45"/>
  <c r="I155" i="45"/>
  <c r="E59" i="45"/>
  <c r="E67" i="45"/>
  <c r="R142" i="45"/>
  <c r="R143" i="45" s="1"/>
  <c r="S143" i="45" s="1"/>
  <c r="S141" i="45"/>
  <c r="B40" i="39"/>
  <c r="B70" i="35"/>
  <c r="B39" i="38"/>
  <c r="B38" i="33"/>
  <c r="B68" i="37"/>
  <c r="B40" i="38"/>
  <c r="B39" i="39"/>
  <c r="B80" i="42"/>
  <c r="B80" i="43"/>
  <c r="I187" i="40"/>
  <c r="K187" i="40" s="1"/>
  <c r="B48" i="42"/>
  <c r="B82" i="43"/>
  <c r="W101" i="36"/>
  <c r="K101" i="36"/>
  <c r="N101" i="36"/>
  <c r="Z94" i="40"/>
  <c r="T101" i="36"/>
  <c r="Z101" i="36"/>
  <c r="T94" i="40"/>
  <c r="E94" i="40"/>
  <c r="K94" i="40"/>
  <c r="E101" i="36"/>
  <c r="Q94" i="40"/>
  <c r="H94" i="40"/>
  <c r="B39" i="37"/>
  <c r="I184" i="36"/>
  <c r="K184" i="36" s="1"/>
  <c r="F189" i="32"/>
  <c r="B38" i="35"/>
  <c r="B39" i="34"/>
  <c r="B40" i="35"/>
  <c r="B6" i="33"/>
  <c r="B63" i="33" s="1"/>
  <c r="C10" i="35"/>
  <c r="C10" i="34"/>
  <c r="C13" i="35"/>
  <c r="C13" i="34"/>
  <c r="B41" i="34"/>
  <c r="O188" i="32"/>
  <c r="Q188" i="32" s="1"/>
  <c r="F187" i="32"/>
  <c r="C12" i="34"/>
  <c r="C12" i="35"/>
  <c r="C48" i="42"/>
  <c r="H189" i="40"/>
  <c r="B48" i="41"/>
  <c r="B82" i="41"/>
  <c r="F180" i="40"/>
  <c r="C8" i="41"/>
  <c r="B71" i="41"/>
  <c r="B80" i="41"/>
  <c r="B47" i="41"/>
  <c r="K35" i="40"/>
  <c r="S35" i="40" s="1"/>
  <c r="S43" i="40"/>
  <c r="F11" i="40"/>
  <c r="C15" i="41"/>
  <c r="B44" i="41"/>
  <c r="F185" i="40"/>
  <c r="C12" i="41"/>
  <c r="C7" i="41"/>
  <c r="S33" i="40"/>
  <c r="K188" i="40"/>
  <c r="L188" i="40" s="1"/>
  <c r="X151" i="40"/>
  <c r="D37" i="40"/>
  <c r="M153" i="40"/>
  <c r="M160" i="40"/>
  <c r="N160" i="40" s="1"/>
  <c r="N152" i="40"/>
  <c r="D176" i="40"/>
  <c r="AD53" i="40"/>
  <c r="D57" i="40"/>
  <c r="E52" i="40" s="1"/>
  <c r="W153" i="40"/>
  <c r="W154" i="40" s="1"/>
  <c r="X152" i="40"/>
  <c r="R152" i="40"/>
  <c r="S151" i="40"/>
  <c r="E55" i="40"/>
  <c r="I183" i="36"/>
  <c r="AD60" i="36"/>
  <c r="E18" i="36"/>
  <c r="Y17" i="36"/>
  <c r="AD17" i="36" s="1"/>
  <c r="E50" i="36"/>
  <c r="E52" i="36" s="1"/>
  <c r="E61" i="36"/>
  <c r="R150" i="36"/>
  <c r="S149" i="36"/>
  <c r="AD69" i="36"/>
  <c r="M150" i="36"/>
  <c r="N149" i="36"/>
  <c r="M155" i="36"/>
  <c r="N155" i="36" s="1"/>
  <c r="AD16" i="36"/>
  <c r="D50" i="36"/>
  <c r="D40" i="36"/>
  <c r="AD40" i="36" s="1"/>
  <c r="C13" i="36"/>
  <c r="F179" i="32"/>
  <c r="I179" i="32" s="1"/>
  <c r="C6" i="35"/>
  <c r="C6" i="34"/>
  <c r="B6" i="34"/>
  <c r="B6" i="35"/>
  <c r="B41" i="33"/>
  <c r="H179" i="32"/>
  <c r="AC17" i="32"/>
  <c r="F18" i="32"/>
  <c r="C12" i="33"/>
  <c r="C6" i="33"/>
  <c r="C10" i="33"/>
  <c r="C13" i="33"/>
  <c r="T62" i="32"/>
  <c r="T71" i="32" s="1"/>
  <c r="R52" i="32"/>
  <c r="R62" i="32" s="1"/>
  <c r="R71" i="32" s="1"/>
  <c r="L62" i="32"/>
  <c r="L71" i="32" s="1"/>
  <c r="J52" i="32"/>
  <c r="J62" i="32" s="1"/>
  <c r="J71" i="32" s="1"/>
  <c r="P52" i="32"/>
  <c r="P62" i="32" s="1"/>
  <c r="P71" i="32" s="1"/>
  <c r="AB62" i="32"/>
  <c r="AB71" i="32" s="1"/>
  <c r="Z52" i="32"/>
  <c r="Z62" i="32" s="1"/>
  <c r="Z71" i="32" s="1"/>
  <c r="H52" i="32"/>
  <c r="H62" i="32" s="1"/>
  <c r="H71" i="32" s="1"/>
  <c r="D44" i="30"/>
  <c r="B45" i="31"/>
  <c r="B79" i="30"/>
  <c r="B83" i="31"/>
  <c r="C18" i="1"/>
  <c r="C50" i="1" s="1"/>
  <c r="B82" i="30"/>
  <c r="B49" i="30"/>
  <c r="B46" i="31"/>
  <c r="B79" i="31"/>
  <c r="K184" i="25"/>
  <c r="C51" i="31"/>
  <c r="C84" i="31" s="1"/>
  <c r="C51" i="30"/>
  <c r="C84" i="30" s="1"/>
  <c r="B47" i="1"/>
  <c r="B80" i="1"/>
  <c r="M152" i="32"/>
  <c r="M158" i="32" s="1"/>
  <c r="M159" i="32" s="1"/>
  <c r="M160" i="32" s="1"/>
  <c r="M157" i="32"/>
  <c r="N151" i="32"/>
  <c r="L52" i="25"/>
  <c r="L62" i="25" s="1"/>
  <c r="L71" i="25" s="1"/>
  <c r="K52" i="25"/>
  <c r="K62" i="25" s="1"/>
  <c r="K71" i="25" s="1"/>
  <c r="C18" i="31"/>
  <c r="C17" i="31"/>
  <c r="C14" i="31"/>
  <c r="C16" i="31"/>
  <c r="C13" i="31"/>
  <c r="C15" i="30"/>
  <c r="C15" i="1"/>
  <c r="C16" i="1"/>
  <c r="C13" i="1"/>
  <c r="C18" i="30"/>
  <c r="C14" i="30"/>
  <c r="C16" i="30"/>
  <c r="C14" i="1"/>
  <c r="C17" i="30"/>
  <c r="C15" i="31"/>
  <c r="C13" i="30"/>
  <c r="O52" i="25"/>
  <c r="O62" i="25" s="1"/>
  <c r="O71" i="25" s="1"/>
  <c r="D77" i="31"/>
  <c r="B45" i="1"/>
  <c r="AC60" i="32"/>
  <c r="Q62" i="32"/>
  <c r="Q71" i="32" s="1"/>
  <c r="Y62" i="32"/>
  <c r="Y71" i="32" s="1"/>
  <c r="AC69" i="32"/>
  <c r="I62" i="32"/>
  <c r="I71" i="32" s="1"/>
  <c r="E61" i="32"/>
  <c r="AA62" i="32"/>
  <c r="AA71" i="32" s="1"/>
  <c r="G181" i="32"/>
  <c r="S62" i="32"/>
  <c r="S71" i="32" s="1"/>
  <c r="I192" i="32"/>
  <c r="G180" i="32"/>
  <c r="F185" i="32"/>
  <c r="X62" i="32"/>
  <c r="X71" i="32" s="1"/>
  <c r="W62" i="32"/>
  <c r="W71" i="32" s="1"/>
  <c r="E70" i="32"/>
  <c r="D54" i="32"/>
  <c r="E49" i="32" s="1"/>
  <c r="E51" i="32" s="1"/>
  <c r="AC50" i="32"/>
  <c r="D44" i="32"/>
  <c r="E39" i="32" s="1"/>
  <c r="E41" i="32" s="1"/>
  <c r="E43" i="32" s="1"/>
  <c r="AC40" i="32"/>
  <c r="N185" i="25"/>
  <c r="L184" i="25"/>
  <c r="G176" i="25"/>
  <c r="I176" i="25"/>
  <c r="J176" i="25" s="1"/>
  <c r="L176" i="25"/>
  <c r="N176" i="25"/>
  <c r="Q176" i="25" s="1"/>
  <c r="T176" i="25" s="1"/>
  <c r="W176" i="25" s="1"/>
  <c r="Z176" i="25" s="1"/>
  <c r="K190" i="25"/>
  <c r="K187" i="25"/>
  <c r="Q185" i="25"/>
  <c r="R185" i="25" s="1"/>
  <c r="F177" i="25"/>
  <c r="F194" i="25"/>
  <c r="F191" i="25"/>
  <c r="F193" i="25"/>
  <c r="F192" i="25"/>
  <c r="F178" i="25"/>
  <c r="E54" i="25"/>
  <c r="F49" i="25" s="1"/>
  <c r="C51" i="1"/>
  <c r="C84" i="1" s="1"/>
  <c r="E73" i="25"/>
  <c r="F68" i="25" s="1"/>
  <c r="F70" i="25" s="1"/>
  <c r="F72" i="25" s="1"/>
  <c r="F73" i="25" s="1"/>
  <c r="G68" i="25" s="1"/>
  <c r="G70" i="25" s="1"/>
  <c r="M161" i="25"/>
  <c r="N160" i="25"/>
  <c r="R156" i="25"/>
  <c r="S155" i="25"/>
  <c r="M156" i="25"/>
  <c r="N156" i="25" s="1"/>
  <c r="N155" i="25"/>
  <c r="I52" i="25"/>
  <c r="I62" i="25" s="1"/>
  <c r="I71" i="25" s="1"/>
  <c r="AC50" i="25"/>
  <c r="H52" i="25"/>
  <c r="H62" i="25" s="1"/>
  <c r="H71" i="25" s="1"/>
  <c r="G52" i="25"/>
  <c r="G62" i="25" s="1"/>
  <c r="G71" i="25" s="1"/>
  <c r="J52" i="25"/>
  <c r="J62" i="25" s="1"/>
  <c r="J71" i="25" s="1"/>
  <c r="F18" i="25"/>
  <c r="B68" i="46" l="1"/>
  <c r="D32" i="46"/>
  <c r="D39" i="65"/>
  <c r="D67" i="46"/>
  <c r="B68" i="66"/>
  <c r="B73" i="66" s="1"/>
  <c r="X110" i="61"/>
  <c r="W111" i="61"/>
  <c r="C67" i="65"/>
  <c r="C39" i="66"/>
  <c r="C67" i="66" s="1"/>
  <c r="R111" i="61"/>
  <c r="S110" i="61"/>
  <c r="AA83" i="61"/>
  <c r="U83" i="61"/>
  <c r="R83" i="61"/>
  <c r="I83" i="61"/>
  <c r="F83" i="61"/>
  <c r="X83" i="61"/>
  <c r="L83" i="61"/>
  <c r="O83" i="61"/>
  <c r="K83" i="61"/>
  <c r="Z83" i="61"/>
  <c r="N83" i="61"/>
  <c r="Q83" i="61"/>
  <c r="W83" i="61"/>
  <c r="T83" i="61"/>
  <c r="H83" i="61"/>
  <c r="E83" i="61"/>
  <c r="B61" i="66"/>
  <c r="B72" i="66" s="1"/>
  <c r="J155" i="45"/>
  <c r="K155" i="45"/>
  <c r="C60" i="46"/>
  <c r="C32" i="65"/>
  <c r="D32" i="65"/>
  <c r="D60" i="46"/>
  <c r="B61" i="46"/>
  <c r="B72" i="46" s="1"/>
  <c r="B33" i="46"/>
  <c r="B44" i="46" s="1"/>
  <c r="B73" i="65"/>
  <c r="B45" i="65"/>
  <c r="B45" i="66"/>
  <c r="B13" i="65"/>
  <c r="B18" i="65" s="1"/>
  <c r="B13" i="66"/>
  <c r="B18" i="66" s="1"/>
  <c r="B17" i="65"/>
  <c r="C37" i="66"/>
  <c r="C65" i="66"/>
  <c r="B17" i="66"/>
  <c r="D10" i="66"/>
  <c r="D10" i="65"/>
  <c r="C59" i="66"/>
  <c r="C31" i="66"/>
  <c r="C7" i="66"/>
  <c r="D11" i="65"/>
  <c r="D11" i="66"/>
  <c r="D6" i="65"/>
  <c r="D6" i="66"/>
  <c r="B44" i="65"/>
  <c r="B42" i="65"/>
  <c r="C37" i="65"/>
  <c r="C65" i="65"/>
  <c r="C36" i="66"/>
  <c r="C64" i="66"/>
  <c r="B72" i="65"/>
  <c r="B70" i="65"/>
  <c r="B44" i="66"/>
  <c r="C59" i="65"/>
  <c r="C7" i="65"/>
  <c r="C31" i="65"/>
  <c r="C36" i="65"/>
  <c r="C64" i="65"/>
  <c r="M159" i="45"/>
  <c r="B73" i="46"/>
  <c r="B13" i="46"/>
  <c r="B14" i="34"/>
  <c r="B43" i="34" s="1"/>
  <c r="C50" i="43"/>
  <c r="C84" i="43" s="1"/>
  <c r="C50" i="42"/>
  <c r="C84" i="42" s="1"/>
  <c r="C84" i="41"/>
  <c r="D40" i="41"/>
  <c r="D39" i="41"/>
  <c r="D50" i="41"/>
  <c r="C39" i="42"/>
  <c r="C73" i="42" s="1"/>
  <c r="C73" i="41"/>
  <c r="C39" i="43"/>
  <c r="C73" i="43" s="1"/>
  <c r="C40" i="42"/>
  <c r="C74" i="42" s="1"/>
  <c r="C40" i="43"/>
  <c r="C74" i="43" s="1"/>
  <c r="C74" i="41"/>
  <c r="S151" i="32"/>
  <c r="E110" i="45"/>
  <c r="W110" i="45"/>
  <c r="K110" i="45"/>
  <c r="T113" i="36"/>
  <c r="Z113" i="36"/>
  <c r="K113" i="36"/>
  <c r="N113" i="36"/>
  <c r="W113" i="36"/>
  <c r="E113" i="36"/>
  <c r="H113" i="36"/>
  <c r="K113" i="32"/>
  <c r="N110" i="45"/>
  <c r="T110" i="45"/>
  <c r="Q113" i="32"/>
  <c r="C42" i="35"/>
  <c r="Q110" i="45"/>
  <c r="H110" i="45"/>
  <c r="Z113" i="32"/>
  <c r="H113" i="32"/>
  <c r="E113" i="32"/>
  <c r="N113" i="32"/>
  <c r="W113" i="32"/>
  <c r="C82" i="1"/>
  <c r="AD50" i="36"/>
  <c r="C65" i="38"/>
  <c r="C37" i="38"/>
  <c r="N141" i="45"/>
  <c r="AB113" i="36"/>
  <c r="M113" i="36"/>
  <c r="V113" i="36"/>
  <c r="Y113" i="36"/>
  <c r="W149" i="36"/>
  <c r="J113" i="36"/>
  <c r="S113" i="36"/>
  <c r="G113" i="36"/>
  <c r="P113" i="36"/>
  <c r="V113" i="32"/>
  <c r="M113" i="32"/>
  <c r="AB113" i="32"/>
  <c r="G113" i="32"/>
  <c r="J113" i="32"/>
  <c r="P113" i="32"/>
  <c r="Y113" i="32"/>
  <c r="W151" i="32"/>
  <c r="S113" i="32"/>
  <c r="C65" i="39"/>
  <c r="C37" i="39"/>
  <c r="E62" i="36"/>
  <c r="E63" i="36" s="1"/>
  <c r="AD52" i="36"/>
  <c r="D14" i="33"/>
  <c r="D14" i="35" s="1"/>
  <c r="D42" i="35" s="1"/>
  <c r="M110" i="45"/>
  <c r="J110" i="45"/>
  <c r="S110" i="45"/>
  <c r="G110" i="45"/>
  <c r="AB110" i="45"/>
  <c r="Y110" i="45"/>
  <c r="V110" i="45"/>
  <c r="P110" i="45"/>
  <c r="W140" i="45"/>
  <c r="F18" i="36"/>
  <c r="C12" i="37"/>
  <c r="C13" i="39"/>
  <c r="C13" i="37"/>
  <c r="C12" i="39"/>
  <c r="C13" i="38"/>
  <c r="C12" i="38"/>
  <c r="W154" i="25"/>
  <c r="X153" i="25"/>
  <c r="C65" i="37"/>
  <c r="C37" i="37"/>
  <c r="C83" i="1"/>
  <c r="C82" i="43"/>
  <c r="C82" i="41"/>
  <c r="C78" i="42"/>
  <c r="C44" i="42"/>
  <c r="C47" i="42"/>
  <c r="C81" i="42"/>
  <c r="C9" i="42"/>
  <c r="C22" i="42" s="1"/>
  <c r="C72" i="42"/>
  <c r="C38" i="42"/>
  <c r="D15" i="41"/>
  <c r="D81" i="41" s="1"/>
  <c r="D15" i="43"/>
  <c r="D15" i="42"/>
  <c r="D16" i="41"/>
  <c r="D14" i="42"/>
  <c r="D16" i="42"/>
  <c r="D14" i="43"/>
  <c r="D16" i="43"/>
  <c r="C44" i="43"/>
  <c r="C78" i="43"/>
  <c r="C47" i="43"/>
  <c r="C81" i="43"/>
  <c r="C72" i="43"/>
  <c r="C75" i="43" s="1"/>
  <c r="C89" i="43" s="1"/>
  <c r="C38" i="43"/>
  <c r="C72" i="41"/>
  <c r="C38" i="41"/>
  <c r="D8" i="43"/>
  <c r="D8" i="42"/>
  <c r="D12" i="43"/>
  <c r="D12" i="42"/>
  <c r="D7" i="43"/>
  <c r="D7" i="42"/>
  <c r="C71" i="42"/>
  <c r="C37" i="42"/>
  <c r="M144" i="45"/>
  <c r="N144" i="45" s="1"/>
  <c r="M143" i="45"/>
  <c r="N143" i="45" s="1"/>
  <c r="R147" i="45"/>
  <c r="R144" i="45"/>
  <c r="S144" i="45" s="1"/>
  <c r="G11" i="45"/>
  <c r="E39" i="46" s="1"/>
  <c r="D6" i="46"/>
  <c r="D11" i="46"/>
  <c r="D10" i="46"/>
  <c r="H162" i="45"/>
  <c r="C7" i="46"/>
  <c r="C17" i="46" s="1"/>
  <c r="C31" i="46"/>
  <c r="C59" i="46"/>
  <c r="C64" i="46"/>
  <c r="C36" i="46"/>
  <c r="C37" i="46"/>
  <c r="C65" i="46"/>
  <c r="N142" i="45"/>
  <c r="M147" i="45"/>
  <c r="M148" i="45" s="1"/>
  <c r="M149" i="45" s="1"/>
  <c r="E38" i="45"/>
  <c r="E48" i="45"/>
  <c r="S142" i="45"/>
  <c r="E68" i="45"/>
  <c r="AC68" i="45" s="1"/>
  <c r="AC59" i="45"/>
  <c r="E60" i="45"/>
  <c r="L187" i="40"/>
  <c r="N187" i="40" s="1"/>
  <c r="B6" i="42"/>
  <c r="B6" i="43"/>
  <c r="L184" i="36"/>
  <c r="N184" i="36" s="1"/>
  <c r="G189" i="32"/>
  <c r="C42" i="33"/>
  <c r="C71" i="33"/>
  <c r="M164" i="32"/>
  <c r="M161" i="32"/>
  <c r="B34" i="33"/>
  <c r="B7" i="33"/>
  <c r="G179" i="32"/>
  <c r="C15" i="33"/>
  <c r="C72" i="33" s="1"/>
  <c r="C15" i="35"/>
  <c r="C72" i="35" s="1"/>
  <c r="C15" i="34"/>
  <c r="C73" i="34" s="1"/>
  <c r="D13" i="34"/>
  <c r="D13" i="35"/>
  <c r="D10" i="34"/>
  <c r="D10" i="35"/>
  <c r="C39" i="34"/>
  <c r="C68" i="34"/>
  <c r="C71" i="34"/>
  <c r="C42" i="34"/>
  <c r="C70" i="35"/>
  <c r="C41" i="35"/>
  <c r="C67" i="35"/>
  <c r="C38" i="35"/>
  <c r="R188" i="32"/>
  <c r="T188" i="32" s="1"/>
  <c r="C40" i="35"/>
  <c r="C69" i="35"/>
  <c r="C41" i="34"/>
  <c r="C70" i="34"/>
  <c r="H187" i="32"/>
  <c r="D12" i="34"/>
  <c r="D12" i="35"/>
  <c r="I189" i="40"/>
  <c r="C9" i="41"/>
  <c r="C22" i="41" s="1"/>
  <c r="G180" i="40"/>
  <c r="D8" i="41"/>
  <c r="D14" i="41"/>
  <c r="D46" i="41" s="1"/>
  <c r="G11" i="40"/>
  <c r="C81" i="41"/>
  <c r="C47" i="41"/>
  <c r="C80" i="41"/>
  <c r="C46" i="41"/>
  <c r="C37" i="41"/>
  <c r="C71" i="41"/>
  <c r="C78" i="41"/>
  <c r="C44" i="41"/>
  <c r="G185" i="40"/>
  <c r="D12" i="41"/>
  <c r="D7" i="41"/>
  <c r="E32" i="40"/>
  <c r="E176" i="40"/>
  <c r="B6" i="41"/>
  <c r="B9" i="41" s="1"/>
  <c r="B22" i="41" s="1"/>
  <c r="X154" i="40"/>
  <c r="W155" i="40"/>
  <c r="X155" i="40" s="1"/>
  <c r="N153" i="40"/>
  <c r="M154" i="40"/>
  <c r="R153" i="40"/>
  <c r="R154" i="40" s="1"/>
  <c r="S152" i="40"/>
  <c r="D186" i="40"/>
  <c r="E46" i="40"/>
  <c r="E54" i="40"/>
  <c r="E64" i="40"/>
  <c r="W159" i="40"/>
  <c r="X153" i="40"/>
  <c r="M161" i="40"/>
  <c r="N188" i="40"/>
  <c r="O188" i="40" s="1"/>
  <c r="K183" i="36"/>
  <c r="L183" i="36" s="1"/>
  <c r="S150" i="36"/>
  <c r="R151" i="36"/>
  <c r="D54" i="36"/>
  <c r="E49" i="36" s="1"/>
  <c r="D44" i="36"/>
  <c r="E39" i="36" s="1"/>
  <c r="M156" i="36"/>
  <c r="M151" i="36"/>
  <c r="N151" i="36" s="1"/>
  <c r="N150" i="36"/>
  <c r="C34" i="35"/>
  <c r="C63" i="35"/>
  <c r="C7" i="35"/>
  <c r="C20" i="35" s="1"/>
  <c r="K179" i="32"/>
  <c r="B7" i="35"/>
  <c r="B20" i="35" s="1"/>
  <c r="B63" i="35"/>
  <c r="B34" i="35"/>
  <c r="D6" i="35"/>
  <c r="D6" i="34"/>
  <c r="C35" i="34"/>
  <c r="C64" i="34"/>
  <c r="C7" i="34"/>
  <c r="C20" i="34" s="1"/>
  <c r="B64" i="34"/>
  <c r="B7" i="34"/>
  <c r="B20" i="34" s="1"/>
  <c r="B35" i="34"/>
  <c r="C67" i="33"/>
  <c r="C38" i="33"/>
  <c r="C7" i="33"/>
  <c r="C20" i="33" s="1"/>
  <c r="C63" i="33"/>
  <c r="C34" i="33"/>
  <c r="C40" i="33"/>
  <c r="C69" i="33"/>
  <c r="C70" i="33"/>
  <c r="C41" i="33"/>
  <c r="G18" i="32"/>
  <c r="D6" i="33"/>
  <c r="D10" i="33"/>
  <c r="D12" i="33"/>
  <c r="D13" i="33"/>
  <c r="J179" i="32"/>
  <c r="G18" i="25"/>
  <c r="D17" i="31"/>
  <c r="D16" i="31"/>
  <c r="D18" i="31"/>
  <c r="D13" i="31"/>
  <c r="D18" i="30"/>
  <c r="D14" i="30"/>
  <c r="D17" i="30"/>
  <c r="D13" i="30"/>
  <c r="D15" i="1"/>
  <c r="D16" i="1"/>
  <c r="D13" i="1"/>
  <c r="D15" i="31"/>
  <c r="D16" i="30"/>
  <c r="D14" i="1"/>
  <c r="D14" i="31"/>
  <c r="D15" i="30"/>
  <c r="D6" i="30"/>
  <c r="D6" i="31"/>
  <c r="D17" i="1"/>
  <c r="C83" i="31"/>
  <c r="C50" i="31"/>
  <c r="D18" i="1"/>
  <c r="D50" i="1" s="1"/>
  <c r="C78" i="30"/>
  <c r="C45" i="30"/>
  <c r="C48" i="1"/>
  <c r="C81" i="1"/>
  <c r="C80" i="31"/>
  <c r="C47" i="31"/>
  <c r="C79" i="30"/>
  <c r="C46" i="30"/>
  <c r="C47" i="1"/>
  <c r="C80" i="1"/>
  <c r="C79" i="31"/>
  <c r="C46" i="31"/>
  <c r="S152" i="32"/>
  <c r="R153" i="32"/>
  <c r="R157" i="32" s="1"/>
  <c r="R158" i="32" s="1"/>
  <c r="N157" i="32"/>
  <c r="C46" i="1"/>
  <c r="C79" i="1"/>
  <c r="C45" i="1"/>
  <c r="C78" i="1"/>
  <c r="C45" i="31"/>
  <c r="C78" i="31"/>
  <c r="F12" i="1"/>
  <c r="C81" i="30"/>
  <c r="C48" i="30"/>
  <c r="C48" i="31"/>
  <c r="C81" i="31"/>
  <c r="F12" i="31"/>
  <c r="C49" i="30"/>
  <c r="C82" i="30"/>
  <c r="C50" i="30"/>
  <c r="C83" i="30"/>
  <c r="C80" i="30"/>
  <c r="C47" i="30"/>
  <c r="C49" i="31"/>
  <c r="C82" i="31"/>
  <c r="M153" i="32"/>
  <c r="N152" i="32"/>
  <c r="F12" i="30"/>
  <c r="H181" i="32"/>
  <c r="E63" i="32"/>
  <c r="K62" i="32"/>
  <c r="AC52" i="32"/>
  <c r="E72" i="32"/>
  <c r="G185" i="32"/>
  <c r="H180" i="32"/>
  <c r="J192" i="32"/>
  <c r="AC42" i="32"/>
  <c r="N184" i="25"/>
  <c r="O176" i="25"/>
  <c r="M176" i="25"/>
  <c r="L190" i="25"/>
  <c r="L187" i="25"/>
  <c r="T185" i="25"/>
  <c r="U185" i="25" s="1"/>
  <c r="D6" i="1"/>
  <c r="G194" i="25"/>
  <c r="G192" i="25"/>
  <c r="G178" i="25"/>
  <c r="G193" i="25"/>
  <c r="G191" i="25"/>
  <c r="G177" i="25"/>
  <c r="G72" i="25"/>
  <c r="G73" i="25" s="1"/>
  <c r="H68" i="25" s="1"/>
  <c r="H70" i="25" s="1"/>
  <c r="H72" i="25" s="1"/>
  <c r="H73" i="25" s="1"/>
  <c r="I68" i="25" s="1"/>
  <c r="I70" i="25" s="1"/>
  <c r="S156" i="25"/>
  <c r="R160" i="25"/>
  <c r="N161" i="25"/>
  <c r="M184" i="25" s="1"/>
  <c r="M162" i="25"/>
  <c r="AC71" i="25"/>
  <c r="AC62" i="25"/>
  <c r="AC52" i="25"/>
  <c r="F51" i="25"/>
  <c r="F53" i="25" s="1"/>
  <c r="E63" i="25"/>
  <c r="E67" i="46" l="1"/>
  <c r="E39" i="65"/>
  <c r="C33" i="65"/>
  <c r="C44" i="65" s="1"/>
  <c r="E32" i="46"/>
  <c r="E6" i="58"/>
  <c r="H6" i="58"/>
  <c r="K6" i="58"/>
  <c r="N6" i="58"/>
  <c r="Q6" i="58"/>
  <c r="T6" i="58"/>
  <c r="W6" i="58"/>
  <c r="Z6" i="58"/>
  <c r="D39" i="66"/>
  <c r="D67" i="66" s="1"/>
  <c r="D67" i="65"/>
  <c r="E6" i="59"/>
  <c r="H6" i="59"/>
  <c r="K6" i="59"/>
  <c r="N6" i="59"/>
  <c r="Q6" i="59"/>
  <c r="T6" i="59"/>
  <c r="W6" i="59"/>
  <c r="Z6" i="59"/>
  <c r="S111" i="61"/>
  <c r="R112" i="61"/>
  <c r="S112" i="61" s="1"/>
  <c r="E6" i="65"/>
  <c r="X111" i="61"/>
  <c r="W112" i="61"/>
  <c r="X112" i="61" s="1"/>
  <c r="E32" i="65"/>
  <c r="E60" i="46"/>
  <c r="L155" i="45"/>
  <c r="C60" i="65"/>
  <c r="C61" i="65" s="1"/>
  <c r="C72" i="65" s="1"/>
  <c r="C32" i="66"/>
  <c r="C60" i="66" s="1"/>
  <c r="C61" i="66" s="1"/>
  <c r="C72" i="66" s="1"/>
  <c r="D60" i="65"/>
  <c r="D32" i="66"/>
  <c r="D60" i="66" s="1"/>
  <c r="B70" i="66"/>
  <c r="B15" i="65"/>
  <c r="C61" i="46"/>
  <c r="C72" i="46" s="1"/>
  <c r="C33" i="46"/>
  <c r="C44" i="46" s="1"/>
  <c r="B15" i="66"/>
  <c r="B42" i="66"/>
  <c r="D37" i="66"/>
  <c r="D65" i="66"/>
  <c r="D37" i="65"/>
  <c r="D65" i="65"/>
  <c r="D31" i="66"/>
  <c r="D59" i="66"/>
  <c r="D7" i="66"/>
  <c r="C17" i="66"/>
  <c r="D64" i="65"/>
  <c r="D36" i="65"/>
  <c r="C17" i="65"/>
  <c r="D59" i="65"/>
  <c r="D7" i="65"/>
  <c r="D31" i="65"/>
  <c r="D33" i="65" s="1"/>
  <c r="D64" i="66"/>
  <c r="D36" i="66"/>
  <c r="B70" i="46"/>
  <c r="B15" i="46"/>
  <c r="B18" i="46"/>
  <c r="B42" i="46"/>
  <c r="B45" i="46"/>
  <c r="B35" i="33"/>
  <c r="B48" i="33" s="1"/>
  <c r="B20" i="33"/>
  <c r="C75" i="41"/>
  <c r="D50" i="42"/>
  <c r="D84" i="42" s="1"/>
  <c r="D50" i="43"/>
  <c r="D84" i="43" s="1"/>
  <c r="D84" i="41"/>
  <c r="C75" i="42"/>
  <c r="C89" i="42" s="1"/>
  <c r="D39" i="43"/>
  <c r="D73" i="43" s="1"/>
  <c r="D73" i="41"/>
  <c r="D39" i="42"/>
  <c r="D73" i="42" s="1"/>
  <c r="E40" i="41"/>
  <c r="E39" i="41"/>
  <c r="E50" i="41"/>
  <c r="C41" i="42"/>
  <c r="C55" i="42" s="1"/>
  <c r="D40" i="42"/>
  <c r="D74" i="42" s="1"/>
  <c r="D40" i="43"/>
  <c r="D74" i="43" s="1"/>
  <c r="D74" i="41"/>
  <c r="C41" i="43"/>
  <c r="C55" i="43" s="1"/>
  <c r="D71" i="35"/>
  <c r="D83" i="1"/>
  <c r="G18" i="36"/>
  <c r="H18" i="36" s="1"/>
  <c r="D13" i="38"/>
  <c r="D12" i="39"/>
  <c r="D12" i="38"/>
  <c r="D12" i="37"/>
  <c r="D13" i="39"/>
  <c r="D13" i="37"/>
  <c r="E6" i="30"/>
  <c r="E71" i="30" s="1"/>
  <c r="X154" i="25"/>
  <c r="W155" i="25"/>
  <c r="C68" i="37"/>
  <c r="C40" i="37"/>
  <c r="E71" i="36"/>
  <c r="AD62" i="36"/>
  <c r="W152" i="32"/>
  <c r="X151" i="32"/>
  <c r="E6" i="34" s="1"/>
  <c r="E35" i="34" s="1"/>
  <c r="W150" i="36"/>
  <c r="X149" i="36"/>
  <c r="E14" i="33"/>
  <c r="E14" i="35" s="1"/>
  <c r="E42" i="35" s="1"/>
  <c r="C39" i="38"/>
  <c r="C67" i="38"/>
  <c r="C68" i="39"/>
  <c r="C40" i="39"/>
  <c r="C39" i="39"/>
  <c r="C67" i="39"/>
  <c r="W141" i="45"/>
  <c r="X140" i="45"/>
  <c r="C68" i="38"/>
  <c r="C40" i="38"/>
  <c r="C39" i="37"/>
  <c r="C67" i="37"/>
  <c r="D47" i="41"/>
  <c r="D78" i="43"/>
  <c r="D44" i="43"/>
  <c r="D80" i="42"/>
  <c r="D46" i="42"/>
  <c r="D38" i="41"/>
  <c r="D72" i="41"/>
  <c r="D71" i="42"/>
  <c r="D37" i="42"/>
  <c r="D82" i="43"/>
  <c r="D48" i="43"/>
  <c r="E12" i="43"/>
  <c r="E12" i="42"/>
  <c r="E8" i="43"/>
  <c r="E8" i="42"/>
  <c r="D71" i="43"/>
  <c r="D37" i="43"/>
  <c r="D38" i="43"/>
  <c r="D72" i="43"/>
  <c r="D80" i="43"/>
  <c r="D46" i="43"/>
  <c r="D81" i="42"/>
  <c r="D47" i="42"/>
  <c r="B13" i="43"/>
  <c r="B13" i="42"/>
  <c r="D38" i="42"/>
  <c r="D72" i="42"/>
  <c r="D48" i="41"/>
  <c r="D82" i="41"/>
  <c r="C49" i="41"/>
  <c r="C49" i="42"/>
  <c r="C49" i="43"/>
  <c r="H11" i="40"/>
  <c r="E16" i="43"/>
  <c r="E16" i="41"/>
  <c r="E16" i="42"/>
  <c r="D78" i="42"/>
  <c r="D44" i="42"/>
  <c r="D82" i="42"/>
  <c r="D48" i="42"/>
  <c r="D81" i="43"/>
  <c r="D47" i="43"/>
  <c r="D59" i="46"/>
  <c r="D7" i="46"/>
  <c r="D17" i="46" s="1"/>
  <c r="D31" i="46"/>
  <c r="I162" i="45"/>
  <c r="H11" i="45"/>
  <c r="E6" i="46"/>
  <c r="D36" i="46"/>
  <c r="D64" i="46"/>
  <c r="D65" i="46"/>
  <c r="D37" i="46"/>
  <c r="E69" i="45"/>
  <c r="E70" i="45" s="1"/>
  <c r="F65" i="45" s="1"/>
  <c r="E61" i="45"/>
  <c r="F56" i="45" s="1"/>
  <c r="E40" i="45"/>
  <c r="N147" i="45"/>
  <c r="E50" i="45"/>
  <c r="O187" i="40"/>
  <c r="Q187" i="40" s="1"/>
  <c r="B70" i="42"/>
  <c r="B9" i="42"/>
  <c r="B22" i="42" s="1"/>
  <c r="B36" i="42"/>
  <c r="B70" i="43"/>
  <c r="B9" i="43"/>
  <c r="B22" i="43" s="1"/>
  <c r="B36" i="43"/>
  <c r="O184" i="36"/>
  <c r="Q184" i="36" s="1"/>
  <c r="C72" i="34"/>
  <c r="C14" i="34"/>
  <c r="C43" i="34" s="1"/>
  <c r="D42" i="33"/>
  <c r="D71" i="33"/>
  <c r="H189" i="32"/>
  <c r="N161" i="32"/>
  <c r="M162" i="32"/>
  <c r="B64" i="33"/>
  <c r="B77" i="33" s="1"/>
  <c r="D70" i="35"/>
  <c r="D41" i="35"/>
  <c r="E10" i="34"/>
  <c r="E10" i="35"/>
  <c r="D67" i="35"/>
  <c r="D38" i="35"/>
  <c r="D71" i="34"/>
  <c r="D42" i="34"/>
  <c r="E6" i="35"/>
  <c r="E7" i="35" s="1"/>
  <c r="E20" i="35" s="1"/>
  <c r="D68" i="34"/>
  <c r="D39" i="34"/>
  <c r="U188" i="32"/>
  <c r="W188" i="32" s="1"/>
  <c r="D41" i="34"/>
  <c r="D70" i="34"/>
  <c r="I187" i="32"/>
  <c r="D40" i="35"/>
  <c r="D69" i="35"/>
  <c r="J189" i="40"/>
  <c r="H180" i="40"/>
  <c r="E8" i="41"/>
  <c r="D80" i="41"/>
  <c r="H176" i="40"/>
  <c r="E186" i="40"/>
  <c r="B13" i="41"/>
  <c r="F176" i="40"/>
  <c r="D71" i="41"/>
  <c r="D37" i="41"/>
  <c r="H185" i="40"/>
  <c r="E12" i="41"/>
  <c r="D78" i="41"/>
  <c r="D44" i="41"/>
  <c r="B70" i="41"/>
  <c r="B36" i="41"/>
  <c r="C70" i="41"/>
  <c r="C36" i="41"/>
  <c r="M155" i="40"/>
  <c r="N155" i="40" s="1"/>
  <c r="N154" i="40"/>
  <c r="G179" i="40" s="1"/>
  <c r="S154" i="40"/>
  <c r="R155" i="40"/>
  <c r="S155" i="40" s="1"/>
  <c r="N161" i="40"/>
  <c r="M162" i="40"/>
  <c r="E65" i="40"/>
  <c r="E47" i="40"/>
  <c r="Q188" i="40"/>
  <c r="R188" i="40" s="1"/>
  <c r="E36" i="40"/>
  <c r="X159" i="40"/>
  <c r="W160" i="40"/>
  <c r="E56" i="40"/>
  <c r="R159" i="40"/>
  <c r="S153" i="40"/>
  <c r="N183" i="36"/>
  <c r="O183" i="36" s="1"/>
  <c r="E64" i="36"/>
  <c r="F59" i="36" s="1"/>
  <c r="E51" i="36"/>
  <c r="N156" i="36"/>
  <c r="M157" i="36"/>
  <c r="E41" i="36"/>
  <c r="R155" i="36"/>
  <c r="S151" i="36"/>
  <c r="D63" i="35"/>
  <c r="D34" i="35"/>
  <c r="D7" i="35"/>
  <c r="D20" i="35" s="1"/>
  <c r="C35" i="35"/>
  <c r="C48" i="35" s="1"/>
  <c r="C64" i="35"/>
  <c r="C77" i="35" s="1"/>
  <c r="C65" i="34"/>
  <c r="C78" i="34" s="1"/>
  <c r="C36" i="34"/>
  <c r="C49" i="34" s="1"/>
  <c r="D64" i="34"/>
  <c r="D35" i="34"/>
  <c r="D7" i="34"/>
  <c r="D20" i="34" s="1"/>
  <c r="B35" i="35"/>
  <c r="B64" i="35"/>
  <c r="L179" i="32"/>
  <c r="N179" i="32"/>
  <c r="B36" i="34"/>
  <c r="B65" i="34"/>
  <c r="D67" i="33"/>
  <c r="D38" i="33"/>
  <c r="D7" i="33"/>
  <c r="D20" i="33" s="1"/>
  <c r="D63" i="33"/>
  <c r="D34" i="33"/>
  <c r="C35" i="33"/>
  <c r="C48" i="33" s="1"/>
  <c r="C64" i="33"/>
  <c r="C77" i="33" s="1"/>
  <c r="D70" i="33"/>
  <c r="D41" i="33"/>
  <c r="H18" i="32"/>
  <c r="E10" i="33"/>
  <c r="E6" i="33"/>
  <c r="D69" i="33"/>
  <c r="D40" i="33"/>
  <c r="F77" i="30"/>
  <c r="F44" i="30"/>
  <c r="D49" i="1"/>
  <c r="D82" i="1"/>
  <c r="D79" i="31"/>
  <c r="D46" i="31"/>
  <c r="D78" i="1"/>
  <c r="D45" i="1"/>
  <c r="D49" i="30"/>
  <c r="D82" i="30"/>
  <c r="D51" i="31"/>
  <c r="D84" i="31" s="1"/>
  <c r="D51" i="30"/>
  <c r="D84" i="30" s="1"/>
  <c r="D71" i="31"/>
  <c r="D38" i="31"/>
  <c r="D79" i="1"/>
  <c r="D46" i="1"/>
  <c r="D81" i="1"/>
  <c r="D48" i="1"/>
  <c r="D48" i="31"/>
  <c r="D81" i="31"/>
  <c r="N153" i="32"/>
  <c r="F44" i="1"/>
  <c r="F77" i="1"/>
  <c r="D71" i="30"/>
  <c r="D38" i="30"/>
  <c r="D48" i="30"/>
  <c r="D81" i="30"/>
  <c r="D47" i="1"/>
  <c r="D80" i="1"/>
  <c r="D83" i="30"/>
  <c r="D50" i="30"/>
  <c r="D82" i="31"/>
  <c r="D49" i="31"/>
  <c r="D83" i="31"/>
  <c r="D50" i="31"/>
  <c r="F77" i="31"/>
  <c r="F44" i="31"/>
  <c r="D79" i="30"/>
  <c r="D46" i="30"/>
  <c r="E18" i="1"/>
  <c r="E50" i="1" s="1"/>
  <c r="S153" i="32"/>
  <c r="D80" i="30"/>
  <c r="D47" i="30"/>
  <c r="D47" i="31"/>
  <c r="D80" i="31"/>
  <c r="D78" i="30"/>
  <c r="D45" i="30"/>
  <c r="D78" i="31"/>
  <c r="D45" i="31"/>
  <c r="H18" i="25"/>
  <c r="E13" i="30"/>
  <c r="E18" i="31"/>
  <c r="E13" i="31"/>
  <c r="E18" i="30"/>
  <c r="E13" i="1"/>
  <c r="G12" i="31"/>
  <c r="E6" i="31"/>
  <c r="G12" i="1"/>
  <c r="G12" i="30"/>
  <c r="I180" i="32"/>
  <c r="E64" i="32"/>
  <c r="F59" i="32" s="1"/>
  <c r="E73" i="32"/>
  <c r="F68" i="32" s="1"/>
  <c r="E53" i="32"/>
  <c r="K71" i="32"/>
  <c r="AC71" i="32" s="1"/>
  <c r="AC62" i="32"/>
  <c r="K192" i="32"/>
  <c r="H185" i="32"/>
  <c r="I181" i="32"/>
  <c r="G184" i="25"/>
  <c r="J184" i="25"/>
  <c r="O184" i="25"/>
  <c r="P176" i="25"/>
  <c r="R176" i="25"/>
  <c r="N190" i="25"/>
  <c r="E6" i="1"/>
  <c r="E38" i="1" s="1"/>
  <c r="W185" i="25"/>
  <c r="X185" i="25" s="1"/>
  <c r="N187" i="25"/>
  <c r="D71" i="1"/>
  <c r="D38" i="1"/>
  <c r="H192" i="25"/>
  <c r="H177" i="25"/>
  <c r="H193" i="25"/>
  <c r="H191" i="25"/>
  <c r="H178" i="25"/>
  <c r="H194" i="25"/>
  <c r="F54" i="25"/>
  <c r="G49" i="25" s="1"/>
  <c r="G51" i="25" s="1"/>
  <c r="G53" i="25" s="1"/>
  <c r="D51" i="1"/>
  <c r="D84" i="1" s="1"/>
  <c r="R161" i="25"/>
  <c r="S160" i="25"/>
  <c r="M163" i="25"/>
  <c r="N162" i="25"/>
  <c r="I72" i="25"/>
  <c r="I73" i="25" s="1"/>
  <c r="J68" i="25" s="1"/>
  <c r="J70" i="25" s="1"/>
  <c r="E64" i="25"/>
  <c r="F59" i="25" s="1"/>
  <c r="F61" i="25" s="1"/>
  <c r="K33" i="59" l="1"/>
  <c r="K63" i="59"/>
  <c r="K33" i="58"/>
  <c r="K63" i="58"/>
  <c r="Q33" i="58"/>
  <c r="Q63" i="58"/>
  <c r="Z63" i="59"/>
  <c r="Z33" i="59"/>
  <c r="H63" i="59"/>
  <c r="H33" i="59"/>
  <c r="Z63" i="58"/>
  <c r="Z33" i="58"/>
  <c r="H63" i="58"/>
  <c r="H33" i="58"/>
  <c r="C55" i="41"/>
  <c r="C89" i="41"/>
  <c r="W33" i="59"/>
  <c r="W63" i="59"/>
  <c r="E63" i="59"/>
  <c r="E33" i="59"/>
  <c r="W33" i="58"/>
  <c r="W63" i="58"/>
  <c r="E63" i="58"/>
  <c r="E33" i="58"/>
  <c r="E67" i="65"/>
  <c r="E39" i="66"/>
  <c r="E67" i="66" s="1"/>
  <c r="T63" i="59"/>
  <c r="T33" i="59"/>
  <c r="T33" i="58"/>
  <c r="T63" i="58"/>
  <c r="Q33" i="59"/>
  <c r="Q63" i="59"/>
  <c r="F39" i="46"/>
  <c r="F32" i="46"/>
  <c r="C41" i="41"/>
  <c r="N63" i="59"/>
  <c r="N33" i="59"/>
  <c r="N33" i="58"/>
  <c r="N63" i="58"/>
  <c r="D33" i="66"/>
  <c r="D61" i="66"/>
  <c r="D72" i="66" s="1"/>
  <c r="D61" i="65"/>
  <c r="C33" i="66"/>
  <c r="C44" i="66" s="1"/>
  <c r="E60" i="65"/>
  <c r="E32" i="66"/>
  <c r="E60" i="66" s="1"/>
  <c r="M155" i="45"/>
  <c r="K6" i="66" s="1"/>
  <c r="K7" i="66" s="1"/>
  <c r="D33" i="46"/>
  <c r="D44" i="46" s="1"/>
  <c r="D61" i="46"/>
  <c r="D72" i="46" s="1"/>
  <c r="F11" i="66"/>
  <c r="F11" i="65"/>
  <c r="F6" i="66"/>
  <c r="F6" i="65"/>
  <c r="D17" i="66"/>
  <c r="D44" i="65"/>
  <c r="E6" i="66"/>
  <c r="F10" i="66"/>
  <c r="C12" i="65"/>
  <c r="C12" i="66"/>
  <c r="D72" i="65"/>
  <c r="C38" i="65"/>
  <c r="C40" i="65" s="1"/>
  <c r="C38" i="66"/>
  <c r="C40" i="66" s="1"/>
  <c r="D17" i="65"/>
  <c r="D44" i="66"/>
  <c r="E7" i="65"/>
  <c r="E59" i="65"/>
  <c r="E31" i="65"/>
  <c r="E33" i="65" s="1"/>
  <c r="F10" i="65"/>
  <c r="C12" i="46"/>
  <c r="C66" i="46" s="1"/>
  <c r="C68" i="46" s="1"/>
  <c r="C38" i="46"/>
  <c r="C40" i="46" s="1"/>
  <c r="B49" i="34"/>
  <c r="B77" i="35"/>
  <c r="B48" i="35"/>
  <c r="B78" i="34"/>
  <c r="B41" i="42"/>
  <c r="B55" i="42" s="1"/>
  <c r="E40" i="42"/>
  <c r="E74" i="42" s="1"/>
  <c r="E40" i="43"/>
  <c r="E74" i="43" s="1"/>
  <c r="E74" i="41"/>
  <c r="B75" i="41"/>
  <c r="B89" i="41" s="1"/>
  <c r="B41" i="43"/>
  <c r="B55" i="43" s="1"/>
  <c r="B41" i="41"/>
  <c r="B55" i="41" s="1"/>
  <c r="B89" i="42"/>
  <c r="B75" i="42"/>
  <c r="E50" i="42"/>
  <c r="E84" i="42" s="1"/>
  <c r="E50" i="43"/>
  <c r="E84" i="43" s="1"/>
  <c r="E84" i="41"/>
  <c r="I11" i="40"/>
  <c r="G15" i="42" s="1"/>
  <c r="F40" i="41"/>
  <c r="F39" i="41"/>
  <c r="F50" i="41"/>
  <c r="B75" i="43"/>
  <c r="B89" i="43" s="1"/>
  <c r="E39" i="42"/>
  <c r="E73" i="42" s="1"/>
  <c r="E39" i="43"/>
  <c r="E73" i="43" s="1"/>
  <c r="E73" i="41"/>
  <c r="E71" i="35"/>
  <c r="E83" i="1"/>
  <c r="F14" i="33"/>
  <c r="F14" i="35" s="1"/>
  <c r="F42" i="35" s="1"/>
  <c r="X141" i="45"/>
  <c r="W142" i="45"/>
  <c r="W156" i="25"/>
  <c r="X155" i="25"/>
  <c r="D68" i="37"/>
  <c r="D40" i="37"/>
  <c r="E38" i="30"/>
  <c r="X150" i="36"/>
  <c r="W151" i="36"/>
  <c r="AD71" i="36"/>
  <c r="E72" i="36"/>
  <c r="E73" i="36" s="1"/>
  <c r="F68" i="36" s="1"/>
  <c r="F70" i="36" s="1"/>
  <c r="F72" i="36" s="1"/>
  <c r="D68" i="39"/>
  <c r="D40" i="39"/>
  <c r="D40" i="38"/>
  <c r="D68" i="38"/>
  <c r="W153" i="32"/>
  <c r="X152" i="32"/>
  <c r="D67" i="38"/>
  <c r="D39" i="38"/>
  <c r="D67" i="39"/>
  <c r="D39" i="39"/>
  <c r="D39" i="37"/>
  <c r="D67" i="37"/>
  <c r="I18" i="36"/>
  <c r="F13" i="38"/>
  <c r="F12" i="38"/>
  <c r="F13" i="39"/>
  <c r="F12" i="39"/>
  <c r="F13" i="37"/>
  <c r="F12" i="37"/>
  <c r="F15" i="41"/>
  <c r="F81" i="41" s="1"/>
  <c r="F14" i="41"/>
  <c r="F46" i="41" s="1"/>
  <c r="G16" i="43"/>
  <c r="G82" i="43" s="1"/>
  <c r="E48" i="41"/>
  <c r="E82" i="41"/>
  <c r="E78" i="43"/>
  <c r="E44" i="43"/>
  <c r="E48" i="43"/>
  <c r="E82" i="43"/>
  <c r="E72" i="42"/>
  <c r="E38" i="42"/>
  <c r="C17" i="41"/>
  <c r="C83" i="41" s="1"/>
  <c r="C17" i="43"/>
  <c r="C83" i="43" s="1"/>
  <c r="C17" i="42"/>
  <c r="C83" i="42" s="1"/>
  <c r="G15" i="43"/>
  <c r="G14" i="43"/>
  <c r="G14" i="42"/>
  <c r="F12" i="43"/>
  <c r="F12" i="42"/>
  <c r="F7" i="42"/>
  <c r="F7" i="43"/>
  <c r="E72" i="41"/>
  <c r="E38" i="41"/>
  <c r="F15" i="43"/>
  <c r="F15" i="42"/>
  <c r="F14" i="42"/>
  <c r="F14" i="43"/>
  <c r="F16" i="43"/>
  <c r="F16" i="41"/>
  <c r="F16" i="42"/>
  <c r="B45" i="42"/>
  <c r="B51" i="42" s="1"/>
  <c r="B79" i="42"/>
  <c r="B85" i="42" s="1"/>
  <c r="B18" i="42"/>
  <c r="E38" i="43"/>
  <c r="E72" i="43"/>
  <c r="P15" i="41"/>
  <c r="P47" i="41" s="1"/>
  <c r="P15" i="43"/>
  <c r="P15" i="42"/>
  <c r="C13" i="43"/>
  <c r="C13" i="42"/>
  <c r="F8" i="43"/>
  <c r="F8" i="42"/>
  <c r="E82" i="42"/>
  <c r="E48" i="42"/>
  <c r="B45" i="43"/>
  <c r="B51" i="43" s="1"/>
  <c r="B79" i="43"/>
  <c r="B85" i="43" s="1"/>
  <c r="B18" i="43"/>
  <c r="E78" i="42"/>
  <c r="E44" i="42"/>
  <c r="K162" i="45"/>
  <c r="E59" i="46"/>
  <c r="E31" i="46"/>
  <c r="E7" i="46"/>
  <c r="E17" i="46" s="1"/>
  <c r="I11" i="45"/>
  <c r="F11" i="46"/>
  <c r="F6" i="46"/>
  <c r="F10" i="46"/>
  <c r="E51" i="45"/>
  <c r="F46" i="45" s="1"/>
  <c r="N148" i="45"/>
  <c r="N149" i="45"/>
  <c r="F58" i="45"/>
  <c r="F67" i="45"/>
  <c r="E41" i="45"/>
  <c r="F36" i="45" s="1"/>
  <c r="G162" i="45"/>
  <c r="J162" i="45"/>
  <c r="P187" i="40"/>
  <c r="R187" i="40"/>
  <c r="D6" i="41"/>
  <c r="D36" i="41" s="1"/>
  <c r="D6" i="43"/>
  <c r="D6" i="42"/>
  <c r="K176" i="40"/>
  <c r="L176" i="40" s="1"/>
  <c r="F6" i="43"/>
  <c r="F6" i="42"/>
  <c r="F6" i="41"/>
  <c r="F70" i="41" s="1"/>
  <c r="E34" i="35"/>
  <c r="R184" i="36"/>
  <c r="T184" i="36" s="1"/>
  <c r="D72" i="34"/>
  <c r="D14" i="34"/>
  <c r="D43" i="34" s="1"/>
  <c r="E42" i="33"/>
  <c r="E71" i="33"/>
  <c r="I189" i="32"/>
  <c r="M163" i="32"/>
  <c r="N163" i="32" s="1"/>
  <c r="N162" i="32"/>
  <c r="E63" i="35"/>
  <c r="E64" i="34"/>
  <c r="E7" i="34"/>
  <c r="F10" i="35"/>
  <c r="F10" i="34"/>
  <c r="F13" i="35"/>
  <c r="F13" i="34"/>
  <c r="F12" i="34"/>
  <c r="F41" i="34" s="1"/>
  <c r="E68" i="34"/>
  <c r="E39" i="34"/>
  <c r="F6" i="35"/>
  <c r="F12" i="35"/>
  <c r="F69" i="35" s="1"/>
  <c r="F6" i="34"/>
  <c r="C43" i="33"/>
  <c r="C43" i="35"/>
  <c r="C44" i="34"/>
  <c r="E67" i="35"/>
  <c r="E38" i="35"/>
  <c r="X188" i="32"/>
  <c r="Z188" i="32" s="1"/>
  <c r="K187" i="32"/>
  <c r="E7" i="43"/>
  <c r="E7" i="42"/>
  <c r="K189" i="40"/>
  <c r="I180" i="40"/>
  <c r="F8" i="41"/>
  <c r="I176" i="40"/>
  <c r="B79" i="41"/>
  <c r="B85" i="41" s="1"/>
  <c r="B45" i="41"/>
  <c r="B51" i="41" s="1"/>
  <c r="B18" i="41"/>
  <c r="F186" i="40"/>
  <c r="C13" i="41"/>
  <c r="G176" i="40"/>
  <c r="F42" i="40"/>
  <c r="E78" i="41"/>
  <c r="E44" i="41"/>
  <c r="I185" i="40"/>
  <c r="F12" i="41"/>
  <c r="E7" i="41"/>
  <c r="F80" i="41"/>
  <c r="J11" i="40"/>
  <c r="G15" i="41"/>
  <c r="G14" i="41"/>
  <c r="E57" i="40"/>
  <c r="F52" i="40" s="1"/>
  <c r="E37" i="40"/>
  <c r="X160" i="40"/>
  <c r="W161" i="40"/>
  <c r="E66" i="40"/>
  <c r="F61" i="40" s="1"/>
  <c r="N162" i="40"/>
  <c r="M163" i="40"/>
  <c r="S159" i="40"/>
  <c r="R160" i="40"/>
  <c r="G187" i="40"/>
  <c r="E14" i="41" s="1"/>
  <c r="J187" i="40"/>
  <c r="M187" i="40"/>
  <c r="Q183" i="36"/>
  <c r="M158" i="36"/>
  <c r="N157" i="36"/>
  <c r="E53" i="36"/>
  <c r="F61" i="36"/>
  <c r="E43" i="36"/>
  <c r="S155" i="36"/>
  <c r="R156" i="36"/>
  <c r="E64" i="35"/>
  <c r="E77" i="35" s="1"/>
  <c r="E35" i="35"/>
  <c r="E48" i="35" s="1"/>
  <c r="D64" i="35"/>
  <c r="D77" i="35" s="1"/>
  <c r="D35" i="35"/>
  <c r="D48" i="35" s="1"/>
  <c r="Q179" i="32"/>
  <c r="O179" i="32"/>
  <c r="M179" i="32"/>
  <c r="D36" i="34"/>
  <c r="D49" i="34" s="1"/>
  <c r="D65" i="34"/>
  <c r="D78" i="34" s="1"/>
  <c r="E67" i="33"/>
  <c r="E38" i="33"/>
  <c r="D35" i="33"/>
  <c r="D48" i="33" s="1"/>
  <c r="D64" i="33"/>
  <c r="D77" i="33" s="1"/>
  <c r="E63" i="33"/>
  <c r="E7" i="33"/>
  <c r="E20" i="33" s="1"/>
  <c r="E34" i="33"/>
  <c r="I18" i="32"/>
  <c r="G12" i="35" s="1"/>
  <c r="F6" i="33"/>
  <c r="F10" i="33"/>
  <c r="F12" i="33"/>
  <c r="F13" i="33"/>
  <c r="E51" i="30"/>
  <c r="E84" i="30" s="1"/>
  <c r="E51" i="31"/>
  <c r="E84" i="31" s="1"/>
  <c r="G77" i="30"/>
  <c r="G44" i="30"/>
  <c r="E78" i="1"/>
  <c r="E45" i="1"/>
  <c r="E78" i="30"/>
  <c r="E45" i="30"/>
  <c r="F18" i="1"/>
  <c r="F83" i="1" s="1"/>
  <c r="G77" i="1"/>
  <c r="G44" i="1"/>
  <c r="E83" i="30"/>
  <c r="E50" i="30"/>
  <c r="I18" i="25"/>
  <c r="F16" i="31"/>
  <c r="F18" i="31"/>
  <c r="F17" i="31"/>
  <c r="F15" i="31"/>
  <c r="F6" i="31"/>
  <c r="F17" i="30"/>
  <c r="F16" i="30"/>
  <c r="F14" i="31"/>
  <c r="F15" i="30"/>
  <c r="F6" i="30"/>
  <c r="F15" i="1"/>
  <c r="F16" i="1"/>
  <c r="F13" i="1"/>
  <c r="F13" i="31"/>
  <c r="F18" i="30"/>
  <c r="F14" i="30"/>
  <c r="F13" i="30"/>
  <c r="F17" i="1"/>
  <c r="F14" i="1"/>
  <c r="E38" i="31"/>
  <c r="E71" i="31"/>
  <c r="E78" i="31"/>
  <c r="E45" i="31"/>
  <c r="G44" i="31"/>
  <c r="G77" i="31"/>
  <c r="E83" i="31"/>
  <c r="E50" i="31"/>
  <c r="L192" i="32"/>
  <c r="F70" i="32"/>
  <c r="J181" i="32"/>
  <c r="I185" i="32"/>
  <c r="E54" i="32"/>
  <c r="F49" i="32" s="1"/>
  <c r="F51" i="32" s="1"/>
  <c r="F61" i="32"/>
  <c r="J180" i="32"/>
  <c r="E44" i="32"/>
  <c r="F39" i="32" s="1"/>
  <c r="F41" i="32" s="1"/>
  <c r="G185" i="25"/>
  <c r="E12" i="1" s="1"/>
  <c r="J185" i="25"/>
  <c r="H12" i="1" s="1"/>
  <c r="M185" i="25"/>
  <c r="P185" i="25"/>
  <c r="S185" i="25"/>
  <c r="V185" i="25"/>
  <c r="P184" i="25"/>
  <c r="Q184" i="25"/>
  <c r="U176" i="25"/>
  <c r="S176" i="25"/>
  <c r="O190" i="25"/>
  <c r="F6" i="1"/>
  <c r="F71" i="1" s="1"/>
  <c r="E71" i="1"/>
  <c r="AA185" i="25"/>
  <c r="AB185" i="25" s="1"/>
  <c r="Z185" i="25"/>
  <c r="Y185" i="25"/>
  <c r="O187" i="25"/>
  <c r="I194" i="25"/>
  <c r="I191" i="25"/>
  <c r="I177" i="25"/>
  <c r="I178" i="25"/>
  <c r="I193" i="25"/>
  <c r="I192" i="25"/>
  <c r="G54" i="25"/>
  <c r="H49" i="25" s="1"/>
  <c r="H51" i="25" s="1"/>
  <c r="H53" i="25" s="1"/>
  <c r="E51" i="1"/>
  <c r="N163" i="25"/>
  <c r="M164" i="25"/>
  <c r="S161" i="25"/>
  <c r="R162" i="25"/>
  <c r="J72" i="25"/>
  <c r="J73" i="25" s="1"/>
  <c r="K68" i="25" s="1"/>
  <c r="K70" i="25" s="1"/>
  <c r="G16" i="41" l="1"/>
  <c r="G48" i="41" s="1"/>
  <c r="G39" i="46"/>
  <c r="G32" i="46"/>
  <c r="F32" i="65"/>
  <c r="F60" i="46"/>
  <c r="F67" i="46"/>
  <c r="F39" i="65"/>
  <c r="E61" i="65"/>
  <c r="E72" i="65" s="1"/>
  <c r="K31" i="66"/>
  <c r="K59" i="66"/>
  <c r="K6" i="65"/>
  <c r="K32" i="46"/>
  <c r="K6" i="46"/>
  <c r="E33" i="46"/>
  <c r="E44" i="46" s="1"/>
  <c r="E61" i="46"/>
  <c r="E72" i="46" s="1"/>
  <c r="G11" i="66"/>
  <c r="G11" i="65"/>
  <c r="G6" i="66"/>
  <c r="G6" i="65"/>
  <c r="C45" i="66"/>
  <c r="C42" i="66"/>
  <c r="C66" i="66"/>
  <c r="C68" i="66" s="1"/>
  <c r="C13" i="66"/>
  <c r="F59" i="65"/>
  <c r="F31" i="65"/>
  <c r="F33" i="65" s="1"/>
  <c r="F7" i="65"/>
  <c r="E44" i="65"/>
  <c r="C45" i="65"/>
  <c r="C42" i="65"/>
  <c r="C66" i="65"/>
  <c r="C68" i="65" s="1"/>
  <c r="C13" i="65"/>
  <c r="F7" i="66"/>
  <c r="F31" i="66"/>
  <c r="F59" i="66"/>
  <c r="F36" i="65"/>
  <c r="F64" i="65"/>
  <c r="E10" i="66"/>
  <c r="E10" i="65"/>
  <c r="G10" i="66"/>
  <c r="F37" i="65"/>
  <c r="F65" i="65"/>
  <c r="E31" i="66"/>
  <c r="E33" i="66" s="1"/>
  <c r="E7" i="66"/>
  <c r="E59" i="66"/>
  <c r="E61" i="66" s="1"/>
  <c r="E17" i="65"/>
  <c r="F36" i="66"/>
  <c r="F64" i="66"/>
  <c r="G10" i="65"/>
  <c r="F65" i="66"/>
  <c r="F37" i="66"/>
  <c r="K17" i="66"/>
  <c r="C73" i="46"/>
  <c r="C13" i="46"/>
  <c r="F71" i="35"/>
  <c r="F74" i="41"/>
  <c r="F40" i="43"/>
  <c r="F74" i="43" s="1"/>
  <c r="F40" i="42"/>
  <c r="F74" i="42" s="1"/>
  <c r="G16" i="42"/>
  <c r="G40" i="41"/>
  <c r="G39" i="41"/>
  <c r="G50" i="41"/>
  <c r="D41" i="41"/>
  <c r="D55" i="41" s="1"/>
  <c r="F84" i="41"/>
  <c r="F50" i="42"/>
  <c r="F84" i="42" s="1"/>
  <c r="F50" i="43"/>
  <c r="F84" i="43" s="1"/>
  <c r="H16" i="41"/>
  <c r="H40" i="41"/>
  <c r="H39" i="41"/>
  <c r="H50" i="41"/>
  <c r="F73" i="41"/>
  <c r="F39" i="42"/>
  <c r="F73" i="42" s="1"/>
  <c r="F39" i="43"/>
  <c r="F73" i="43" s="1"/>
  <c r="G14" i="33"/>
  <c r="G14" i="35" s="1"/>
  <c r="G71" i="35" s="1"/>
  <c r="C14" i="38"/>
  <c r="C69" i="38" s="1"/>
  <c r="C14" i="39"/>
  <c r="C69" i="39" s="1"/>
  <c r="C14" i="37"/>
  <c r="C69" i="37" s="1"/>
  <c r="E10" i="46"/>
  <c r="E64" i="46" s="1"/>
  <c r="F67" i="39"/>
  <c r="F39" i="39"/>
  <c r="J18" i="36"/>
  <c r="K18" i="36" s="1"/>
  <c r="G13" i="38"/>
  <c r="G12" i="39"/>
  <c r="G12" i="37"/>
  <c r="G13" i="39"/>
  <c r="G13" i="37"/>
  <c r="G12" i="38"/>
  <c r="W157" i="32"/>
  <c r="X153" i="32"/>
  <c r="W143" i="45"/>
  <c r="X143" i="45" s="1"/>
  <c r="W144" i="45"/>
  <c r="X144" i="45" s="1"/>
  <c r="X142" i="45"/>
  <c r="W147" i="45"/>
  <c r="X147" i="45" s="1"/>
  <c r="C41" i="39"/>
  <c r="C41" i="37"/>
  <c r="C41" i="38"/>
  <c r="F40" i="39"/>
  <c r="F68" i="39"/>
  <c r="E36" i="34"/>
  <c r="E49" i="34" s="1"/>
  <c r="E20" i="34"/>
  <c r="F68" i="37"/>
  <c r="F40" i="37"/>
  <c r="F40" i="38"/>
  <c r="F68" i="38"/>
  <c r="F39" i="37"/>
  <c r="F67" i="37"/>
  <c r="F39" i="38"/>
  <c r="F67" i="38"/>
  <c r="X151" i="36"/>
  <c r="W155" i="36"/>
  <c r="W160" i="25"/>
  <c r="X156" i="25"/>
  <c r="F50" i="1"/>
  <c r="B87" i="41"/>
  <c r="B90" i="41"/>
  <c r="B87" i="42"/>
  <c r="B90" i="42"/>
  <c r="B87" i="43"/>
  <c r="B90" i="43"/>
  <c r="B53" i="42"/>
  <c r="B56" i="42"/>
  <c r="B20" i="42"/>
  <c r="B23" i="42"/>
  <c r="B53" i="43"/>
  <c r="B56" i="43"/>
  <c r="B20" i="43"/>
  <c r="B23" i="43"/>
  <c r="B53" i="41"/>
  <c r="B56" i="41"/>
  <c r="B20" i="41"/>
  <c r="B23" i="41"/>
  <c r="F47" i="41"/>
  <c r="G48" i="43"/>
  <c r="P81" i="41"/>
  <c r="D13" i="43"/>
  <c r="D13" i="42"/>
  <c r="H16" i="42"/>
  <c r="H48" i="42" s="1"/>
  <c r="C45" i="43"/>
  <c r="C51" i="43" s="1"/>
  <c r="C79" i="43"/>
  <c r="C85" i="43" s="1"/>
  <c r="C18" i="43"/>
  <c r="F47" i="43"/>
  <c r="F81" i="43"/>
  <c r="F44" i="43"/>
  <c r="F78" i="43"/>
  <c r="G7" i="43"/>
  <c r="G12" i="43"/>
  <c r="G12" i="42"/>
  <c r="G7" i="42"/>
  <c r="H16" i="43"/>
  <c r="H48" i="43" s="1"/>
  <c r="F38" i="42"/>
  <c r="F72" i="42"/>
  <c r="P81" i="42"/>
  <c r="P47" i="42"/>
  <c r="F46" i="43"/>
  <c r="F80" i="43"/>
  <c r="F71" i="43"/>
  <c r="F37" i="43"/>
  <c r="G80" i="42"/>
  <c r="G46" i="42"/>
  <c r="G8" i="43"/>
  <c r="G8" i="42"/>
  <c r="F48" i="43"/>
  <c r="F82" i="43"/>
  <c r="G47" i="43"/>
  <c r="G81" i="43"/>
  <c r="F38" i="41"/>
  <c r="F72" i="41"/>
  <c r="F38" i="43"/>
  <c r="F72" i="43"/>
  <c r="P81" i="43"/>
  <c r="P47" i="43"/>
  <c r="F48" i="42"/>
  <c r="F82" i="42"/>
  <c r="F80" i="42"/>
  <c r="F46" i="42"/>
  <c r="F71" i="42"/>
  <c r="F37" i="42"/>
  <c r="G46" i="43"/>
  <c r="G80" i="43"/>
  <c r="C79" i="42"/>
  <c r="C85" i="42" s="1"/>
  <c r="C45" i="42"/>
  <c r="C51" i="42" s="1"/>
  <c r="C18" i="42"/>
  <c r="F48" i="41"/>
  <c r="F82" i="41"/>
  <c r="F47" i="42"/>
  <c r="F81" i="42"/>
  <c r="F44" i="42"/>
  <c r="F78" i="42"/>
  <c r="G47" i="42"/>
  <c r="G81" i="42"/>
  <c r="F7" i="46"/>
  <c r="F17" i="46" s="1"/>
  <c r="F59" i="46"/>
  <c r="F31" i="46"/>
  <c r="F36" i="46"/>
  <c r="F64" i="46"/>
  <c r="F37" i="46"/>
  <c r="F65" i="46"/>
  <c r="L162" i="45"/>
  <c r="J11" i="45"/>
  <c r="G11" i="46"/>
  <c r="G6" i="46"/>
  <c r="G10" i="46"/>
  <c r="F48" i="45"/>
  <c r="F69" i="45"/>
  <c r="S147" i="45"/>
  <c r="R148" i="45"/>
  <c r="F38" i="45"/>
  <c r="F60" i="45"/>
  <c r="G163" i="45"/>
  <c r="M163" i="45"/>
  <c r="J163" i="45"/>
  <c r="D9" i="41"/>
  <c r="D22" i="41" s="1"/>
  <c r="D70" i="41"/>
  <c r="P14" i="41"/>
  <c r="P14" i="43"/>
  <c r="P14" i="42"/>
  <c r="F36" i="42"/>
  <c r="F9" i="42"/>
  <c r="F22" i="42" s="1"/>
  <c r="F70" i="42"/>
  <c r="F75" i="42" s="1"/>
  <c r="D70" i="42"/>
  <c r="D9" i="42"/>
  <c r="D22" i="42" s="1"/>
  <c r="D36" i="42"/>
  <c r="M176" i="40"/>
  <c r="F36" i="43"/>
  <c r="F70" i="43"/>
  <c r="F9" i="43"/>
  <c r="F22" i="43" s="1"/>
  <c r="D70" i="43"/>
  <c r="D36" i="43"/>
  <c r="D9" i="43"/>
  <c r="D22" i="43" s="1"/>
  <c r="J176" i="40"/>
  <c r="H6" i="42" s="1"/>
  <c r="G6" i="41"/>
  <c r="G36" i="41" s="1"/>
  <c r="G6" i="43"/>
  <c r="G6" i="42"/>
  <c r="N176" i="40"/>
  <c r="U184" i="36"/>
  <c r="E14" i="34"/>
  <c r="E43" i="34" s="1"/>
  <c r="E72" i="34"/>
  <c r="F71" i="33"/>
  <c r="F42" i="33"/>
  <c r="J189" i="32"/>
  <c r="F70" i="34"/>
  <c r="E65" i="34"/>
  <c r="E78" i="34" s="1"/>
  <c r="F40" i="35"/>
  <c r="G6" i="35"/>
  <c r="G34" i="35" s="1"/>
  <c r="F35" i="34"/>
  <c r="F7" i="34"/>
  <c r="F20" i="34" s="1"/>
  <c r="F64" i="34"/>
  <c r="F7" i="35"/>
  <c r="F20" i="35" s="1"/>
  <c r="F34" i="35"/>
  <c r="F63" i="35"/>
  <c r="G13" i="35"/>
  <c r="G10" i="35"/>
  <c r="G13" i="34"/>
  <c r="G10" i="34"/>
  <c r="F42" i="34"/>
  <c r="F71" i="34"/>
  <c r="F67" i="35"/>
  <c r="F38" i="35"/>
  <c r="F41" i="35"/>
  <c r="F70" i="35"/>
  <c r="G6" i="34"/>
  <c r="G64" i="34" s="1"/>
  <c r="R183" i="36"/>
  <c r="T183" i="36" s="1"/>
  <c r="U183" i="36" s="1"/>
  <c r="G12" i="34"/>
  <c r="G41" i="34" s="1"/>
  <c r="F39" i="34"/>
  <c r="F68" i="34"/>
  <c r="AA188" i="32"/>
  <c r="L187" i="32"/>
  <c r="G69" i="35"/>
  <c r="G40" i="35"/>
  <c r="E6" i="41"/>
  <c r="E70" i="41" s="1"/>
  <c r="E6" i="43"/>
  <c r="E6" i="42"/>
  <c r="E37" i="42"/>
  <c r="E71" i="42"/>
  <c r="E71" i="43"/>
  <c r="E37" i="43"/>
  <c r="H48" i="41"/>
  <c r="H82" i="41"/>
  <c r="L189" i="40"/>
  <c r="N163" i="40"/>
  <c r="M164" i="40"/>
  <c r="O176" i="40"/>
  <c r="P176" i="40" s="1"/>
  <c r="J180" i="40"/>
  <c r="G8" i="41"/>
  <c r="F36" i="41"/>
  <c r="F45" i="40"/>
  <c r="F55" i="40" s="1"/>
  <c r="F64" i="40" s="1"/>
  <c r="F44" i="40"/>
  <c r="G186" i="40"/>
  <c r="D13" i="41"/>
  <c r="E80" i="41"/>
  <c r="E46" i="41"/>
  <c r="C79" i="41"/>
  <c r="C85" i="41" s="1"/>
  <c r="C45" i="41"/>
  <c r="C51" i="41" s="1"/>
  <c r="C18" i="41"/>
  <c r="F78" i="41"/>
  <c r="F44" i="41"/>
  <c r="J185" i="40"/>
  <c r="G12" i="41"/>
  <c r="F32" i="40"/>
  <c r="F34" i="40" s="1"/>
  <c r="J179" i="40"/>
  <c r="F7" i="41"/>
  <c r="F9" i="41" s="1"/>
  <c r="F22" i="41" s="1"/>
  <c r="E71" i="41"/>
  <c r="E37" i="41"/>
  <c r="G46" i="41"/>
  <c r="G80" i="41"/>
  <c r="G47" i="41"/>
  <c r="G81" i="41"/>
  <c r="K11" i="40"/>
  <c r="H14" i="41"/>
  <c r="S160" i="40"/>
  <c r="R161" i="40"/>
  <c r="F54" i="40"/>
  <c r="F63" i="40"/>
  <c r="W162" i="40"/>
  <c r="X161" i="40"/>
  <c r="G188" i="40"/>
  <c r="E15" i="41" s="1"/>
  <c r="J188" i="40"/>
  <c r="H15" i="41" s="1"/>
  <c r="M188" i="40"/>
  <c r="P188" i="40"/>
  <c r="E44" i="36"/>
  <c r="F39" i="36" s="1"/>
  <c r="E54" i="36"/>
  <c r="F49" i="36" s="1"/>
  <c r="F63" i="36"/>
  <c r="G183" i="36"/>
  <c r="J183" i="36"/>
  <c r="M183" i="36"/>
  <c r="P183" i="36"/>
  <c r="W184" i="36"/>
  <c r="R157" i="36"/>
  <c r="S156" i="36"/>
  <c r="F73" i="36"/>
  <c r="G68" i="36" s="1"/>
  <c r="N158" i="36"/>
  <c r="V184" i="36" s="1"/>
  <c r="M159" i="36"/>
  <c r="N159" i="36" s="1"/>
  <c r="P179" i="32"/>
  <c r="R179" i="32"/>
  <c r="T179" i="32"/>
  <c r="F41" i="33"/>
  <c r="F70" i="33"/>
  <c r="J18" i="32"/>
  <c r="G10" i="33"/>
  <c r="G13" i="33"/>
  <c r="G6" i="33"/>
  <c r="G12" i="33"/>
  <c r="F69" i="33"/>
  <c r="F40" i="33"/>
  <c r="F67" i="33"/>
  <c r="F38" i="33"/>
  <c r="E35" i="33"/>
  <c r="E48" i="33" s="1"/>
  <c r="E64" i="33"/>
  <c r="E77" i="33" s="1"/>
  <c r="F63" i="33"/>
  <c r="F7" i="33"/>
  <c r="F20" i="33" s="1"/>
  <c r="F34" i="33"/>
  <c r="F79" i="1"/>
  <c r="F46" i="1"/>
  <c r="F83" i="30"/>
  <c r="F50" i="30"/>
  <c r="F80" i="1"/>
  <c r="F47" i="1"/>
  <c r="F81" i="30"/>
  <c r="F48" i="30"/>
  <c r="F82" i="31"/>
  <c r="F49" i="31"/>
  <c r="F51" i="31"/>
  <c r="F84" i="31" s="1"/>
  <c r="F51" i="30"/>
  <c r="F84" i="30" s="1"/>
  <c r="F82" i="1"/>
  <c r="F49" i="1"/>
  <c r="F45" i="31"/>
  <c r="F78" i="31"/>
  <c r="F71" i="30"/>
  <c r="F38" i="30"/>
  <c r="F82" i="30"/>
  <c r="F49" i="30"/>
  <c r="F50" i="31"/>
  <c r="F83" i="31"/>
  <c r="H12" i="31"/>
  <c r="H44" i="31" s="1"/>
  <c r="F78" i="30"/>
  <c r="F45" i="30"/>
  <c r="F78" i="1"/>
  <c r="F45" i="1"/>
  <c r="F47" i="30"/>
  <c r="F80" i="30"/>
  <c r="F38" i="31"/>
  <c r="F71" i="31"/>
  <c r="F81" i="31"/>
  <c r="F48" i="31"/>
  <c r="G18" i="1"/>
  <c r="G83" i="1" s="1"/>
  <c r="S157" i="32"/>
  <c r="N158" i="32"/>
  <c r="F46" i="30"/>
  <c r="F79" i="30"/>
  <c r="F81" i="1"/>
  <c r="F48" i="1"/>
  <c r="F46" i="31"/>
  <c r="F79" i="31"/>
  <c r="F80" i="31"/>
  <c r="F47" i="31"/>
  <c r="J18" i="25"/>
  <c r="G18" i="31"/>
  <c r="G15" i="31"/>
  <c r="G16" i="31"/>
  <c r="G6" i="31"/>
  <c r="G14" i="31"/>
  <c r="G13" i="31"/>
  <c r="G16" i="30"/>
  <c r="G13" i="1"/>
  <c r="G17" i="31"/>
  <c r="G18" i="30"/>
  <c r="G15" i="30"/>
  <c r="G6" i="30"/>
  <c r="G14" i="30"/>
  <c r="G13" i="30"/>
  <c r="G15" i="1"/>
  <c r="G16" i="1"/>
  <c r="G17" i="30"/>
  <c r="G17" i="1"/>
  <c r="G14" i="1"/>
  <c r="I12" i="30"/>
  <c r="I12" i="31"/>
  <c r="I12" i="1"/>
  <c r="J185" i="32"/>
  <c r="K181" i="32"/>
  <c r="F63" i="32"/>
  <c r="F72" i="32"/>
  <c r="M192" i="32"/>
  <c r="K180" i="32"/>
  <c r="E12" i="31"/>
  <c r="E44" i="31" s="1"/>
  <c r="H44" i="1"/>
  <c r="H77" i="1"/>
  <c r="E44" i="1"/>
  <c r="E77" i="1"/>
  <c r="G6" i="1"/>
  <c r="G38" i="1" s="1"/>
  <c r="R184" i="25"/>
  <c r="V176" i="25"/>
  <c r="X176" i="25"/>
  <c r="Q190" i="25"/>
  <c r="F38" i="1"/>
  <c r="Q187" i="25"/>
  <c r="J191" i="25"/>
  <c r="J193" i="25"/>
  <c r="J192" i="25"/>
  <c r="J178" i="25"/>
  <c r="J177" i="25"/>
  <c r="J194" i="25"/>
  <c r="E84" i="1"/>
  <c r="H54" i="25"/>
  <c r="I49" i="25" s="1"/>
  <c r="I51" i="25" s="1"/>
  <c r="I53" i="25" s="1"/>
  <c r="F51" i="1"/>
  <c r="F84" i="1" s="1"/>
  <c r="S162" i="25"/>
  <c r="R163" i="25"/>
  <c r="N164" i="25"/>
  <c r="M165" i="25"/>
  <c r="K72" i="25"/>
  <c r="K73" i="25" s="1"/>
  <c r="L68" i="25" s="1"/>
  <c r="L70" i="25" s="1"/>
  <c r="F63" i="25"/>
  <c r="G82" i="41" l="1"/>
  <c r="F32" i="66"/>
  <c r="F60" i="66" s="1"/>
  <c r="F60" i="65"/>
  <c r="F61" i="65" s="1"/>
  <c r="F72" i="65" s="1"/>
  <c r="F61" i="66"/>
  <c r="F72" i="66" s="1"/>
  <c r="F67" i="65"/>
  <c r="F39" i="66"/>
  <c r="F67" i="66" s="1"/>
  <c r="F33" i="66"/>
  <c r="G60" i="46"/>
  <c r="G32" i="65"/>
  <c r="H39" i="46"/>
  <c r="H6" i="65"/>
  <c r="H32" i="46"/>
  <c r="H6" i="66"/>
  <c r="H10" i="66"/>
  <c r="G39" i="65"/>
  <c r="G67" i="46"/>
  <c r="K32" i="65"/>
  <c r="K60" i="46"/>
  <c r="K59" i="65"/>
  <c r="K31" i="65"/>
  <c r="K7" i="65"/>
  <c r="K17" i="65" s="1"/>
  <c r="K31" i="46"/>
  <c r="K33" i="46" s="1"/>
  <c r="K44" i="46" s="1"/>
  <c r="K59" i="46"/>
  <c r="K7" i="46"/>
  <c r="K17" i="46" s="1"/>
  <c r="F61" i="46"/>
  <c r="F72" i="46" s="1"/>
  <c r="F33" i="46"/>
  <c r="F44" i="46" s="1"/>
  <c r="K11" i="66"/>
  <c r="E17" i="66"/>
  <c r="G36" i="66"/>
  <c r="G64" i="66"/>
  <c r="F17" i="66"/>
  <c r="G7" i="65"/>
  <c r="G59" i="65"/>
  <c r="G31" i="65"/>
  <c r="G33" i="65" s="1"/>
  <c r="G36" i="65"/>
  <c r="G64" i="65"/>
  <c r="E44" i="66"/>
  <c r="C18" i="65"/>
  <c r="C15" i="65"/>
  <c r="F17" i="65"/>
  <c r="C73" i="66"/>
  <c r="C70" i="66"/>
  <c r="G31" i="66"/>
  <c r="G7" i="66"/>
  <c r="G59" i="66"/>
  <c r="H64" i="66"/>
  <c r="H36" i="66"/>
  <c r="C73" i="65"/>
  <c r="C70" i="65"/>
  <c r="F44" i="65"/>
  <c r="G37" i="65"/>
  <c r="G65" i="65"/>
  <c r="E36" i="66"/>
  <c r="E64" i="66"/>
  <c r="C18" i="66"/>
  <c r="C15" i="66"/>
  <c r="H11" i="66"/>
  <c r="E72" i="66"/>
  <c r="E36" i="65"/>
  <c r="E64" i="65"/>
  <c r="F44" i="66"/>
  <c r="H10" i="65"/>
  <c r="G37" i="66"/>
  <c r="G65" i="66"/>
  <c r="C70" i="46"/>
  <c r="C15" i="46"/>
  <c r="C18" i="46"/>
  <c r="C42" i="46"/>
  <c r="C45" i="46"/>
  <c r="D41" i="42"/>
  <c r="D55" i="42" s="1"/>
  <c r="H40" i="42"/>
  <c r="H74" i="42" s="1"/>
  <c r="H40" i="43"/>
  <c r="H74" i="43" s="1"/>
  <c r="H74" i="41"/>
  <c r="G82" i="42"/>
  <c r="G48" i="42"/>
  <c r="H39" i="43"/>
  <c r="H73" i="43" s="1"/>
  <c r="H73" i="41"/>
  <c r="H39" i="42"/>
  <c r="H73" i="42" s="1"/>
  <c r="F75" i="43"/>
  <c r="F41" i="42"/>
  <c r="F55" i="42" s="1"/>
  <c r="D75" i="41"/>
  <c r="D89" i="41" s="1"/>
  <c r="G84" i="41"/>
  <c r="G50" i="42"/>
  <c r="G84" i="42" s="1"/>
  <c r="G50" i="43"/>
  <c r="G84" i="43" s="1"/>
  <c r="E75" i="41"/>
  <c r="E89" i="41" s="1"/>
  <c r="D75" i="43"/>
  <c r="D89" i="43" s="1"/>
  <c r="G40" i="42"/>
  <c r="G74" i="42" s="1"/>
  <c r="G40" i="43"/>
  <c r="G74" i="43" s="1"/>
  <c r="G74" i="41"/>
  <c r="I6" i="43"/>
  <c r="I40" i="41"/>
  <c r="I39" i="41"/>
  <c r="I50" i="41"/>
  <c r="D41" i="43"/>
  <c r="D55" i="43" s="1"/>
  <c r="F41" i="43"/>
  <c r="D75" i="42"/>
  <c r="D89" i="42" s="1"/>
  <c r="H50" i="42"/>
  <c r="H84" i="42" s="1"/>
  <c r="H50" i="43"/>
  <c r="H84" i="43" s="1"/>
  <c r="H84" i="41"/>
  <c r="G39" i="42"/>
  <c r="G73" i="42" s="1"/>
  <c r="G39" i="43"/>
  <c r="G73" i="43" s="1"/>
  <c r="G73" i="41"/>
  <c r="G42" i="35"/>
  <c r="W148" i="45"/>
  <c r="W149" i="45" s="1"/>
  <c r="X149" i="45" s="1"/>
  <c r="G7" i="35"/>
  <c r="G20" i="35" s="1"/>
  <c r="H14" i="33"/>
  <c r="H14" i="35" s="1"/>
  <c r="H42" i="35" s="1"/>
  <c r="L18" i="36"/>
  <c r="I13" i="38"/>
  <c r="I13" i="39"/>
  <c r="I13" i="37"/>
  <c r="I12" i="39"/>
  <c r="I12" i="37"/>
  <c r="I12" i="38"/>
  <c r="X157" i="32"/>
  <c r="W158" i="32"/>
  <c r="G67" i="37"/>
  <c r="G39" i="37"/>
  <c r="E36" i="46"/>
  <c r="W161" i="25"/>
  <c r="X160" i="25"/>
  <c r="G67" i="38"/>
  <c r="G39" i="38"/>
  <c r="G39" i="39"/>
  <c r="G67" i="39"/>
  <c r="E11" i="46"/>
  <c r="E37" i="46" s="1"/>
  <c r="G68" i="39"/>
  <c r="G40" i="39"/>
  <c r="K11" i="46"/>
  <c r="K65" i="46" s="1"/>
  <c r="W156" i="36"/>
  <c r="X155" i="36"/>
  <c r="G68" i="37"/>
  <c r="G40" i="37"/>
  <c r="G68" i="38"/>
  <c r="G40" i="38"/>
  <c r="G71" i="1"/>
  <c r="C87" i="42"/>
  <c r="C90" i="42"/>
  <c r="C87" i="43"/>
  <c r="C90" i="43"/>
  <c r="C87" i="41"/>
  <c r="C90" i="41"/>
  <c r="C53" i="42"/>
  <c r="C56" i="42"/>
  <c r="C20" i="42"/>
  <c r="C23" i="42"/>
  <c r="C53" i="43"/>
  <c r="C56" i="43"/>
  <c r="C20" i="43"/>
  <c r="C23" i="43"/>
  <c r="C53" i="41"/>
  <c r="C56" i="41"/>
  <c r="C20" i="41"/>
  <c r="C23" i="41"/>
  <c r="F89" i="43"/>
  <c r="H82" i="43"/>
  <c r="I16" i="42"/>
  <c r="I82" i="42" s="1"/>
  <c r="H6" i="41"/>
  <c r="H70" i="41" s="1"/>
  <c r="H82" i="42"/>
  <c r="I6" i="41"/>
  <c r="F55" i="43"/>
  <c r="F89" i="42"/>
  <c r="G44" i="42"/>
  <c r="G78" i="42"/>
  <c r="D79" i="42"/>
  <c r="D45" i="42"/>
  <c r="H12" i="43"/>
  <c r="H12" i="42"/>
  <c r="I15" i="43"/>
  <c r="I15" i="42"/>
  <c r="I14" i="42"/>
  <c r="I14" i="43"/>
  <c r="E13" i="43"/>
  <c r="E13" i="42"/>
  <c r="G72" i="41"/>
  <c r="G38" i="41"/>
  <c r="I16" i="43"/>
  <c r="I82" i="43" s="1"/>
  <c r="I6" i="42"/>
  <c r="I70" i="42" s="1"/>
  <c r="G78" i="43"/>
  <c r="G44" i="43"/>
  <c r="D79" i="43"/>
  <c r="D45" i="43"/>
  <c r="G72" i="43"/>
  <c r="G38" i="43"/>
  <c r="G71" i="42"/>
  <c r="G37" i="42"/>
  <c r="H8" i="43"/>
  <c r="H8" i="42"/>
  <c r="I16" i="41"/>
  <c r="I82" i="41" s="1"/>
  <c r="G72" i="42"/>
  <c r="G38" i="42"/>
  <c r="G71" i="43"/>
  <c r="G37" i="43"/>
  <c r="K11" i="45"/>
  <c r="H11" i="46"/>
  <c r="H6" i="46"/>
  <c r="H10" i="46"/>
  <c r="G64" i="46"/>
  <c r="G36" i="46"/>
  <c r="M162" i="45"/>
  <c r="G7" i="46"/>
  <c r="G17" i="46" s="1"/>
  <c r="G31" i="46"/>
  <c r="G59" i="46"/>
  <c r="G37" i="46"/>
  <c r="G65" i="46"/>
  <c r="F50" i="45"/>
  <c r="S148" i="45"/>
  <c r="K11" i="65" s="1"/>
  <c r="R149" i="45"/>
  <c r="S149" i="45" s="1"/>
  <c r="F70" i="45"/>
  <c r="G65" i="45" s="1"/>
  <c r="F61" i="45"/>
  <c r="G56" i="45" s="1"/>
  <c r="F40" i="45"/>
  <c r="H6" i="43"/>
  <c r="H70" i="43" s="1"/>
  <c r="P80" i="42"/>
  <c r="P46" i="42"/>
  <c r="P80" i="43"/>
  <c r="P46" i="43"/>
  <c r="P80" i="41"/>
  <c r="P46" i="41"/>
  <c r="G70" i="41"/>
  <c r="G9" i="42"/>
  <c r="G22" i="42" s="1"/>
  <c r="G70" i="42"/>
  <c r="G36" i="42"/>
  <c r="Q176" i="40"/>
  <c r="G36" i="43"/>
  <c r="G9" i="43"/>
  <c r="G22" i="43" s="1"/>
  <c r="G70" i="43"/>
  <c r="R176" i="40"/>
  <c r="I70" i="43"/>
  <c r="I36" i="43"/>
  <c r="X184" i="36"/>
  <c r="Y184" i="36" s="1"/>
  <c r="F14" i="34"/>
  <c r="F43" i="34" s="1"/>
  <c r="F72" i="34"/>
  <c r="K189" i="32"/>
  <c r="G71" i="33"/>
  <c r="G42" i="33"/>
  <c r="G63" i="35"/>
  <c r="G7" i="34"/>
  <c r="G70" i="34"/>
  <c r="S183" i="36"/>
  <c r="G35" i="34"/>
  <c r="H10" i="34"/>
  <c r="H10" i="35"/>
  <c r="H6" i="34"/>
  <c r="H7" i="34" s="1"/>
  <c r="H20" i="34" s="1"/>
  <c r="E12" i="37"/>
  <c r="E39" i="37" s="1"/>
  <c r="G70" i="35"/>
  <c r="G41" i="35"/>
  <c r="G71" i="34"/>
  <c r="G42" i="34"/>
  <c r="H6" i="35"/>
  <c r="H7" i="35" s="1"/>
  <c r="H20" i="35" s="1"/>
  <c r="F64" i="35"/>
  <c r="F77" i="35" s="1"/>
  <c r="F35" i="35"/>
  <c r="F48" i="35" s="1"/>
  <c r="H12" i="37"/>
  <c r="H39" i="37" s="1"/>
  <c r="G68" i="34"/>
  <c r="G39" i="34"/>
  <c r="G67" i="35"/>
  <c r="G38" i="35"/>
  <c r="F36" i="34"/>
  <c r="F49" i="34" s="1"/>
  <c r="F65" i="34"/>
  <c r="F78" i="34" s="1"/>
  <c r="N187" i="32"/>
  <c r="E36" i="41"/>
  <c r="H36" i="42"/>
  <c r="H70" i="42"/>
  <c r="H7" i="43"/>
  <c r="H7" i="42"/>
  <c r="E9" i="41"/>
  <c r="E22" i="41" s="1"/>
  <c r="E9" i="42"/>
  <c r="E22" i="42" s="1"/>
  <c r="E70" i="42"/>
  <c r="E36" i="42"/>
  <c r="E36" i="43"/>
  <c r="E70" i="43"/>
  <c r="E9" i="43"/>
  <c r="E22" i="43" s="1"/>
  <c r="H14" i="42"/>
  <c r="E14" i="42"/>
  <c r="H77" i="31"/>
  <c r="M189" i="40"/>
  <c r="M165" i="40"/>
  <c r="N164" i="40"/>
  <c r="K180" i="40"/>
  <c r="H8" i="41"/>
  <c r="F46" i="40"/>
  <c r="D79" i="41"/>
  <c r="D45" i="41"/>
  <c r="H186" i="40"/>
  <c r="E13" i="41"/>
  <c r="E47" i="41"/>
  <c r="E81" i="41"/>
  <c r="G78" i="41"/>
  <c r="G44" i="41"/>
  <c r="K185" i="40"/>
  <c r="H12" i="41"/>
  <c r="F71" i="41"/>
  <c r="F37" i="41"/>
  <c r="F41" i="41" s="1"/>
  <c r="G7" i="41"/>
  <c r="G9" i="41" s="1"/>
  <c r="G22" i="41" s="1"/>
  <c r="L11" i="40"/>
  <c r="I14" i="41"/>
  <c r="I15" i="41"/>
  <c r="H46" i="41"/>
  <c r="H80" i="41"/>
  <c r="H47" i="41"/>
  <c r="H81" i="41"/>
  <c r="X162" i="40"/>
  <c r="W163" i="40"/>
  <c r="F65" i="40"/>
  <c r="F56" i="40"/>
  <c r="F36" i="40"/>
  <c r="S161" i="40"/>
  <c r="R162" i="40"/>
  <c r="W183" i="36"/>
  <c r="V183" i="36"/>
  <c r="R158" i="36"/>
  <c r="S157" i="36"/>
  <c r="E12" i="39" s="1"/>
  <c r="F64" i="36"/>
  <c r="G59" i="36" s="1"/>
  <c r="F41" i="36"/>
  <c r="G184" i="36"/>
  <c r="J184" i="36"/>
  <c r="M184" i="36"/>
  <c r="P184" i="36"/>
  <c r="S184" i="36"/>
  <c r="F51" i="36"/>
  <c r="G70" i="36"/>
  <c r="S179" i="32"/>
  <c r="U179" i="32"/>
  <c r="W179" i="32"/>
  <c r="G38" i="33"/>
  <c r="G67" i="33"/>
  <c r="F35" i="33"/>
  <c r="F48" i="33" s="1"/>
  <c r="F64" i="33"/>
  <c r="F77" i="33" s="1"/>
  <c r="K18" i="32"/>
  <c r="H6" i="33"/>
  <c r="H10" i="33"/>
  <c r="G34" i="33"/>
  <c r="G63" i="33"/>
  <c r="G7" i="33"/>
  <c r="G20" i="33" s="1"/>
  <c r="G40" i="33"/>
  <c r="G69" i="33"/>
  <c r="G70" i="33"/>
  <c r="G41" i="33"/>
  <c r="G50" i="1"/>
  <c r="E77" i="31"/>
  <c r="I44" i="1"/>
  <c r="I77" i="1"/>
  <c r="G49" i="1"/>
  <c r="G82" i="1"/>
  <c r="G45" i="30"/>
  <c r="G78" i="30"/>
  <c r="G83" i="30"/>
  <c r="G50" i="30"/>
  <c r="G45" i="31"/>
  <c r="G78" i="31"/>
  <c r="G80" i="31"/>
  <c r="G47" i="31"/>
  <c r="I77" i="31"/>
  <c r="I44" i="31"/>
  <c r="G82" i="30"/>
  <c r="G49" i="30"/>
  <c r="G79" i="30"/>
  <c r="G46" i="30"/>
  <c r="G49" i="31"/>
  <c r="G82" i="31"/>
  <c r="G79" i="31"/>
  <c r="G46" i="31"/>
  <c r="G83" i="31"/>
  <c r="G50" i="31"/>
  <c r="G51" i="31"/>
  <c r="G84" i="31" s="1"/>
  <c r="G51" i="30"/>
  <c r="G84" i="30" s="1"/>
  <c r="H18" i="1"/>
  <c r="H50" i="1" s="1"/>
  <c r="I77" i="30"/>
  <c r="I44" i="30"/>
  <c r="G48" i="1"/>
  <c r="G81" i="1"/>
  <c r="G71" i="30"/>
  <c r="G38" i="30"/>
  <c r="G45" i="1"/>
  <c r="G78" i="1"/>
  <c r="G71" i="31"/>
  <c r="G38" i="31"/>
  <c r="K18" i="25"/>
  <c r="H13" i="31"/>
  <c r="H18" i="31"/>
  <c r="H18" i="30"/>
  <c r="H13" i="30"/>
  <c r="H13" i="1"/>
  <c r="H6" i="30"/>
  <c r="J12" i="1"/>
  <c r="J12" i="31"/>
  <c r="H6" i="31"/>
  <c r="J12" i="30"/>
  <c r="G46" i="1"/>
  <c r="G79" i="1"/>
  <c r="G80" i="1"/>
  <c r="G47" i="1"/>
  <c r="G80" i="30"/>
  <c r="G47" i="30"/>
  <c r="G81" i="30"/>
  <c r="G48" i="30"/>
  <c r="G81" i="31"/>
  <c r="G48" i="31"/>
  <c r="N159" i="32"/>
  <c r="L181" i="32"/>
  <c r="N192" i="32"/>
  <c r="F73" i="32"/>
  <c r="G68" i="32" s="1"/>
  <c r="F53" i="32"/>
  <c r="F43" i="32"/>
  <c r="K185" i="32"/>
  <c r="L180" i="32"/>
  <c r="F64" i="32"/>
  <c r="G59" i="32" s="1"/>
  <c r="G187" i="25"/>
  <c r="E14" i="1" s="1"/>
  <c r="J187" i="25"/>
  <c r="H14" i="1" s="1"/>
  <c r="M187" i="25"/>
  <c r="P187" i="25"/>
  <c r="T184" i="25"/>
  <c r="S184" i="25"/>
  <c r="Y176" i="25"/>
  <c r="AA176" i="25"/>
  <c r="AB176" i="25" s="1"/>
  <c r="R190" i="25"/>
  <c r="R187" i="25"/>
  <c r="H6" i="1"/>
  <c r="K194" i="25"/>
  <c r="K193" i="25"/>
  <c r="K178" i="25"/>
  <c r="K177" i="25"/>
  <c r="K192" i="25"/>
  <c r="K191" i="25"/>
  <c r="I54" i="25"/>
  <c r="J49" i="25" s="1"/>
  <c r="J51" i="25" s="1"/>
  <c r="G51" i="1"/>
  <c r="G84" i="1" s="1"/>
  <c r="M166" i="25"/>
  <c r="N165" i="25"/>
  <c r="R164" i="25"/>
  <c r="S163" i="25"/>
  <c r="L72" i="25"/>
  <c r="L73" i="25" s="1"/>
  <c r="M68" i="25" s="1"/>
  <c r="M70" i="25" s="1"/>
  <c r="F64" i="25"/>
  <c r="G59" i="25" s="1"/>
  <c r="G61" i="25" s="1"/>
  <c r="G67" i="65" l="1"/>
  <c r="G39" i="66"/>
  <c r="G67" i="66" s="1"/>
  <c r="H67" i="46"/>
  <c r="H39" i="65"/>
  <c r="G32" i="66"/>
  <c r="G60" i="66" s="1"/>
  <c r="G60" i="65"/>
  <c r="G41" i="43"/>
  <c r="I39" i="46"/>
  <c r="I32" i="46"/>
  <c r="K61" i="46"/>
  <c r="K72" i="46" s="1"/>
  <c r="D85" i="41"/>
  <c r="G61" i="66"/>
  <c r="G61" i="65"/>
  <c r="H32" i="65"/>
  <c r="H60" i="46"/>
  <c r="K33" i="65"/>
  <c r="K44" i="65" s="1"/>
  <c r="K60" i="65"/>
  <c r="K61" i="65" s="1"/>
  <c r="K72" i="65" s="1"/>
  <c r="K32" i="66"/>
  <c r="G61" i="46"/>
  <c r="G72" i="46" s="1"/>
  <c r="G33" i="46"/>
  <c r="G44" i="46" s="1"/>
  <c r="H11" i="65"/>
  <c r="H37" i="65" s="1"/>
  <c r="E11" i="65"/>
  <c r="E65" i="65" s="1"/>
  <c r="K37" i="65"/>
  <c r="K65" i="65"/>
  <c r="H64" i="65"/>
  <c r="H36" i="65"/>
  <c r="G17" i="65"/>
  <c r="D12" i="66"/>
  <c r="D12" i="65"/>
  <c r="H59" i="66"/>
  <c r="H7" i="66"/>
  <c r="H31" i="66"/>
  <c r="G17" i="66"/>
  <c r="G44" i="65"/>
  <c r="H65" i="65"/>
  <c r="K10" i="65"/>
  <c r="K10" i="66"/>
  <c r="H37" i="66"/>
  <c r="H65" i="66"/>
  <c r="G72" i="66"/>
  <c r="D38" i="66"/>
  <c r="D40" i="66" s="1"/>
  <c r="D38" i="65"/>
  <c r="D40" i="65" s="1"/>
  <c r="I11" i="65"/>
  <c r="I11" i="66"/>
  <c r="I6" i="66"/>
  <c r="I6" i="65"/>
  <c r="I10" i="66"/>
  <c r="I10" i="65"/>
  <c r="H7" i="65"/>
  <c r="H31" i="65"/>
  <c r="H33" i="65" s="1"/>
  <c r="H59" i="65"/>
  <c r="G72" i="65"/>
  <c r="K37" i="66"/>
  <c r="K65" i="66"/>
  <c r="D12" i="46"/>
  <c r="D66" i="46" s="1"/>
  <c r="D68" i="46" s="1"/>
  <c r="D38" i="46"/>
  <c r="D40" i="46" s="1"/>
  <c r="Z184" i="36"/>
  <c r="AA184" i="36" s="1"/>
  <c r="I40" i="42"/>
  <c r="I74" i="42" s="1"/>
  <c r="I74" i="41"/>
  <c r="I40" i="43"/>
  <c r="I74" i="43" s="1"/>
  <c r="E41" i="43"/>
  <c r="E55" i="43" s="1"/>
  <c r="F75" i="41"/>
  <c r="F89" i="41" s="1"/>
  <c r="E41" i="42"/>
  <c r="E55" i="42" s="1"/>
  <c r="E41" i="41"/>
  <c r="E55" i="41" s="1"/>
  <c r="G75" i="43"/>
  <c r="G89" i="43" s="1"/>
  <c r="G41" i="42"/>
  <c r="G55" i="42" s="1"/>
  <c r="E75" i="43"/>
  <c r="E89" i="43" s="1"/>
  <c r="I39" i="42"/>
  <c r="I73" i="42" s="1"/>
  <c r="I39" i="43"/>
  <c r="I73" i="43" s="1"/>
  <c r="I73" i="41"/>
  <c r="F55" i="41"/>
  <c r="J16" i="42"/>
  <c r="J40" i="41"/>
  <c r="J39" i="41"/>
  <c r="J50" i="41"/>
  <c r="E75" i="42"/>
  <c r="E89" i="42" s="1"/>
  <c r="G75" i="42"/>
  <c r="G89" i="42" s="1"/>
  <c r="I50" i="42"/>
  <c r="I84" i="42" s="1"/>
  <c r="I50" i="43"/>
  <c r="I84" i="43" s="1"/>
  <c r="I84" i="41"/>
  <c r="I48" i="42"/>
  <c r="X148" i="45"/>
  <c r="E11" i="66" s="1"/>
  <c r="G35" i="35"/>
  <c r="G48" i="35" s="1"/>
  <c r="G64" i="35"/>
  <c r="G77" i="35" s="1"/>
  <c r="K37" i="46"/>
  <c r="E65" i="46"/>
  <c r="H71" i="35"/>
  <c r="W162" i="25"/>
  <c r="X161" i="25"/>
  <c r="X158" i="32"/>
  <c r="W159" i="32"/>
  <c r="I68" i="37"/>
  <c r="I40" i="37"/>
  <c r="I67" i="38"/>
  <c r="I39" i="38"/>
  <c r="G65" i="34"/>
  <c r="G78" i="34" s="1"/>
  <c r="G20" i="34"/>
  <c r="K10" i="46"/>
  <c r="K36" i="46" s="1"/>
  <c r="X156" i="36"/>
  <c r="W157" i="36"/>
  <c r="I39" i="37"/>
  <c r="I67" i="37"/>
  <c r="I68" i="38"/>
  <c r="I40" i="38"/>
  <c r="I14" i="33"/>
  <c r="I14" i="35" s="1"/>
  <c r="I42" i="35" s="1"/>
  <c r="I68" i="39"/>
  <c r="I40" i="39"/>
  <c r="I39" i="39"/>
  <c r="I67" i="39"/>
  <c r="M18" i="36"/>
  <c r="K13" i="37" s="1"/>
  <c r="K68" i="37" s="1"/>
  <c r="J13" i="37"/>
  <c r="J13" i="39"/>
  <c r="J12" i="39"/>
  <c r="J13" i="38"/>
  <c r="J12" i="38"/>
  <c r="J12" i="37"/>
  <c r="H83" i="1"/>
  <c r="H36" i="41"/>
  <c r="I36" i="42"/>
  <c r="H36" i="43"/>
  <c r="I48" i="43"/>
  <c r="I46" i="42"/>
  <c r="I80" i="42"/>
  <c r="J15" i="43"/>
  <c r="J15" i="42"/>
  <c r="J14" i="43"/>
  <c r="J14" i="42"/>
  <c r="J6" i="42"/>
  <c r="J6" i="41"/>
  <c r="J6" i="43"/>
  <c r="D49" i="41"/>
  <c r="D51" i="41" s="1"/>
  <c r="D49" i="43"/>
  <c r="D51" i="43" s="1"/>
  <c r="D49" i="42"/>
  <c r="D51" i="42" s="1"/>
  <c r="H38" i="42"/>
  <c r="H72" i="42"/>
  <c r="I47" i="42"/>
  <c r="I81" i="42"/>
  <c r="D17" i="41"/>
  <c r="D83" i="41" s="1"/>
  <c r="D17" i="43"/>
  <c r="D17" i="42"/>
  <c r="F13" i="43"/>
  <c r="F13" i="42"/>
  <c r="H38" i="41"/>
  <c r="H72" i="41"/>
  <c r="I48" i="41"/>
  <c r="H38" i="43"/>
  <c r="H72" i="43"/>
  <c r="E79" i="43"/>
  <c r="E45" i="43"/>
  <c r="I81" i="43"/>
  <c r="I47" i="43"/>
  <c r="I12" i="43"/>
  <c r="I12" i="42"/>
  <c r="I7" i="43"/>
  <c r="I7" i="42"/>
  <c r="H78" i="42"/>
  <c r="H44" i="42"/>
  <c r="J16" i="43"/>
  <c r="J48" i="43" s="1"/>
  <c r="E79" i="42"/>
  <c r="E45" i="42"/>
  <c r="H78" i="43"/>
  <c r="H44" i="43"/>
  <c r="I8" i="43"/>
  <c r="I8" i="42"/>
  <c r="J16" i="41"/>
  <c r="J48" i="41" s="1"/>
  <c r="H9" i="42"/>
  <c r="H22" i="42" s="1"/>
  <c r="G55" i="43"/>
  <c r="I80" i="43"/>
  <c r="I46" i="43"/>
  <c r="H65" i="46"/>
  <c r="H37" i="46"/>
  <c r="L11" i="45"/>
  <c r="I11" i="46"/>
  <c r="I6" i="46"/>
  <c r="I10" i="46"/>
  <c r="H36" i="46"/>
  <c r="H64" i="46"/>
  <c r="H31" i="46"/>
  <c r="H59" i="46"/>
  <c r="H7" i="46"/>
  <c r="H17" i="46" s="1"/>
  <c r="F41" i="45"/>
  <c r="G36" i="45" s="1"/>
  <c r="G58" i="45"/>
  <c r="F51" i="45"/>
  <c r="G46" i="45" s="1"/>
  <c r="G67" i="45"/>
  <c r="H34" i="35"/>
  <c r="H9" i="43"/>
  <c r="H22" i="43" s="1"/>
  <c r="P6" i="41"/>
  <c r="P6" i="43"/>
  <c r="P6" i="42"/>
  <c r="H12" i="39"/>
  <c r="H67" i="39" s="1"/>
  <c r="G72" i="34"/>
  <c r="G14" i="34"/>
  <c r="G43" i="34" s="1"/>
  <c r="G36" i="34"/>
  <c r="G49" i="34" s="1"/>
  <c r="H63" i="35"/>
  <c r="H42" i="33"/>
  <c r="H71" i="33"/>
  <c r="L189" i="32"/>
  <c r="H35" i="34"/>
  <c r="X183" i="36"/>
  <c r="Z183" i="36" s="1"/>
  <c r="E67" i="37"/>
  <c r="H67" i="37"/>
  <c r="H64" i="34"/>
  <c r="E39" i="39"/>
  <c r="E67" i="39"/>
  <c r="I10" i="34"/>
  <c r="I10" i="35"/>
  <c r="I13" i="34"/>
  <c r="I13" i="35"/>
  <c r="I12" i="35"/>
  <c r="I12" i="34"/>
  <c r="I6" i="35"/>
  <c r="I63" i="35" s="1"/>
  <c r="H68" i="34"/>
  <c r="H39" i="34"/>
  <c r="D15" i="33"/>
  <c r="D72" i="33" s="1"/>
  <c r="D15" i="34"/>
  <c r="D15" i="35"/>
  <c r="I6" i="34"/>
  <c r="I64" i="34" s="1"/>
  <c r="H13" i="37"/>
  <c r="H40" i="37" s="1"/>
  <c r="D43" i="33"/>
  <c r="D44" i="34"/>
  <c r="D43" i="35"/>
  <c r="E13" i="37"/>
  <c r="E40" i="37" s="1"/>
  <c r="H67" i="35"/>
  <c r="H38" i="35"/>
  <c r="O187" i="32"/>
  <c r="J48" i="42"/>
  <c r="J82" i="42"/>
  <c r="H71" i="43"/>
  <c r="H75" i="43" s="1"/>
  <c r="H37" i="43"/>
  <c r="H71" i="42"/>
  <c r="H37" i="42"/>
  <c r="H41" i="42" s="1"/>
  <c r="E14" i="43"/>
  <c r="H14" i="43"/>
  <c r="E80" i="42"/>
  <c r="E46" i="42"/>
  <c r="X163" i="40"/>
  <c r="W164" i="40"/>
  <c r="E15" i="42"/>
  <c r="H15" i="42"/>
  <c r="H80" i="42"/>
  <c r="H46" i="42"/>
  <c r="N189" i="40"/>
  <c r="M166" i="40"/>
  <c r="N166" i="40" s="1"/>
  <c r="N165" i="40"/>
  <c r="F47" i="40"/>
  <c r="G42" i="40" s="1"/>
  <c r="L180" i="40"/>
  <c r="I8" i="41"/>
  <c r="E79" i="41"/>
  <c r="E45" i="41"/>
  <c r="I186" i="40"/>
  <c r="F13" i="41"/>
  <c r="L185" i="40"/>
  <c r="I12" i="41"/>
  <c r="H44" i="41"/>
  <c r="H78" i="41"/>
  <c r="H7" i="41"/>
  <c r="H9" i="41" s="1"/>
  <c r="H22" i="41" s="1"/>
  <c r="G71" i="41"/>
  <c r="G37" i="41"/>
  <c r="I81" i="41"/>
  <c r="I47" i="41"/>
  <c r="I36" i="41"/>
  <c r="I70" i="41"/>
  <c r="I46" i="41"/>
  <c r="I80" i="41"/>
  <c r="M11" i="40"/>
  <c r="J14" i="41"/>
  <c r="J15" i="41"/>
  <c r="R163" i="40"/>
  <c r="S162" i="40"/>
  <c r="F57" i="40"/>
  <c r="G52" i="40" s="1"/>
  <c r="F66" i="40"/>
  <c r="G61" i="40" s="1"/>
  <c r="F37" i="40"/>
  <c r="G72" i="36"/>
  <c r="F43" i="36"/>
  <c r="G61" i="36"/>
  <c r="F53" i="36"/>
  <c r="R159" i="36"/>
  <c r="S159" i="36" s="1"/>
  <c r="S158" i="36"/>
  <c r="H65" i="34"/>
  <c r="H78" i="34" s="1"/>
  <c r="H36" i="34"/>
  <c r="H49" i="34" s="1"/>
  <c r="H35" i="35"/>
  <c r="H48" i="35" s="1"/>
  <c r="H64" i="35"/>
  <c r="H77" i="35" s="1"/>
  <c r="Z179" i="32"/>
  <c r="V179" i="32"/>
  <c r="X179" i="32"/>
  <c r="G35" i="33"/>
  <c r="G48" i="33" s="1"/>
  <c r="G64" i="33"/>
  <c r="G77" i="33" s="1"/>
  <c r="H67" i="33"/>
  <c r="H38" i="33"/>
  <c r="H7" i="33"/>
  <c r="H20" i="33" s="1"/>
  <c r="H34" i="33"/>
  <c r="H63" i="33"/>
  <c r="L18" i="32"/>
  <c r="J6" i="34" s="1"/>
  <c r="I10" i="33"/>
  <c r="I12" i="33"/>
  <c r="I13" i="33"/>
  <c r="I6" i="33"/>
  <c r="J77" i="31"/>
  <c r="J44" i="31"/>
  <c r="H45" i="30"/>
  <c r="H78" i="30"/>
  <c r="L18" i="25"/>
  <c r="I17" i="31"/>
  <c r="I15" i="31"/>
  <c r="I14" i="31"/>
  <c r="I18" i="31"/>
  <c r="I15" i="30"/>
  <c r="I13" i="30"/>
  <c r="I6" i="30"/>
  <c r="I15" i="1"/>
  <c r="I16" i="1"/>
  <c r="I16" i="31"/>
  <c r="I13" i="31"/>
  <c r="I6" i="31"/>
  <c r="I14" i="30"/>
  <c r="I18" i="30"/>
  <c r="I17" i="30"/>
  <c r="I13" i="1"/>
  <c r="I16" i="30"/>
  <c r="I14" i="1"/>
  <c r="I17" i="1"/>
  <c r="K12" i="1"/>
  <c r="K12" i="31"/>
  <c r="J44" i="1"/>
  <c r="J77" i="1"/>
  <c r="H83" i="30"/>
  <c r="H50" i="30"/>
  <c r="N160" i="32"/>
  <c r="J77" i="30"/>
  <c r="J44" i="30"/>
  <c r="H71" i="30"/>
  <c r="H38" i="30"/>
  <c r="H83" i="31"/>
  <c r="H50" i="31"/>
  <c r="I18" i="1"/>
  <c r="I50" i="1" s="1"/>
  <c r="M187" i="32"/>
  <c r="G187" i="32"/>
  <c r="J187" i="32"/>
  <c r="H71" i="31"/>
  <c r="H38" i="31"/>
  <c r="H78" i="1"/>
  <c r="H45" i="1"/>
  <c r="H78" i="31"/>
  <c r="H45" i="31"/>
  <c r="G61" i="32"/>
  <c r="L185" i="32"/>
  <c r="G70" i="32"/>
  <c r="M181" i="32"/>
  <c r="M180" i="32"/>
  <c r="O192" i="32"/>
  <c r="F44" i="32"/>
  <c r="G39" i="32" s="1"/>
  <c r="G41" i="32" s="1"/>
  <c r="F54" i="32"/>
  <c r="G49" i="32" s="1"/>
  <c r="G51" i="32" s="1"/>
  <c r="H79" i="1"/>
  <c r="H46" i="1"/>
  <c r="S188" i="25"/>
  <c r="G188" i="25"/>
  <c r="E15" i="1" s="1"/>
  <c r="AB188" i="25"/>
  <c r="V188" i="25"/>
  <c r="P188" i="25"/>
  <c r="J188" i="25"/>
  <c r="H15" i="1" s="1"/>
  <c r="Y188" i="25"/>
  <c r="M188" i="25"/>
  <c r="E46" i="1"/>
  <c r="E79" i="1"/>
  <c r="U184" i="25"/>
  <c r="I6" i="1"/>
  <c r="I38" i="1" s="1"/>
  <c r="T190" i="25"/>
  <c r="T187" i="25"/>
  <c r="S187" i="25"/>
  <c r="H71" i="1"/>
  <c r="H38" i="1"/>
  <c r="L193" i="25"/>
  <c r="L191" i="25"/>
  <c r="L177" i="25"/>
  <c r="L192" i="25"/>
  <c r="L178" i="25"/>
  <c r="L194" i="25"/>
  <c r="R165" i="25"/>
  <c r="S164" i="25"/>
  <c r="N166" i="25"/>
  <c r="M167" i="25"/>
  <c r="M72" i="25"/>
  <c r="M73" i="25" s="1"/>
  <c r="N68" i="25" s="1"/>
  <c r="N70" i="25" s="1"/>
  <c r="G63" i="25"/>
  <c r="J53" i="25"/>
  <c r="I67" i="46" l="1"/>
  <c r="I39" i="65"/>
  <c r="H61" i="65"/>
  <c r="G33" i="66"/>
  <c r="G44" i="66" s="1"/>
  <c r="H67" i="65"/>
  <c r="H39" i="66"/>
  <c r="H67" i="66" s="1"/>
  <c r="J39" i="46"/>
  <c r="J32" i="46"/>
  <c r="H61" i="66"/>
  <c r="H32" i="66"/>
  <c r="H60" i="66" s="1"/>
  <c r="H60" i="65"/>
  <c r="I32" i="65"/>
  <c r="I60" i="46"/>
  <c r="K60" i="66"/>
  <c r="K61" i="66" s="1"/>
  <c r="K72" i="66" s="1"/>
  <c r="K33" i="66"/>
  <c r="K44" i="66" s="1"/>
  <c r="E37" i="65"/>
  <c r="H61" i="46"/>
  <c r="H72" i="46" s="1"/>
  <c r="H33" i="46"/>
  <c r="H44" i="46" s="1"/>
  <c r="H17" i="65"/>
  <c r="D45" i="66"/>
  <c r="D42" i="66"/>
  <c r="I36" i="65"/>
  <c r="I64" i="65"/>
  <c r="I65" i="66"/>
  <c r="I37" i="66"/>
  <c r="I7" i="66"/>
  <c r="I59" i="66"/>
  <c r="I31" i="66"/>
  <c r="J11" i="66"/>
  <c r="J11" i="65"/>
  <c r="J6" i="66"/>
  <c r="J6" i="65"/>
  <c r="J10" i="65"/>
  <c r="J10" i="66"/>
  <c r="E37" i="66"/>
  <c r="E65" i="66"/>
  <c r="H72" i="65"/>
  <c r="I36" i="66"/>
  <c r="I64" i="66"/>
  <c r="I65" i="65"/>
  <c r="I37" i="65"/>
  <c r="K36" i="66"/>
  <c r="K64" i="66"/>
  <c r="D66" i="65"/>
  <c r="D68" i="65" s="1"/>
  <c r="D13" i="65"/>
  <c r="H72" i="66"/>
  <c r="H44" i="65"/>
  <c r="I31" i="65"/>
  <c r="I59" i="65"/>
  <c r="I7" i="65"/>
  <c r="D45" i="65"/>
  <c r="D42" i="65"/>
  <c r="K36" i="65"/>
  <c r="K64" i="65"/>
  <c r="H17" i="66"/>
  <c r="D66" i="66"/>
  <c r="D68" i="66" s="1"/>
  <c r="D13" i="66"/>
  <c r="D73" i="46"/>
  <c r="D13" i="46"/>
  <c r="K64" i="46"/>
  <c r="J39" i="42"/>
  <c r="J73" i="42" s="1"/>
  <c r="J39" i="43"/>
  <c r="J73" i="43" s="1"/>
  <c r="J73" i="41"/>
  <c r="G41" i="41"/>
  <c r="G55" i="41" s="1"/>
  <c r="H89" i="42"/>
  <c r="H41" i="43"/>
  <c r="H55" i="43" s="1"/>
  <c r="J74" i="41"/>
  <c r="J40" i="43"/>
  <c r="J74" i="43" s="1"/>
  <c r="J40" i="42"/>
  <c r="J74" i="42" s="1"/>
  <c r="H89" i="43"/>
  <c r="J84" i="41"/>
  <c r="J50" i="42"/>
  <c r="J84" i="42" s="1"/>
  <c r="J50" i="43"/>
  <c r="J84" i="43" s="1"/>
  <c r="K15" i="42"/>
  <c r="K47" i="42" s="1"/>
  <c r="K40" i="41"/>
  <c r="K39" i="41"/>
  <c r="K50" i="41"/>
  <c r="H75" i="42"/>
  <c r="G75" i="41"/>
  <c r="G89" i="41" s="1"/>
  <c r="K12" i="39"/>
  <c r="K39" i="39" s="1"/>
  <c r="I71" i="35"/>
  <c r="J18" i="1"/>
  <c r="J83" i="1" s="1"/>
  <c r="J14" i="33"/>
  <c r="J14" i="35" s="1"/>
  <c r="J71" i="35" s="1"/>
  <c r="D41" i="39"/>
  <c r="D41" i="38"/>
  <c r="D41" i="37"/>
  <c r="J68" i="39"/>
  <c r="J40" i="39"/>
  <c r="H12" i="30"/>
  <c r="E12" i="30"/>
  <c r="J40" i="37"/>
  <c r="J68" i="37"/>
  <c r="X162" i="25"/>
  <c r="W163" i="25"/>
  <c r="K12" i="30"/>
  <c r="K44" i="30" s="1"/>
  <c r="D14" i="39"/>
  <c r="D14" i="37"/>
  <c r="D14" i="38"/>
  <c r="J40" i="38"/>
  <c r="J68" i="38"/>
  <c r="N18" i="36"/>
  <c r="K12" i="37"/>
  <c r="J67" i="37"/>
  <c r="J39" i="37"/>
  <c r="W160" i="32"/>
  <c r="X159" i="32"/>
  <c r="E12" i="34" s="1"/>
  <c r="J67" i="38"/>
  <c r="J39" i="38"/>
  <c r="W158" i="36"/>
  <c r="X157" i="36"/>
  <c r="K12" i="38" s="1"/>
  <c r="I83" i="1"/>
  <c r="J67" i="39"/>
  <c r="J39" i="39"/>
  <c r="D87" i="41"/>
  <c r="D90" i="41"/>
  <c r="D53" i="42"/>
  <c r="D56" i="42"/>
  <c r="D53" i="43"/>
  <c r="D56" i="43"/>
  <c r="D53" i="41"/>
  <c r="D56" i="41"/>
  <c r="J82" i="41"/>
  <c r="J82" i="43"/>
  <c r="K14" i="43"/>
  <c r="K80" i="43" s="1"/>
  <c r="D18" i="41"/>
  <c r="H55" i="42"/>
  <c r="K16" i="43"/>
  <c r="K82" i="43" s="1"/>
  <c r="I72" i="41"/>
  <c r="I38" i="41"/>
  <c r="I72" i="42"/>
  <c r="I38" i="42"/>
  <c r="D83" i="43"/>
  <c r="D85" i="43" s="1"/>
  <c r="D18" i="43"/>
  <c r="J46" i="42"/>
  <c r="J80" i="42"/>
  <c r="G13" i="43"/>
  <c r="G13" i="42"/>
  <c r="J8" i="43"/>
  <c r="J8" i="42"/>
  <c r="I38" i="43"/>
  <c r="I72" i="43"/>
  <c r="I37" i="42"/>
  <c r="I41" i="42" s="1"/>
  <c r="I71" i="42"/>
  <c r="F45" i="42"/>
  <c r="F79" i="42"/>
  <c r="J36" i="43"/>
  <c r="J70" i="43"/>
  <c r="J46" i="43"/>
  <c r="J80" i="43"/>
  <c r="I78" i="43"/>
  <c r="I44" i="43"/>
  <c r="K6" i="43"/>
  <c r="K14" i="42"/>
  <c r="K6" i="41"/>
  <c r="K6" i="42"/>
  <c r="K16" i="41"/>
  <c r="K48" i="41" s="1"/>
  <c r="K16" i="42"/>
  <c r="K48" i="42" s="1"/>
  <c r="I71" i="43"/>
  <c r="I37" i="43"/>
  <c r="I41" i="43" s="1"/>
  <c r="I9" i="43"/>
  <c r="I22" i="43" s="1"/>
  <c r="F45" i="43"/>
  <c r="F79" i="43"/>
  <c r="J47" i="42"/>
  <c r="J81" i="42"/>
  <c r="J12" i="43"/>
  <c r="J12" i="42"/>
  <c r="J7" i="42"/>
  <c r="J7" i="43"/>
  <c r="I78" i="42"/>
  <c r="I44" i="42"/>
  <c r="D83" i="42"/>
  <c r="D85" i="42" s="1"/>
  <c r="D18" i="42"/>
  <c r="J36" i="42"/>
  <c r="J70" i="42"/>
  <c r="J47" i="43"/>
  <c r="J81" i="43"/>
  <c r="I9" i="42"/>
  <c r="I22" i="42" s="1"/>
  <c r="J11" i="46"/>
  <c r="J6" i="46"/>
  <c r="J10" i="46"/>
  <c r="I37" i="46"/>
  <c r="I65" i="46"/>
  <c r="I36" i="46"/>
  <c r="I64" i="46"/>
  <c r="I59" i="46"/>
  <c r="I7" i="46"/>
  <c r="I17" i="46" s="1"/>
  <c r="I31" i="46"/>
  <c r="G60" i="45"/>
  <c r="G69" i="45"/>
  <c r="G48" i="45"/>
  <c r="G38" i="45"/>
  <c r="H13" i="39"/>
  <c r="H40" i="39" s="1"/>
  <c r="K13" i="39"/>
  <c r="K68" i="39" s="1"/>
  <c r="H39" i="39"/>
  <c r="I7" i="35"/>
  <c r="P70" i="42"/>
  <c r="P36" i="42"/>
  <c r="P70" i="43"/>
  <c r="P36" i="43"/>
  <c r="P36" i="41"/>
  <c r="P70" i="41"/>
  <c r="E13" i="39"/>
  <c r="AB184" i="36"/>
  <c r="H72" i="34"/>
  <c r="H14" i="34"/>
  <c r="H43" i="34" s="1"/>
  <c r="I42" i="33"/>
  <c r="I71" i="33"/>
  <c r="M189" i="32"/>
  <c r="E68" i="37"/>
  <c r="AA183" i="36"/>
  <c r="AB183" i="36" s="1"/>
  <c r="Y183" i="36"/>
  <c r="H68" i="37"/>
  <c r="K40" i="37"/>
  <c r="I35" i="34"/>
  <c r="I34" i="35"/>
  <c r="I41" i="34"/>
  <c r="I70" i="34"/>
  <c r="I38" i="35"/>
  <c r="I67" i="35"/>
  <c r="I7" i="34"/>
  <c r="D72" i="35"/>
  <c r="I40" i="35"/>
  <c r="I69" i="35"/>
  <c r="J10" i="35"/>
  <c r="J10" i="34"/>
  <c r="J13" i="34"/>
  <c r="J13" i="35"/>
  <c r="J12" i="34"/>
  <c r="J12" i="35"/>
  <c r="D73" i="34"/>
  <c r="I70" i="35"/>
  <c r="I41" i="35"/>
  <c r="J6" i="35"/>
  <c r="J7" i="35" s="1"/>
  <c r="J20" i="35" s="1"/>
  <c r="I71" i="34"/>
  <c r="I42" i="34"/>
  <c r="I68" i="34"/>
  <c r="I39" i="34"/>
  <c r="Q187" i="32"/>
  <c r="P187" i="32"/>
  <c r="S163" i="40"/>
  <c r="R164" i="40"/>
  <c r="H80" i="43"/>
  <c r="H46" i="43"/>
  <c r="E80" i="43"/>
  <c r="E46" i="43"/>
  <c r="K15" i="43"/>
  <c r="E15" i="43"/>
  <c r="H15" i="43"/>
  <c r="H81" i="42"/>
  <c r="H47" i="42"/>
  <c r="E81" i="42"/>
  <c r="E47" i="42"/>
  <c r="X164" i="40"/>
  <c r="W165" i="40"/>
  <c r="O189" i="40"/>
  <c r="M180" i="40"/>
  <c r="J8" i="41"/>
  <c r="F79" i="41"/>
  <c r="F45" i="41"/>
  <c r="J186" i="40"/>
  <c r="G13" i="41"/>
  <c r="G44" i="40"/>
  <c r="G45" i="40"/>
  <c r="G55" i="40" s="1"/>
  <c r="G64" i="40" s="1"/>
  <c r="I44" i="41"/>
  <c r="I78" i="41"/>
  <c r="M185" i="40"/>
  <c r="J12" i="41"/>
  <c r="G32" i="40"/>
  <c r="G34" i="40" s="1"/>
  <c r="H71" i="41"/>
  <c r="H37" i="41"/>
  <c r="M179" i="40"/>
  <c r="I7" i="41"/>
  <c r="I9" i="41" s="1"/>
  <c r="I22" i="41" s="1"/>
  <c r="J36" i="41"/>
  <c r="J70" i="41"/>
  <c r="J46" i="41"/>
  <c r="J80" i="41"/>
  <c r="J47" i="41"/>
  <c r="J81" i="41"/>
  <c r="N11" i="40"/>
  <c r="K15" i="41"/>
  <c r="K14" i="41"/>
  <c r="G63" i="40"/>
  <c r="G54" i="40"/>
  <c r="F44" i="36"/>
  <c r="G39" i="36" s="1"/>
  <c r="G63" i="36"/>
  <c r="F54" i="36"/>
  <c r="G49" i="36" s="1"/>
  <c r="G73" i="36"/>
  <c r="H68" i="36" s="1"/>
  <c r="J64" i="34"/>
  <c r="J7" i="34"/>
  <c r="J20" i="34" s="1"/>
  <c r="J35" i="34"/>
  <c r="Y179" i="32"/>
  <c r="AA179" i="32"/>
  <c r="H12" i="33"/>
  <c r="H40" i="33" s="1"/>
  <c r="E12" i="33"/>
  <c r="E40" i="33" s="1"/>
  <c r="I7" i="33"/>
  <c r="I20" i="33" s="1"/>
  <c r="I63" i="33"/>
  <c r="I34" i="33"/>
  <c r="M18" i="32"/>
  <c r="K6" i="35" s="1"/>
  <c r="J6" i="33"/>
  <c r="J10" i="33"/>
  <c r="J12" i="33"/>
  <c r="J13" i="33"/>
  <c r="I41" i="33"/>
  <c r="I70" i="33"/>
  <c r="I69" i="33"/>
  <c r="I40" i="33"/>
  <c r="I67" i="33"/>
  <c r="I38" i="33"/>
  <c r="H35" i="33"/>
  <c r="H48" i="33" s="1"/>
  <c r="H64" i="33"/>
  <c r="H77" i="33" s="1"/>
  <c r="H51" i="30"/>
  <c r="H84" i="30" s="1"/>
  <c r="H51" i="31"/>
  <c r="H84" i="31" s="1"/>
  <c r="K44" i="31"/>
  <c r="K77" i="31"/>
  <c r="I79" i="1"/>
  <c r="I46" i="1"/>
  <c r="I83" i="30"/>
  <c r="I50" i="30"/>
  <c r="I81" i="31"/>
  <c r="I48" i="31"/>
  <c r="I78" i="30"/>
  <c r="I45" i="30"/>
  <c r="I47" i="31"/>
  <c r="I80" i="31"/>
  <c r="AB188" i="32"/>
  <c r="G188" i="32"/>
  <c r="E13" i="35" s="1"/>
  <c r="S188" i="32"/>
  <c r="J188" i="32"/>
  <c r="V188" i="32"/>
  <c r="M188" i="32"/>
  <c r="Y188" i="32"/>
  <c r="P188" i="32"/>
  <c r="K77" i="1"/>
  <c r="K44" i="1"/>
  <c r="I48" i="30"/>
  <c r="I81" i="30"/>
  <c r="I79" i="30"/>
  <c r="I46" i="30"/>
  <c r="I81" i="1"/>
  <c r="I48" i="1"/>
  <c r="I47" i="30"/>
  <c r="I80" i="30"/>
  <c r="I82" i="31"/>
  <c r="I49" i="31"/>
  <c r="I78" i="1"/>
  <c r="I45" i="1"/>
  <c r="I38" i="31"/>
  <c r="I71" i="31"/>
  <c r="I80" i="1"/>
  <c r="I47" i="1"/>
  <c r="I50" i="31"/>
  <c r="I83" i="31"/>
  <c r="M18" i="25"/>
  <c r="K14" i="31" s="1"/>
  <c r="J17" i="31"/>
  <c r="J18" i="31"/>
  <c r="J16" i="31"/>
  <c r="J13" i="31"/>
  <c r="J6" i="31"/>
  <c r="J14" i="30"/>
  <c r="J15" i="31"/>
  <c r="J14" i="31"/>
  <c r="J17" i="30"/>
  <c r="J15" i="1"/>
  <c r="J16" i="1"/>
  <c r="J13" i="1"/>
  <c r="J15" i="30"/>
  <c r="J13" i="30"/>
  <c r="J6" i="30"/>
  <c r="J16" i="30"/>
  <c r="J18" i="30"/>
  <c r="L12" i="31"/>
  <c r="J14" i="1"/>
  <c r="L12" i="1"/>
  <c r="J17" i="1"/>
  <c r="L12" i="30"/>
  <c r="I82" i="1"/>
  <c r="I49" i="1"/>
  <c r="I82" i="30"/>
  <c r="I49" i="30"/>
  <c r="I78" i="31"/>
  <c r="I45" i="31"/>
  <c r="I71" i="30"/>
  <c r="I38" i="30"/>
  <c r="I46" i="31"/>
  <c r="I79" i="31"/>
  <c r="S158" i="32"/>
  <c r="R159" i="32"/>
  <c r="P192" i="32"/>
  <c r="G72" i="32"/>
  <c r="M185" i="32"/>
  <c r="N180" i="32"/>
  <c r="N181" i="32"/>
  <c r="G63" i="32"/>
  <c r="Y189" i="25"/>
  <c r="S189" i="25"/>
  <c r="M189" i="25"/>
  <c r="G189" i="25"/>
  <c r="E16" i="1" s="1"/>
  <c r="AB189" i="25"/>
  <c r="V189" i="25"/>
  <c r="P189" i="25"/>
  <c r="J189" i="25"/>
  <c r="H16" i="1" s="1"/>
  <c r="H80" i="1"/>
  <c r="H47" i="1"/>
  <c r="E80" i="1"/>
  <c r="E47" i="1"/>
  <c r="H14" i="31"/>
  <c r="E14" i="31"/>
  <c r="I71" i="1"/>
  <c r="V184" i="25"/>
  <c r="W184" i="25"/>
  <c r="U190" i="25"/>
  <c r="U187" i="25"/>
  <c r="J6" i="1"/>
  <c r="M194" i="25"/>
  <c r="M192" i="25"/>
  <c r="M191" i="25"/>
  <c r="M178" i="25"/>
  <c r="M177" i="25"/>
  <c r="M193" i="25"/>
  <c r="J54" i="25"/>
  <c r="K49" i="25" s="1"/>
  <c r="K51" i="25" s="1"/>
  <c r="K53" i="25" s="1"/>
  <c r="H51" i="1"/>
  <c r="H84" i="1" s="1"/>
  <c r="N167" i="25"/>
  <c r="M168" i="25"/>
  <c r="R166" i="25"/>
  <c r="S165" i="25"/>
  <c r="G64" i="25"/>
  <c r="H59" i="25" s="1"/>
  <c r="H61" i="25" s="1"/>
  <c r="I67" i="65" l="1"/>
  <c r="I39" i="66"/>
  <c r="I60" i="65"/>
  <c r="I32" i="66"/>
  <c r="I60" i="66" s="1"/>
  <c r="I33" i="66"/>
  <c r="I44" i="66" s="1"/>
  <c r="I61" i="66"/>
  <c r="I61" i="65"/>
  <c r="J60" i="46"/>
  <c r="J32" i="65"/>
  <c r="I33" i="65"/>
  <c r="I44" i="65" s="1"/>
  <c r="J67" i="46"/>
  <c r="J39" i="65"/>
  <c r="H33" i="66"/>
  <c r="H44" i="66" s="1"/>
  <c r="I33" i="46"/>
  <c r="I44" i="46" s="1"/>
  <c r="I61" i="46"/>
  <c r="I72" i="46" s="1"/>
  <c r="I72" i="65"/>
  <c r="J36" i="66"/>
  <c r="J64" i="66"/>
  <c r="J37" i="65"/>
  <c r="J65" i="65"/>
  <c r="I17" i="66"/>
  <c r="D73" i="66"/>
  <c r="D70" i="66"/>
  <c r="I17" i="65"/>
  <c r="D73" i="65"/>
  <c r="D70" i="65"/>
  <c r="I72" i="66"/>
  <c r="J36" i="65"/>
  <c r="J64" i="65"/>
  <c r="J37" i="66"/>
  <c r="J65" i="66"/>
  <c r="J7" i="66"/>
  <c r="J31" i="66"/>
  <c r="J59" i="66"/>
  <c r="D18" i="66"/>
  <c r="D15" i="66"/>
  <c r="D18" i="65"/>
  <c r="D15" i="65"/>
  <c r="J31" i="65"/>
  <c r="J7" i="65"/>
  <c r="J59" i="65"/>
  <c r="D70" i="46"/>
  <c r="D15" i="46"/>
  <c r="D18" i="46"/>
  <c r="D42" i="46"/>
  <c r="D45" i="46"/>
  <c r="J42" i="35"/>
  <c r="I75" i="42"/>
  <c r="I89" i="42" s="1"/>
  <c r="L16" i="42"/>
  <c r="L40" i="41"/>
  <c r="L39" i="41"/>
  <c r="L50" i="41"/>
  <c r="I75" i="43"/>
  <c r="I89" i="43" s="1"/>
  <c r="K50" i="42"/>
  <c r="K84" i="42" s="1"/>
  <c r="K50" i="43"/>
  <c r="K84" i="43" s="1"/>
  <c r="K84" i="41"/>
  <c r="H55" i="41"/>
  <c r="K81" i="42"/>
  <c r="K39" i="42"/>
  <c r="K73" i="42" s="1"/>
  <c r="K73" i="41"/>
  <c r="K39" i="43"/>
  <c r="K73" i="43" s="1"/>
  <c r="H41" i="41"/>
  <c r="H75" i="41"/>
  <c r="H89" i="41" s="1"/>
  <c r="K40" i="42"/>
  <c r="K74" i="42" s="1"/>
  <c r="K40" i="43"/>
  <c r="K74" i="43" s="1"/>
  <c r="K74" i="41"/>
  <c r="K48" i="43"/>
  <c r="K77" i="30"/>
  <c r="J50" i="1"/>
  <c r="K67" i="39"/>
  <c r="K16" i="1"/>
  <c r="K48" i="1" s="1"/>
  <c r="H68" i="39"/>
  <c r="H12" i="34"/>
  <c r="H70" i="34" s="1"/>
  <c r="W161" i="32"/>
  <c r="X160" i="32"/>
  <c r="W164" i="32"/>
  <c r="K67" i="38"/>
  <c r="K39" i="38"/>
  <c r="I35" i="35"/>
  <c r="I48" i="35" s="1"/>
  <c r="I20" i="35"/>
  <c r="H12" i="38"/>
  <c r="E12" i="38"/>
  <c r="K39" i="37"/>
  <c r="K67" i="37"/>
  <c r="W159" i="36"/>
  <c r="X159" i="36" s="1"/>
  <c r="X158" i="36"/>
  <c r="O18" i="36"/>
  <c r="L13" i="38"/>
  <c r="L13" i="39"/>
  <c r="L13" i="37"/>
  <c r="L12" i="38"/>
  <c r="L12" i="39"/>
  <c r="L12" i="37"/>
  <c r="D69" i="38"/>
  <c r="E44" i="30"/>
  <c r="E77" i="30"/>
  <c r="K14" i="33"/>
  <c r="K14" i="35" s="1"/>
  <c r="K71" i="35" s="1"/>
  <c r="D69" i="39"/>
  <c r="W164" i="25"/>
  <c r="X163" i="25"/>
  <c r="I36" i="34"/>
  <c r="I49" i="34" s="1"/>
  <c r="I20" i="34"/>
  <c r="D69" i="37"/>
  <c r="H44" i="30"/>
  <c r="H77" i="30"/>
  <c r="K40" i="39"/>
  <c r="I64" i="35"/>
  <c r="I77" i="35" s="1"/>
  <c r="D87" i="43"/>
  <c r="D90" i="43"/>
  <c r="D87" i="42"/>
  <c r="D90" i="42"/>
  <c r="D20" i="42"/>
  <c r="D23" i="42"/>
  <c r="D20" i="43"/>
  <c r="D23" i="43"/>
  <c r="D20" i="41"/>
  <c r="D23" i="41"/>
  <c r="K46" i="43"/>
  <c r="K82" i="42"/>
  <c r="K82" i="41"/>
  <c r="I55" i="42"/>
  <c r="J9" i="43"/>
  <c r="J22" i="43" s="1"/>
  <c r="I55" i="43"/>
  <c r="J38" i="41"/>
  <c r="J72" i="41"/>
  <c r="J44" i="42"/>
  <c r="J78" i="42"/>
  <c r="K80" i="42"/>
  <c r="K46" i="42"/>
  <c r="G45" i="42"/>
  <c r="G79" i="42"/>
  <c r="K12" i="43"/>
  <c r="K12" i="42"/>
  <c r="J38" i="43"/>
  <c r="J72" i="43"/>
  <c r="H13" i="43"/>
  <c r="H13" i="42"/>
  <c r="K8" i="43"/>
  <c r="K8" i="42"/>
  <c r="J44" i="43"/>
  <c r="J78" i="43"/>
  <c r="K36" i="43"/>
  <c r="K70" i="43"/>
  <c r="G45" i="43"/>
  <c r="G79" i="43"/>
  <c r="J37" i="42"/>
  <c r="J71" i="42"/>
  <c r="J75" i="42" s="1"/>
  <c r="L15" i="43"/>
  <c r="L15" i="42"/>
  <c r="L14" i="42"/>
  <c r="L14" i="43"/>
  <c r="L6" i="43"/>
  <c r="L6" i="41"/>
  <c r="L6" i="42"/>
  <c r="L16" i="41"/>
  <c r="L48" i="41" s="1"/>
  <c r="L16" i="43"/>
  <c r="L82" i="43" s="1"/>
  <c r="J9" i="42"/>
  <c r="J22" i="42" s="1"/>
  <c r="J37" i="43"/>
  <c r="J41" i="43" s="1"/>
  <c r="J71" i="43"/>
  <c r="K70" i="42"/>
  <c r="K36" i="42"/>
  <c r="J38" i="42"/>
  <c r="J72" i="42"/>
  <c r="J65" i="46"/>
  <c r="J37" i="46"/>
  <c r="J36" i="46"/>
  <c r="J64" i="46"/>
  <c r="J7" i="46"/>
  <c r="J17" i="46" s="1"/>
  <c r="L17" i="46" s="1"/>
  <c r="C36" i="14" s="1"/>
  <c r="J59" i="46"/>
  <c r="J31" i="46"/>
  <c r="G50" i="45"/>
  <c r="G61" i="45"/>
  <c r="H56" i="45" s="1"/>
  <c r="G40" i="45"/>
  <c r="G70" i="45"/>
  <c r="H65" i="45" s="1"/>
  <c r="E68" i="39"/>
  <c r="E40" i="39"/>
  <c r="AC184" i="36"/>
  <c r="I14" i="34"/>
  <c r="I43" i="34" s="1"/>
  <c r="I72" i="34"/>
  <c r="J71" i="33"/>
  <c r="J42" i="33"/>
  <c r="N189" i="32"/>
  <c r="J34" i="35"/>
  <c r="H69" i="33"/>
  <c r="E69" i="33"/>
  <c r="I65" i="34"/>
  <c r="I78" i="34" s="1"/>
  <c r="J69" i="35"/>
  <c r="J40" i="35"/>
  <c r="J63" i="35"/>
  <c r="J70" i="34"/>
  <c r="J41" i="34"/>
  <c r="J68" i="34"/>
  <c r="J39" i="34"/>
  <c r="K10" i="35"/>
  <c r="K10" i="34"/>
  <c r="K6" i="34"/>
  <c r="K35" i="34" s="1"/>
  <c r="K12" i="34"/>
  <c r="J41" i="35"/>
  <c r="J70" i="35"/>
  <c r="J67" i="35"/>
  <c r="J38" i="35"/>
  <c r="J42" i="34"/>
  <c r="J71" i="34"/>
  <c r="R187" i="32"/>
  <c r="L82" i="42"/>
  <c r="L48" i="42"/>
  <c r="K7" i="43"/>
  <c r="K7" i="42"/>
  <c r="K47" i="43"/>
  <c r="K81" i="43"/>
  <c r="H47" i="43"/>
  <c r="H81" i="43"/>
  <c r="R165" i="40"/>
  <c r="S164" i="40"/>
  <c r="E81" i="43"/>
  <c r="E47" i="43"/>
  <c r="W166" i="40"/>
  <c r="X166" i="40" s="1"/>
  <c r="X165" i="40"/>
  <c r="P189" i="40"/>
  <c r="N180" i="40"/>
  <c r="K8" i="41"/>
  <c r="G46" i="40"/>
  <c r="K186" i="40"/>
  <c r="H13" i="41"/>
  <c r="G79" i="41"/>
  <c r="G45" i="41"/>
  <c r="J78" i="41"/>
  <c r="J44" i="41"/>
  <c r="N185" i="40"/>
  <c r="K12" i="41"/>
  <c r="I71" i="41"/>
  <c r="I37" i="41"/>
  <c r="J7" i="41"/>
  <c r="J9" i="41" s="1"/>
  <c r="J22" i="41" s="1"/>
  <c r="O11" i="40"/>
  <c r="L15" i="41"/>
  <c r="L14" i="41"/>
  <c r="K80" i="41"/>
  <c r="K46" i="41"/>
  <c r="K36" i="41"/>
  <c r="K70" i="41"/>
  <c r="K47" i="41"/>
  <c r="K81" i="41"/>
  <c r="G56" i="40"/>
  <c r="G36" i="40"/>
  <c r="G65" i="40"/>
  <c r="G47" i="40"/>
  <c r="AC183" i="36"/>
  <c r="G64" i="36"/>
  <c r="H59" i="36" s="1"/>
  <c r="G51" i="36"/>
  <c r="G41" i="36"/>
  <c r="H70" i="36"/>
  <c r="J35" i="35"/>
  <c r="J48" i="35" s="1"/>
  <c r="J64" i="35"/>
  <c r="J77" i="35" s="1"/>
  <c r="J65" i="34"/>
  <c r="J78" i="34" s="1"/>
  <c r="J36" i="34"/>
  <c r="J49" i="34" s="1"/>
  <c r="K7" i="35"/>
  <c r="K20" i="35" s="1"/>
  <c r="K34" i="35"/>
  <c r="K63" i="35"/>
  <c r="AB179" i="32"/>
  <c r="K13" i="34"/>
  <c r="E13" i="33"/>
  <c r="E70" i="33" s="1"/>
  <c r="E13" i="34"/>
  <c r="H13" i="33"/>
  <c r="H41" i="33" s="1"/>
  <c r="H13" i="34"/>
  <c r="E70" i="34"/>
  <c r="E41" i="34"/>
  <c r="J38" i="33"/>
  <c r="J67" i="33"/>
  <c r="J63" i="33"/>
  <c r="J34" i="33"/>
  <c r="J7" i="33"/>
  <c r="J20" i="33" s="1"/>
  <c r="I35" i="33"/>
  <c r="I48" i="33" s="1"/>
  <c r="I64" i="33"/>
  <c r="I77" i="33" s="1"/>
  <c r="J41" i="33"/>
  <c r="J70" i="33"/>
  <c r="N18" i="32"/>
  <c r="K10" i="33"/>
  <c r="K12" i="33"/>
  <c r="K6" i="33"/>
  <c r="K13" i="33"/>
  <c r="J69" i="33"/>
  <c r="J40" i="33"/>
  <c r="J50" i="30"/>
  <c r="J83" i="30"/>
  <c r="S159" i="32"/>
  <c r="R160" i="32"/>
  <c r="L44" i="1"/>
  <c r="L77" i="1"/>
  <c r="J81" i="30"/>
  <c r="J48" i="30"/>
  <c r="J78" i="1"/>
  <c r="J45" i="1"/>
  <c r="J46" i="31"/>
  <c r="J79" i="31"/>
  <c r="J78" i="31"/>
  <c r="J45" i="31"/>
  <c r="N18" i="25"/>
  <c r="K18" i="31"/>
  <c r="K13" i="31"/>
  <c r="K13" i="1"/>
  <c r="K18" i="30"/>
  <c r="K13" i="30"/>
  <c r="K6" i="31"/>
  <c r="K6" i="30"/>
  <c r="M12" i="31"/>
  <c r="M12" i="30"/>
  <c r="M12" i="1"/>
  <c r="K14" i="1"/>
  <c r="J80" i="30"/>
  <c r="J47" i="30"/>
  <c r="J82" i="30"/>
  <c r="J49" i="30"/>
  <c r="J49" i="31"/>
  <c r="J82" i="31"/>
  <c r="I51" i="30"/>
  <c r="I84" i="30" s="1"/>
  <c r="I51" i="31"/>
  <c r="I84" i="31" s="1"/>
  <c r="K18" i="1"/>
  <c r="K83" i="1" s="1"/>
  <c r="J79" i="1"/>
  <c r="J46" i="1"/>
  <c r="J71" i="30"/>
  <c r="J38" i="30"/>
  <c r="J81" i="1"/>
  <c r="J48" i="1"/>
  <c r="J80" i="31"/>
  <c r="J47" i="31"/>
  <c r="J81" i="31"/>
  <c r="J48" i="31"/>
  <c r="J49" i="1"/>
  <c r="J82" i="1"/>
  <c r="J71" i="31"/>
  <c r="J38" i="31"/>
  <c r="L44" i="30"/>
  <c r="L77" i="30"/>
  <c r="L77" i="31"/>
  <c r="L44" i="31"/>
  <c r="J78" i="30"/>
  <c r="J45" i="30"/>
  <c r="J80" i="1"/>
  <c r="J47" i="1"/>
  <c r="J79" i="30"/>
  <c r="J46" i="30"/>
  <c r="J50" i="31"/>
  <c r="J83" i="31"/>
  <c r="K15" i="1"/>
  <c r="O181" i="32"/>
  <c r="O180" i="32"/>
  <c r="G53" i="32"/>
  <c r="Q192" i="32"/>
  <c r="G73" i="32"/>
  <c r="H68" i="32" s="1"/>
  <c r="N185" i="32"/>
  <c r="G43" i="32"/>
  <c r="G64" i="32"/>
  <c r="H59" i="32" s="1"/>
  <c r="H81" i="1"/>
  <c r="H48" i="1"/>
  <c r="E81" i="1"/>
  <c r="E48" i="1"/>
  <c r="G190" i="25"/>
  <c r="E17" i="1" s="1"/>
  <c r="J190" i="25"/>
  <c r="H17" i="1" s="1"/>
  <c r="M190" i="25"/>
  <c r="K17" i="1" s="1"/>
  <c r="P190" i="25"/>
  <c r="S190" i="25"/>
  <c r="K15" i="31"/>
  <c r="E15" i="31"/>
  <c r="H15" i="31"/>
  <c r="E46" i="31"/>
  <c r="E79" i="31"/>
  <c r="H79" i="31"/>
  <c r="H46" i="31"/>
  <c r="K79" i="31"/>
  <c r="K46" i="31"/>
  <c r="X184" i="25"/>
  <c r="W190" i="25"/>
  <c r="V190" i="25"/>
  <c r="V187" i="25"/>
  <c r="W187" i="25"/>
  <c r="K6" i="1"/>
  <c r="J71" i="1"/>
  <c r="J38" i="1"/>
  <c r="N193" i="25"/>
  <c r="N178" i="25"/>
  <c r="N192" i="25"/>
  <c r="N177" i="25"/>
  <c r="N191" i="25"/>
  <c r="N194" i="25"/>
  <c r="I51" i="1"/>
  <c r="N168" i="25"/>
  <c r="M169" i="25"/>
  <c r="R167" i="25"/>
  <c r="S166" i="25"/>
  <c r="N72" i="25"/>
  <c r="H63" i="25"/>
  <c r="K54" i="25"/>
  <c r="L49" i="25" s="1"/>
  <c r="L51" i="25" s="1"/>
  <c r="L53" i="25" s="1"/>
  <c r="J67" i="65" l="1"/>
  <c r="J39" i="66"/>
  <c r="J60" i="65"/>
  <c r="J61" i="65" s="1"/>
  <c r="J72" i="65" s="1"/>
  <c r="L72" i="65" s="1"/>
  <c r="H38" i="14" s="1"/>
  <c r="J32" i="66"/>
  <c r="J60" i="66" s="1"/>
  <c r="J61" i="66" s="1"/>
  <c r="J72" i="66" s="1"/>
  <c r="L72" i="66" s="1"/>
  <c r="M38" i="14" s="1"/>
  <c r="J41" i="42"/>
  <c r="J55" i="42" s="1"/>
  <c r="J33" i="65"/>
  <c r="J33" i="66"/>
  <c r="I67" i="66"/>
  <c r="J33" i="46"/>
  <c r="J44" i="46" s="1"/>
  <c r="L44" i="46" s="1"/>
  <c r="C37" i="14" s="1"/>
  <c r="J61" i="46"/>
  <c r="J72" i="46" s="1"/>
  <c r="L72" i="46" s="1"/>
  <c r="C38" i="14" s="1"/>
  <c r="J17" i="65"/>
  <c r="L17" i="65" s="1"/>
  <c r="H36" i="14" s="1"/>
  <c r="J17" i="66"/>
  <c r="L17" i="66" s="1"/>
  <c r="M36" i="14" s="1"/>
  <c r="E38" i="66"/>
  <c r="E40" i="66" s="1"/>
  <c r="E38" i="65"/>
  <c r="E40" i="65" s="1"/>
  <c r="J44" i="65"/>
  <c r="L44" i="65" s="1"/>
  <c r="H37" i="14" s="1"/>
  <c r="E12" i="66"/>
  <c r="E12" i="65"/>
  <c r="J44" i="66"/>
  <c r="L44" i="66" s="1"/>
  <c r="M37" i="14" s="1"/>
  <c r="E12" i="46"/>
  <c r="E13" i="46" s="1"/>
  <c r="E38" i="46"/>
  <c r="E40" i="46" s="1"/>
  <c r="I75" i="41"/>
  <c r="I89" i="41" s="1"/>
  <c r="L50" i="42"/>
  <c r="L84" i="42" s="1"/>
  <c r="L50" i="43"/>
  <c r="L84" i="43" s="1"/>
  <c r="L84" i="41"/>
  <c r="M16" i="41"/>
  <c r="M48" i="41" s="1"/>
  <c r="M40" i="41"/>
  <c r="M39" i="41"/>
  <c r="M50" i="41"/>
  <c r="L39" i="43"/>
  <c r="L73" i="43" s="1"/>
  <c r="L39" i="42"/>
  <c r="L73" i="42" s="1"/>
  <c r="L73" i="41"/>
  <c r="J89" i="42"/>
  <c r="L40" i="42"/>
  <c r="L74" i="42" s="1"/>
  <c r="L40" i="43"/>
  <c r="L74" i="43" s="1"/>
  <c r="L74" i="41"/>
  <c r="I41" i="41"/>
  <c r="I55" i="41" s="1"/>
  <c r="J55" i="43"/>
  <c r="J75" i="43"/>
  <c r="J89" i="43" s="1"/>
  <c r="H41" i="34"/>
  <c r="K81" i="1"/>
  <c r="K42" i="35"/>
  <c r="W162" i="32"/>
  <c r="X161" i="32"/>
  <c r="L67" i="39"/>
  <c r="L39" i="39"/>
  <c r="L40" i="38"/>
  <c r="L68" i="38"/>
  <c r="L14" i="33"/>
  <c r="L14" i="35" s="1"/>
  <c r="L42" i="35" s="1"/>
  <c r="L68" i="37"/>
  <c r="L40" i="37"/>
  <c r="E13" i="38"/>
  <c r="H13" i="38"/>
  <c r="K13" i="38"/>
  <c r="E39" i="38"/>
  <c r="E67" i="38"/>
  <c r="L67" i="38"/>
  <c r="L39" i="38"/>
  <c r="P18" i="36"/>
  <c r="M13" i="37"/>
  <c r="M12" i="37"/>
  <c r="M13" i="38"/>
  <c r="M13" i="39"/>
  <c r="M12" i="38"/>
  <c r="M12" i="39"/>
  <c r="X164" i="25"/>
  <c r="W165" i="25"/>
  <c r="L67" i="37"/>
  <c r="L39" i="37"/>
  <c r="L68" i="39"/>
  <c r="L40" i="39"/>
  <c r="H67" i="38"/>
  <c r="H39" i="38"/>
  <c r="L82" i="41"/>
  <c r="K72" i="43"/>
  <c r="K38" i="43"/>
  <c r="L48" i="43"/>
  <c r="L81" i="43"/>
  <c r="L47" i="43"/>
  <c r="H79" i="42"/>
  <c r="H45" i="42"/>
  <c r="M15" i="43"/>
  <c r="M15" i="42"/>
  <c r="M14" i="42"/>
  <c r="M14" i="43"/>
  <c r="M6" i="42"/>
  <c r="M6" i="41"/>
  <c r="M6" i="43"/>
  <c r="E49" i="41"/>
  <c r="E51" i="41" s="1"/>
  <c r="E49" i="43"/>
  <c r="E51" i="43" s="1"/>
  <c r="E49" i="42"/>
  <c r="E51" i="42" s="1"/>
  <c r="M16" i="42"/>
  <c r="M82" i="42" s="1"/>
  <c r="L80" i="43"/>
  <c r="L46" i="43"/>
  <c r="H79" i="43"/>
  <c r="H45" i="43"/>
  <c r="K44" i="42"/>
  <c r="K78" i="42"/>
  <c r="E17" i="41"/>
  <c r="E83" i="41" s="1"/>
  <c r="E85" i="41" s="1"/>
  <c r="E17" i="43"/>
  <c r="E17" i="42"/>
  <c r="L8" i="42"/>
  <c r="L8" i="43"/>
  <c r="L81" i="42"/>
  <c r="L47" i="42"/>
  <c r="I13" i="43"/>
  <c r="I13" i="42"/>
  <c r="L70" i="43"/>
  <c r="L36" i="43"/>
  <c r="L12" i="43"/>
  <c r="L12" i="42"/>
  <c r="L7" i="43"/>
  <c r="L7" i="42"/>
  <c r="K72" i="41"/>
  <c r="K38" i="41"/>
  <c r="M16" i="43"/>
  <c r="M82" i="43" s="1"/>
  <c r="L36" i="42"/>
  <c r="L70" i="42"/>
  <c r="L80" i="42"/>
  <c r="L46" i="42"/>
  <c r="K72" i="42"/>
  <c r="K38" i="42"/>
  <c r="K44" i="43"/>
  <c r="K78" i="43"/>
  <c r="H67" i="45"/>
  <c r="H58" i="45"/>
  <c r="G41" i="45"/>
  <c r="H36" i="45" s="1"/>
  <c r="G51" i="45"/>
  <c r="H46" i="45" s="1"/>
  <c r="L71" i="35"/>
  <c r="J14" i="34"/>
  <c r="J43" i="34" s="1"/>
  <c r="J72" i="34"/>
  <c r="K42" i="33"/>
  <c r="K71" i="33"/>
  <c r="O189" i="32"/>
  <c r="R164" i="32"/>
  <c r="R161" i="32"/>
  <c r="K64" i="34"/>
  <c r="K7" i="34"/>
  <c r="L10" i="34"/>
  <c r="L10" i="35"/>
  <c r="L13" i="35"/>
  <c r="L13" i="34"/>
  <c r="L12" i="34"/>
  <c r="L12" i="35"/>
  <c r="L6" i="34"/>
  <c r="L35" i="34" s="1"/>
  <c r="K70" i="34"/>
  <c r="K41" i="34"/>
  <c r="K68" i="34"/>
  <c r="K39" i="34"/>
  <c r="E15" i="33"/>
  <c r="E72" i="33" s="1"/>
  <c r="E15" i="35"/>
  <c r="E72" i="35" s="1"/>
  <c r="E15" i="34"/>
  <c r="E73" i="34" s="1"/>
  <c r="E43" i="33"/>
  <c r="E43" i="35"/>
  <c r="E44" i="34"/>
  <c r="L6" i="35"/>
  <c r="L63" i="35" s="1"/>
  <c r="K67" i="35"/>
  <c r="K38" i="35"/>
  <c r="T187" i="32"/>
  <c r="S187" i="32"/>
  <c r="K37" i="43"/>
  <c r="K41" i="43" s="1"/>
  <c r="K71" i="43"/>
  <c r="K9" i="43"/>
  <c r="K22" i="43" s="1"/>
  <c r="K37" i="42"/>
  <c r="K41" i="42" s="1"/>
  <c r="K71" i="42"/>
  <c r="K9" i="42"/>
  <c r="K22" i="42" s="1"/>
  <c r="R166" i="40"/>
  <c r="S166" i="40" s="1"/>
  <c r="S165" i="40"/>
  <c r="M82" i="41"/>
  <c r="Q189" i="40"/>
  <c r="O180" i="40"/>
  <c r="L8" i="41"/>
  <c r="H79" i="41"/>
  <c r="H45" i="41"/>
  <c r="L186" i="40"/>
  <c r="I13" i="41"/>
  <c r="H42" i="40"/>
  <c r="O185" i="40"/>
  <c r="L12" i="41"/>
  <c r="K44" i="41"/>
  <c r="K78" i="41"/>
  <c r="K7" i="41"/>
  <c r="K9" i="41" s="1"/>
  <c r="K22" i="41" s="1"/>
  <c r="J71" i="41"/>
  <c r="J37" i="41"/>
  <c r="P11" i="40"/>
  <c r="M14" i="41"/>
  <c r="M15" i="41"/>
  <c r="L80" i="41"/>
  <c r="L46" i="41"/>
  <c r="L47" i="41"/>
  <c r="L81" i="41"/>
  <c r="L70" i="41"/>
  <c r="L36" i="41"/>
  <c r="G37" i="40"/>
  <c r="G66" i="40"/>
  <c r="H61" i="40" s="1"/>
  <c r="G57" i="40"/>
  <c r="H52" i="40" s="1"/>
  <c r="G53" i="36"/>
  <c r="H61" i="36"/>
  <c r="H72" i="36"/>
  <c r="G43" i="36"/>
  <c r="K35" i="35"/>
  <c r="K48" i="35" s="1"/>
  <c r="K64" i="35"/>
  <c r="K77" i="35" s="1"/>
  <c r="E41" i="33"/>
  <c r="H70" i="33"/>
  <c r="E71" i="34"/>
  <c r="E42" i="34"/>
  <c r="K42" i="34"/>
  <c r="K71" i="34"/>
  <c r="H71" i="34"/>
  <c r="H42" i="34"/>
  <c r="H12" i="35"/>
  <c r="K12" i="35"/>
  <c r="E12" i="35"/>
  <c r="K69" i="33"/>
  <c r="K40" i="33"/>
  <c r="K38" i="33"/>
  <c r="K67" i="33"/>
  <c r="J35" i="33"/>
  <c r="J48" i="33" s="1"/>
  <c r="J64" i="33"/>
  <c r="J77" i="33" s="1"/>
  <c r="K41" i="33"/>
  <c r="K70" i="33"/>
  <c r="O18" i="32"/>
  <c r="M6" i="34" s="1"/>
  <c r="L10" i="33"/>
  <c r="L6" i="33"/>
  <c r="L12" i="33"/>
  <c r="L13" i="33"/>
  <c r="K63" i="33"/>
  <c r="K7" i="33"/>
  <c r="K20" i="33" s="1"/>
  <c r="K34" i="33"/>
  <c r="K38" i="30"/>
  <c r="K71" i="30"/>
  <c r="K50" i="1"/>
  <c r="M77" i="1"/>
  <c r="M44" i="1"/>
  <c r="K71" i="31"/>
  <c r="K38" i="31"/>
  <c r="K45" i="31"/>
  <c r="K78" i="31"/>
  <c r="S160" i="32"/>
  <c r="H13" i="35" s="1"/>
  <c r="K47" i="1"/>
  <c r="K80" i="1"/>
  <c r="M44" i="30"/>
  <c r="M77" i="30"/>
  <c r="K78" i="30"/>
  <c r="K45" i="30"/>
  <c r="K83" i="31"/>
  <c r="K50" i="31"/>
  <c r="K46" i="1"/>
  <c r="K79" i="1"/>
  <c r="K45" i="1"/>
  <c r="K78" i="1"/>
  <c r="J51" i="31"/>
  <c r="J84" i="31" s="1"/>
  <c r="J51" i="30"/>
  <c r="J84" i="30" s="1"/>
  <c r="L18" i="1"/>
  <c r="L83" i="1" s="1"/>
  <c r="M77" i="31"/>
  <c r="M44" i="31"/>
  <c r="K83" i="30"/>
  <c r="K50" i="30"/>
  <c r="O18" i="25"/>
  <c r="L16" i="31"/>
  <c r="L15" i="31"/>
  <c r="L18" i="31"/>
  <c r="L13" i="31"/>
  <c r="L6" i="31"/>
  <c r="L17" i="31"/>
  <c r="L14" i="31"/>
  <c r="L18" i="30"/>
  <c r="L17" i="30"/>
  <c r="L16" i="30"/>
  <c r="L13" i="30"/>
  <c r="L13" i="1"/>
  <c r="L15" i="30"/>
  <c r="L6" i="30"/>
  <c r="L14" i="30"/>
  <c r="L15" i="1"/>
  <c r="L16" i="1"/>
  <c r="L17" i="1"/>
  <c r="L14" i="1"/>
  <c r="N12" i="1"/>
  <c r="N12" i="31"/>
  <c r="N12" i="30"/>
  <c r="R192" i="32"/>
  <c r="O185" i="32"/>
  <c r="P180" i="32"/>
  <c r="H70" i="32"/>
  <c r="G54" i="32"/>
  <c r="H49" i="32" s="1"/>
  <c r="H51" i="32" s="1"/>
  <c r="G44" i="32"/>
  <c r="H39" i="32" s="1"/>
  <c r="H41" i="32" s="1"/>
  <c r="X164" i="32"/>
  <c r="H61" i="32"/>
  <c r="P181" i="32"/>
  <c r="K49" i="1"/>
  <c r="K82" i="1"/>
  <c r="H82" i="1"/>
  <c r="H49" i="1"/>
  <c r="E49" i="1"/>
  <c r="E82" i="1"/>
  <c r="H16" i="31"/>
  <c r="K16" i="31"/>
  <c r="E16" i="31"/>
  <c r="H80" i="31"/>
  <c r="H47" i="31"/>
  <c r="E47" i="31"/>
  <c r="E80" i="31"/>
  <c r="K80" i="31"/>
  <c r="K47" i="31"/>
  <c r="Z184" i="25"/>
  <c r="Y184" i="25"/>
  <c r="X190" i="25"/>
  <c r="X187" i="25"/>
  <c r="L6" i="1"/>
  <c r="L38" i="1" s="1"/>
  <c r="K38" i="1"/>
  <c r="K71" i="1"/>
  <c r="O194" i="25"/>
  <c r="O178" i="25"/>
  <c r="O191" i="25"/>
  <c r="O177" i="25"/>
  <c r="O192" i="25"/>
  <c r="O193" i="25"/>
  <c r="J51" i="1"/>
  <c r="J84" i="1" s="1"/>
  <c r="I84" i="1"/>
  <c r="R168" i="25"/>
  <c r="S167" i="25"/>
  <c r="M170" i="25"/>
  <c r="N169" i="25"/>
  <c r="N73" i="25"/>
  <c r="O68" i="25" s="1"/>
  <c r="O70" i="25" s="1"/>
  <c r="H64" i="25"/>
  <c r="I59" i="25" s="1"/>
  <c r="I61" i="25" s="1"/>
  <c r="L54" i="25"/>
  <c r="M49" i="25" s="1"/>
  <c r="M51" i="25" s="1"/>
  <c r="M53" i="25" s="1"/>
  <c r="J67" i="66" l="1"/>
  <c r="E66" i="66"/>
  <c r="E68" i="66" s="1"/>
  <c r="E13" i="66"/>
  <c r="E45" i="65"/>
  <c r="E42" i="65"/>
  <c r="E66" i="65"/>
  <c r="E68" i="65" s="1"/>
  <c r="E13" i="65"/>
  <c r="E45" i="66"/>
  <c r="E42" i="66"/>
  <c r="E15" i="46"/>
  <c r="E18" i="46"/>
  <c r="E66" i="46"/>
  <c r="E68" i="46" s="1"/>
  <c r="J41" i="41"/>
  <c r="J55" i="41" s="1"/>
  <c r="M50" i="42"/>
  <c r="M84" i="42" s="1"/>
  <c r="M50" i="43"/>
  <c r="M84" i="43" s="1"/>
  <c r="M84" i="41"/>
  <c r="N16" i="43"/>
  <c r="N40" i="41"/>
  <c r="N39" i="41"/>
  <c r="N50" i="41"/>
  <c r="J75" i="41"/>
  <c r="J89" i="41" s="1"/>
  <c r="M39" i="42"/>
  <c r="M73" i="42" s="1"/>
  <c r="M39" i="43"/>
  <c r="M73" i="43" s="1"/>
  <c r="M73" i="41"/>
  <c r="K75" i="43"/>
  <c r="K89" i="43" s="1"/>
  <c r="K75" i="42"/>
  <c r="K89" i="42" s="1"/>
  <c r="M40" i="42"/>
  <c r="M74" i="42" s="1"/>
  <c r="M40" i="43"/>
  <c r="M74" i="43" s="1"/>
  <c r="M74" i="41"/>
  <c r="M6" i="1"/>
  <c r="M71" i="1" s="1"/>
  <c r="K65" i="34"/>
  <c r="K78" i="34" s="1"/>
  <c r="K20" i="34"/>
  <c r="K40" i="38"/>
  <c r="K68" i="38"/>
  <c r="E14" i="39"/>
  <c r="E14" i="37"/>
  <c r="E14" i="38"/>
  <c r="E69" i="38" s="1"/>
  <c r="M14" i="33"/>
  <c r="M14" i="35" s="1"/>
  <c r="M71" i="35" s="1"/>
  <c r="K14" i="30"/>
  <c r="H14" i="30"/>
  <c r="E14" i="30"/>
  <c r="M40" i="39"/>
  <c r="M68" i="39"/>
  <c r="Q18" i="36"/>
  <c r="N12" i="37"/>
  <c r="N12" i="38"/>
  <c r="N13" i="37"/>
  <c r="N13" i="38"/>
  <c r="N12" i="39"/>
  <c r="N13" i="39"/>
  <c r="H68" i="38"/>
  <c r="H40" i="38"/>
  <c r="E41" i="38"/>
  <c r="E41" i="39"/>
  <c r="E41" i="37"/>
  <c r="M40" i="38"/>
  <c r="M68" i="38"/>
  <c r="E40" i="38"/>
  <c r="E68" i="38"/>
  <c r="W163" i="32"/>
  <c r="X163" i="32" s="1"/>
  <c r="X162" i="32"/>
  <c r="X165" i="25"/>
  <c r="W166" i="25"/>
  <c r="M39" i="38"/>
  <c r="M67" i="38"/>
  <c r="M40" i="37"/>
  <c r="M68" i="37"/>
  <c r="M39" i="39"/>
  <c r="M67" i="39"/>
  <c r="M67" i="37"/>
  <c r="M39" i="37"/>
  <c r="L50" i="1"/>
  <c r="E87" i="41"/>
  <c r="E90" i="41"/>
  <c r="E53" i="42"/>
  <c r="E56" i="42"/>
  <c r="E53" i="43"/>
  <c r="E56" i="43"/>
  <c r="E53" i="41"/>
  <c r="E56" i="41"/>
  <c r="K55" i="42"/>
  <c r="M48" i="43"/>
  <c r="M46" i="43"/>
  <c r="M80" i="43"/>
  <c r="M12" i="43"/>
  <c r="M12" i="42"/>
  <c r="M7" i="43"/>
  <c r="M7" i="42"/>
  <c r="L71" i="43"/>
  <c r="L37" i="43"/>
  <c r="I79" i="42"/>
  <c r="I45" i="42"/>
  <c r="M36" i="42"/>
  <c r="M70" i="42"/>
  <c r="N6" i="42"/>
  <c r="N6" i="43"/>
  <c r="N6" i="41"/>
  <c r="N14" i="42"/>
  <c r="N15" i="42"/>
  <c r="N14" i="43"/>
  <c r="N15" i="43"/>
  <c r="M8" i="42"/>
  <c r="M8" i="43"/>
  <c r="L44" i="42"/>
  <c r="L78" i="42"/>
  <c r="L38" i="42"/>
  <c r="L72" i="42"/>
  <c r="E18" i="41"/>
  <c r="M70" i="43"/>
  <c r="M36" i="43"/>
  <c r="M80" i="42"/>
  <c r="M46" i="42"/>
  <c r="L38" i="41"/>
  <c r="L72" i="41"/>
  <c r="L38" i="43"/>
  <c r="L72" i="43"/>
  <c r="M81" i="43"/>
  <c r="M47" i="43"/>
  <c r="L9" i="43"/>
  <c r="L22" i="43" s="1"/>
  <c r="I79" i="43"/>
  <c r="I45" i="43"/>
  <c r="N16" i="41"/>
  <c r="N48" i="41" s="1"/>
  <c r="M48" i="42"/>
  <c r="L78" i="43"/>
  <c r="L44" i="43"/>
  <c r="E83" i="42"/>
  <c r="E85" i="42" s="1"/>
  <c r="E18" i="42"/>
  <c r="J13" i="43"/>
  <c r="J13" i="42"/>
  <c r="K55" i="43"/>
  <c r="N16" i="42"/>
  <c r="N82" i="42" s="1"/>
  <c r="L9" i="42"/>
  <c r="L22" i="42" s="1"/>
  <c r="L71" i="42"/>
  <c r="L75" i="42" s="1"/>
  <c r="L37" i="42"/>
  <c r="E83" i="43"/>
  <c r="E85" i="43" s="1"/>
  <c r="E18" i="43"/>
  <c r="M81" i="42"/>
  <c r="M47" i="42"/>
  <c r="H48" i="45"/>
  <c r="H60" i="45"/>
  <c r="H61" i="45" s="1"/>
  <c r="I56" i="45" s="1"/>
  <c r="H38" i="45"/>
  <c r="H69" i="45"/>
  <c r="H70" i="45" s="1"/>
  <c r="I65" i="45" s="1"/>
  <c r="K72" i="34"/>
  <c r="K14" i="34"/>
  <c r="K43" i="34" s="1"/>
  <c r="L71" i="33"/>
  <c r="L42" i="33"/>
  <c r="P189" i="32"/>
  <c r="K36" i="34"/>
  <c r="K49" i="34" s="1"/>
  <c r="S161" i="32"/>
  <c r="R162" i="32"/>
  <c r="L7" i="34"/>
  <c r="L64" i="34"/>
  <c r="L7" i="35"/>
  <c r="L34" i="35"/>
  <c r="L40" i="35"/>
  <c r="L69" i="35"/>
  <c r="L67" i="35"/>
  <c r="L38" i="35"/>
  <c r="L41" i="34"/>
  <c r="L70" i="34"/>
  <c r="L42" i="34"/>
  <c r="L71" i="34"/>
  <c r="L68" i="34"/>
  <c r="L39" i="34"/>
  <c r="M10" i="34"/>
  <c r="M10" i="35"/>
  <c r="M13" i="34"/>
  <c r="M13" i="35"/>
  <c r="M12" i="34"/>
  <c r="M12" i="35"/>
  <c r="M6" i="35"/>
  <c r="M63" i="35" s="1"/>
  <c r="L70" i="35"/>
  <c r="L41" i="35"/>
  <c r="U187" i="32"/>
  <c r="N82" i="43"/>
  <c r="N48" i="43"/>
  <c r="N82" i="41"/>
  <c r="R189" i="40"/>
  <c r="P180" i="40"/>
  <c r="M8" i="41"/>
  <c r="I79" i="41"/>
  <c r="I45" i="41"/>
  <c r="M186" i="40"/>
  <c r="J13" i="41"/>
  <c r="H44" i="40"/>
  <c r="H45" i="40"/>
  <c r="L78" i="41"/>
  <c r="L44" i="41"/>
  <c r="P185" i="40"/>
  <c r="M12" i="41"/>
  <c r="H32" i="40"/>
  <c r="K71" i="41"/>
  <c r="K37" i="41"/>
  <c r="P179" i="40"/>
  <c r="L7" i="41"/>
  <c r="L9" i="41" s="1"/>
  <c r="L22" i="41" s="1"/>
  <c r="M70" i="41"/>
  <c r="M36" i="41"/>
  <c r="M80" i="41"/>
  <c r="M46" i="41"/>
  <c r="Q11" i="40"/>
  <c r="N14" i="41"/>
  <c r="N15" i="41"/>
  <c r="M47" i="41"/>
  <c r="M81" i="41"/>
  <c r="H54" i="40"/>
  <c r="H63" i="40"/>
  <c r="H63" i="36"/>
  <c r="H64" i="36" s="1"/>
  <c r="I59" i="36" s="1"/>
  <c r="G44" i="36"/>
  <c r="H39" i="36" s="1"/>
  <c r="H73" i="36"/>
  <c r="I68" i="36" s="1"/>
  <c r="G54" i="36"/>
  <c r="H49" i="36" s="1"/>
  <c r="M35" i="34"/>
  <c r="M64" i="34"/>
  <c r="M7" i="34"/>
  <c r="M20" i="34" s="1"/>
  <c r="K13" i="35"/>
  <c r="E69" i="35"/>
  <c r="E40" i="35"/>
  <c r="H69" i="35"/>
  <c r="H40" i="35"/>
  <c r="K69" i="35"/>
  <c r="K40" i="35"/>
  <c r="L63" i="33"/>
  <c r="L7" i="33"/>
  <c r="L20" i="33" s="1"/>
  <c r="L34" i="33"/>
  <c r="L38" i="33"/>
  <c r="L67" i="33"/>
  <c r="L40" i="33"/>
  <c r="L69" i="33"/>
  <c r="K35" i="33"/>
  <c r="K48" i="33" s="1"/>
  <c r="K64" i="33"/>
  <c r="K77" i="33" s="1"/>
  <c r="L70" i="33"/>
  <c r="L41" i="33"/>
  <c r="P18" i="32"/>
  <c r="N13" i="35" s="1"/>
  <c r="M10" i="33"/>
  <c r="M12" i="33"/>
  <c r="M13" i="33"/>
  <c r="M6" i="33"/>
  <c r="N44" i="30"/>
  <c r="N77" i="30"/>
  <c r="L82" i="31"/>
  <c r="L49" i="31"/>
  <c r="K51" i="31"/>
  <c r="K84" i="31" s="1"/>
  <c r="K51" i="30"/>
  <c r="K84" i="30" s="1"/>
  <c r="M18" i="1"/>
  <c r="M50" i="1" s="1"/>
  <c r="N77" i="31"/>
  <c r="N44" i="31"/>
  <c r="L81" i="1"/>
  <c r="L48" i="1"/>
  <c r="L80" i="30"/>
  <c r="L47" i="30"/>
  <c r="L82" i="30"/>
  <c r="L49" i="30"/>
  <c r="L71" i="31"/>
  <c r="L38" i="31"/>
  <c r="L48" i="31"/>
  <c r="L81" i="31"/>
  <c r="L71" i="30"/>
  <c r="L38" i="30"/>
  <c r="L80" i="31"/>
  <c r="L47" i="31"/>
  <c r="N77" i="1"/>
  <c r="N44" i="1"/>
  <c r="L47" i="1"/>
  <c r="L80" i="1"/>
  <c r="L78" i="1"/>
  <c r="L45" i="1"/>
  <c r="L83" i="30"/>
  <c r="L50" i="30"/>
  <c r="L45" i="31"/>
  <c r="L78" i="31"/>
  <c r="P18" i="25"/>
  <c r="M15" i="31"/>
  <c r="M6" i="31"/>
  <c r="M17" i="31"/>
  <c r="M14" i="31"/>
  <c r="M16" i="31"/>
  <c r="M16" i="30"/>
  <c r="M13" i="30"/>
  <c r="M15" i="30"/>
  <c r="M6" i="30"/>
  <c r="M17" i="30"/>
  <c r="M16" i="1"/>
  <c r="M13" i="1"/>
  <c r="M18" i="31"/>
  <c r="M13" i="31"/>
  <c r="M18" i="30"/>
  <c r="M14" i="30"/>
  <c r="M15" i="1"/>
  <c r="O12" i="30"/>
  <c r="O12" i="31"/>
  <c r="O12" i="1"/>
  <c r="M17" i="1"/>
  <c r="M14" i="1"/>
  <c r="L82" i="1"/>
  <c r="L49" i="1"/>
  <c r="L81" i="30"/>
  <c r="L48" i="30"/>
  <c r="L79" i="1"/>
  <c r="L46" i="1"/>
  <c r="L79" i="30"/>
  <c r="L46" i="30"/>
  <c r="L78" i="30"/>
  <c r="L45" i="30"/>
  <c r="L79" i="31"/>
  <c r="L46" i="31"/>
  <c r="L83" i="31"/>
  <c r="L50" i="31"/>
  <c r="Q180" i="32"/>
  <c r="S192" i="32"/>
  <c r="Q181" i="32"/>
  <c r="P185" i="32"/>
  <c r="H63" i="32"/>
  <c r="H64" i="32" s="1"/>
  <c r="I59" i="32" s="1"/>
  <c r="H72" i="32"/>
  <c r="H73" i="32" s="1"/>
  <c r="I68" i="32" s="1"/>
  <c r="K17" i="31"/>
  <c r="H17" i="31"/>
  <c r="E17" i="31"/>
  <c r="E48" i="31"/>
  <c r="E81" i="31"/>
  <c r="K48" i="31"/>
  <c r="K81" i="31"/>
  <c r="H48" i="31"/>
  <c r="H81" i="31"/>
  <c r="L71" i="1"/>
  <c r="AA184" i="25"/>
  <c r="Z190" i="25"/>
  <c r="Y190" i="25"/>
  <c r="Z187" i="25"/>
  <c r="Y187" i="25"/>
  <c r="M38" i="1"/>
  <c r="P193" i="25"/>
  <c r="P178" i="25"/>
  <c r="P177" i="25"/>
  <c r="P192" i="25"/>
  <c r="P191" i="25"/>
  <c r="P194" i="25"/>
  <c r="K51" i="1"/>
  <c r="K84" i="1" s="1"/>
  <c r="N170" i="25"/>
  <c r="M171" i="25"/>
  <c r="N171" i="25" s="1"/>
  <c r="R169" i="25"/>
  <c r="S168" i="25"/>
  <c r="I63" i="25"/>
  <c r="M54" i="25"/>
  <c r="N49" i="25" s="1"/>
  <c r="N51" i="25" s="1"/>
  <c r="N53" i="25" s="1"/>
  <c r="L41" i="43" l="1"/>
  <c r="E73" i="65"/>
  <c r="E70" i="65"/>
  <c r="E18" i="66"/>
  <c r="E15" i="66"/>
  <c r="E18" i="65"/>
  <c r="E15" i="65"/>
  <c r="E73" i="66"/>
  <c r="E70" i="66"/>
  <c r="E73" i="46"/>
  <c r="E42" i="46"/>
  <c r="E45" i="46"/>
  <c r="N50" i="42"/>
  <c r="N84" i="42" s="1"/>
  <c r="N50" i="43"/>
  <c r="N84" i="43" s="1"/>
  <c r="N84" i="41"/>
  <c r="N73" i="41"/>
  <c r="N39" i="42"/>
  <c r="N73" i="42" s="1"/>
  <c r="N39" i="43"/>
  <c r="N73" i="43" s="1"/>
  <c r="K55" i="41"/>
  <c r="K41" i="41"/>
  <c r="N74" i="41"/>
  <c r="N40" i="43"/>
  <c r="N74" i="43" s="1"/>
  <c r="N40" i="42"/>
  <c r="N74" i="42" s="1"/>
  <c r="L41" i="42"/>
  <c r="L55" i="42" s="1"/>
  <c r="O40" i="41"/>
  <c r="O39" i="41"/>
  <c r="O50" i="41"/>
  <c r="K75" i="41"/>
  <c r="K89" i="41" s="1"/>
  <c r="L89" i="42"/>
  <c r="L89" i="43"/>
  <c r="L75" i="43"/>
  <c r="N48" i="42"/>
  <c r="M42" i="35"/>
  <c r="N68" i="39"/>
  <c r="N40" i="39"/>
  <c r="N67" i="38"/>
  <c r="N39" i="38"/>
  <c r="E79" i="30"/>
  <c r="E46" i="30"/>
  <c r="E69" i="39"/>
  <c r="M83" i="1"/>
  <c r="X166" i="25"/>
  <c r="N16" i="30" s="1"/>
  <c r="W167" i="25"/>
  <c r="N67" i="39"/>
  <c r="N39" i="39"/>
  <c r="N39" i="37"/>
  <c r="N67" i="37"/>
  <c r="H79" i="30"/>
  <c r="H46" i="30"/>
  <c r="L65" i="34"/>
  <c r="L78" i="34" s="1"/>
  <c r="L20" i="34"/>
  <c r="N17" i="31"/>
  <c r="N82" i="31" s="1"/>
  <c r="N14" i="33"/>
  <c r="N14" i="35" s="1"/>
  <c r="N71" i="35" s="1"/>
  <c r="K15" i="30"/>
  <c r="E15" i="30"/>
  <c r="H15" i="30"/>
  <c r="N40" i="38"/>
  <c r="N68" i="38"/>
  <c r="R18" i="36"/>
  <c r="O13" i="38"/>
  <c r="O13" i="37"/>
  <c r="O13" i="39"/>
  <c r="O12" i="37"/>
  <c r="O12" i="39"/>
  <c r="O12" i="38"/>
  <c r="K79" i="30"/>
  <c r="K46" i="30"/>
  <c r="L35" i="35"/>
  <c r="L48" i="35" s="1"/>
  <c r="L20" i="35"/>
  <c r="N40" i="37"/>
  <c r="N68" i="37"/>
  <c r="E69" i="37"/>
  <c r="E87" i="43"/>
  <c r="E90" i="43"/>
  <c r="E87" i="42"/>
  <c r="E90" i="42"/>
  <c r="E20" i="42"/>
  <c r="E23" i="42"/>
  <c r="E20" i="43"/>
  <c r="E23" i="43"/>
  <c r="E20" i="41"/>
  <c r="E23" i="41"/>
  <c r="M9" i="42"/>
  <c r="M22" i="42" s="1"/>
  <c r="L55" i="43"/>
  <c r="M72" i="41"/>
  <c r="M38" i="41"/>
  <c r="N81" i="43"/>
  <c r="N47" i="43"/>
  <c r="M78" i="43"/>
  <c r="M44" i="43"/>
  <c r="K13" i="43"/>
  <c r="K13" i="42"/>
  <c r="N8" i="43"/>
  <c r="N8" i="42"/>
  <c r="N46" i="43"/>
  <c r="N80" i="43"/>
  <c r="N70" i="43"/>
  <c r="N36" i="43"/>
  <c r="M37" i="42"/>
  <c r="M41" i="42" s="1"/>
  <c r="M71" i="42"/>
  <c r="O15" i="43"/>
  <c r="O15" i="42"/>
  <c r="O14" i="42"/>
  <c r="O14" i="43"/>
  <c r="O6" i="42"/>
  <c r="O6" i="43"/>
  <c r="O6" i="41"/>
  <c r="O16" i="41"/>
  <c r="O82" i="41" s="1"/>
  <c r="J45" i="42"/>
  <c r="J79" i="42"/>
  <c r="M38" i="43"/>
  <c r="M72" i="43"/>
  <c r="N81" i="42"/>
  <c r="N47" i="42"/>
  <c r="N36" i="42"/>
  <c r="N70" i="42"/>
  <c r="M71" i="43"/>
  <c r="M37" i="43"/>
  <c r="M41" i="43" s="1"/>
  <c r="O16" i="42"/>
  <c r="O48" i="42" s="1"/>
  <c r="N12" i="43"/>
  <c r="N12" i="42"/>
  <c r="O16" i="43"/>
  <c r="O82" i="43" s="1"/>
  <c r="J45" i="43"/>
  <c r="J79" i="43"/>
  <c r="M9" i="43"/>
  <c r="M22" i="43" s="1"/>
  <c r="M72" i="42"/>
  <c r="M38" i="42"/>
  <c r="N46" i="42"/>
  <c r="N80" i="42"/>
  <c r="M78" i="42"/>
  <c r="M44" i="42"/>
  <c r="I67" i="45"/>
  <c r="I58" i="45"/>
  <c r="H50" i="45"/>
  <c r="H40" i="45"/>
  <c r="L64" i="35"/>
  <c r="L77" i="35" s="1"/>
  <c r="L72" i="34"/>
  <c r="L14" i="34"/>
  <c r="L43" i="34" s="1"/>
  <c r="L36" i="34"/>
  <c r="L49" i="34" s="1"/>
  <c r="Q189" i="32"/>
  <c r="M42" i="33"/>
  <c r="M71" i="33"/>
  <c r="R163" i="32"/>
  <c r="S163" i="32" s="1"/>
  <c r="S162" i="32"/>
  <c r="M7" i="35"/>
  <c r="M70" i="35"/>
  <c r="M41" i="35"/>
  <c r="M34" i="35"/>
  <c r="M42" i="34"/>
  <c r="M71" i="34"/>
  <c r="M68" i="34"/>
  <c r="M39" i="34"/>
  <c r="N10" i="35"/>
  <c r="N10" i="34"/>
  <c r="N6" i="34"/>
  <c r="N35" i="34" s="1"/>
  <c r="N12" i="34"/>
  <c r="N13" i="34"/>
  <c r="N12" i="35"/>
  <c r="M40" i="35"/>
  <c r="M69" i="35"/>
  <c r="N6" i="35"/>
  <c r="N7" i="35" s="1"/>
  <c r="N20" i="35" s="1"/>
  <c r="M41" i="34"/>
  <c r="M70" i="34"/>
  <c r="M38" i="35"/>
  <c r="M67" i="35"/>
  <c r="W187" i="32"/>
  <c r="V187" i="32"/>
  <c r="P16" i="41"/>
  <c r="P48" i="41" s="1"/>
  <c r="P16" i="43"/>
  <c r="P16" i="42"/>
  <c r="N7" i="42"/>
  <c r="N7" i="43"/>
  <c r="Q180" i="40"/>
  <c r="N8" i="41"/>
  <c r="H46" i="40"/>
  <c r="J45" i="41"/>
  <c r="J79" i="41"/>
  <c r="N186" i="40"/>
  <c r="K13" i="41"/>
  <c r="H55" i="40"/>
  <c r="H56" i="40" s="1"/>
  <c r="H57" i="40" s="1"/>
  <c r="I52" i="40" s="1"/>
  <c r="H34" i="40"/>
  <c r="Q185" i="40"/>
  <c r="N12" i="41"/>
  <c r="M78" i="41"/>
  <c r="M44" i="41"/>
  <c r="M7" i="41"/>
  <c r="M9" i="41" s="1"/>
  <c r="M22" i="41" s="1"/>
  <c r="L71" i="41"/>
  <c r="L37" i="41"/>
  <c r="N80" i="41"/>
  <c r="N46" i="41"/>
  <c r="N70" i="41"/>
  <c r="N36" i="41"/>
  <c r="O15" i="41"/>
  <c r="O14" i="41"/>
  <c r="N81" i="41"/>
  <c r="N47" i="41"/>
  <c r="H41" i="36"/>
  <c r="I70" i="36"/>
  <c r="H51" i="36"/>
  <c r="I61" i="36"/>
  <c r="M36" i="34"/>
  <c r="M49" i="34" s="1"/>
  <c r="M65" i="34"/>
  <c r="M78" i="34" s="1"/>
  <c r="N41" i="35"/>
  <c r="N70" i="35"/>
  <c r="E41" i="35"/>
  <c r="E70" i="35"/>
  <c r="K70" i="35"/>
  <c r="K41" i="35"/>
  <c r="H70" i="35"/>
  <c r="H41" i="35"/>
  <c r="M70" i="33"/>
  <c r="M41" i="33"/>
  <c r="M69" i="33"/>
  <c r="M40" i="33"/>
  <c r="L35" i="33"/>
  <c r="L48" i="33" s="1"/>
  <c r="L64" i="33"/>
  <c r="L77" i="33" s="1"/>
  <c r="M7" i="33"/>
  <c r="M20" i="33" s="1"/>
  <c r="M34" i="33"/>
  <c r="M63" i="33"/>
  <c r="Q18" i="32"/>
  <c r="O6" i="34" s="1"/>
  <c r="N6" i="33"/>
  <c r="N10" i="33"/>
  <c r="N12" i="33"/>
  <c r="N13" i="33"/>
  <c r="M67" i="33"/>
  <c r="M38" i="33"/>
  <c r="O77" i="30"/>
  <c r="O44" i="30"/>
  <c r="M82" i="30"/>
  <c r="M49" i="30"/>
  <c r="M81" i="30"/>
  <c r="M48" i="30"/>
  <c r="M49" i="1"/>
  <c r="M82" i="1"/>
  <c r="M47" i="1"/>
  <c r="M80" i="1"/>
  <c r="M83" i="31"/>
  <c r="M50" i="31"/>
  <c r="M38" i="30"/>
  <c r="M71" i="30"/>
  <c r="M81" i="31"/>
  <c r="M48" i="31"/>
  <c r="M47" i="31"/>
  <c r="M80" i="31"/>
  <c r="M79" i="1"/>
  <c r="M46" i="1"/>
  <c r="M38" i="31"/>
  <c r="M71" i="31"/>
  <c r="L51" i="31"/>
  <c r="L84" i="31" s="1"/>
  <c r="L51" i="30"/>
  <c r="L84" i="30" s="1"/>
  <c r="O77" i="1"/>
  <c r="O44" i="1"/>
  <c r="M79" i="30"/>
  <c r="M46" i="30"/>
  <c r="M78" i="1"/>
  <c r="M45" i="1"/>
  <c r="M80" i="30"/>
  <c r="M47" i="30"/>
  <c r="M79" i="31"/>
  <c r="M46" i="31"/>
  <c r="Q18" i="25"/>
  <c r="N18" i="31"/>
  <c r="N13" i="31"/>
  <c r="N13" i="1"/>
  <c r="N18" i="30"/>
  <c r="N13" i="30"/>
  <c r="N6" i="31"/>
  <c r="N6" i="30"/>
  <c r="P12" i="30"/>
  <c r="P12" i="1"/>
  <c r="P12" i="31"/>
  <c r="N14" i="1"/>
  <c r="N14" i="31"/>
  <c r="N14" i="30"/>
  <c r="N15" i="1"/>
  <c r="N16" i="1"/>
  <c r="N15" i="31"/>
  <c r="N15" i="30"/>
  <c r="N16" i="31"/>
  <c r="N17" i="1"/>
  <c r="N164" i="32"/>
  <c r="M78" i="31"/>
  <c r="M45" i="31"/>
  <c r="N18" i="1"/>
  <c r="N83" i="1" s="1"/>
  <c r="O77" i="31"/>
  <c r="O44" i="31"/>
  <c r="M83" i="30"/>
  <c r="M50" i="30"/>
  <c r="M81" i="1"/>
  <c r="M48" i="1"/>
  <c r="M78" i="30"/>
  <c r="M45" i="30"/>
  <c r="M82" i="31"/>
  <c r="M49" i="31"/>
  <c r="I61" i="32"/>
  <c r="Q185" i="32"/>
  <c r="H53" i="32"/>
  <c r="H43" i="32"/>
  <c r="R180" i="32"/>
  <c r="R181" i="32"/>
  <c r="T192" i="32"/>
  <c r="I70" i="32"/>
  <c r="E82" i="31"/>
  <c r="E49" i="31"/>
  <c r="K82" i="31"/>
  <c r="K49" i="31"/>
  <c r="H82" i="31"/>
  <c r="H49" i="31"/>
  <c r="AB184" i="25"/>
  <c r="AA190" i="25"/>
  <c r="N6" i="1"/>
  <c r="N71" i="1" s="1"/>
  <c r="AA187" i="25"/>
  <c r="Q194" i="25"/>
  <c r="Q178" i="25"/>
  <c r="Q191" i="25"/>
  <c r="Q177" i="25"/>
  <c r="Q192" i="25"/>
  <c r="Q193" i="25"/>
  <c r="L51" i="1"/>
  <c r="L84" i="1" s="1"/>
  <c r="R170" i="25"/>
  <c r="S169" i="25"/>
  <c r="O72" i="25"/>
  <c r="O73" i="25" s="1"/>
  <c r="P68" i="25" s="1"/>
  <c r="P70" i="25" s="1"/>
  <c r="I64" i="25"/>
  <c r="J59" i="25" s="1"/>
  <c r="J61" i="25" s="1"/>
  <c r="N54" i="25"/>
  <c r="O49" i="25" s="1"/>
  <c r="O51" i="25" s="1"/>
  <c r="O53" i="25" s="1"/>
  <c r="M75" i="43" l="1"/>
  <c r="F38" i="66"/>
  <c r="F40" i="66" s="1"/>
  <c r="F38" i="65"/>
  <c r="F40" i="65" s="1"/>
  <c r="F12" i="65"/>
  <c r="F12" i="66"/>
  <c r="E70" i="46"/>
  <c r="L41" i="41"/>
  <c r="L55" i="41" s="1"/>
  <c r="O73" i="41"/>
  <c r="O39" i="42"/>
  <c r="O73" i="42" s="1"/>
  <c r="O39" i="43"/>
  <c r="O73" i="43" s="1"/>
  <c r="L75" i="41"/>
  <c r="L89" i="41" s="1"/>
  <c r="O40" i="42"/>
  <c r="O74" i="42" s="1"/>
  <c r="O40" i="43"/>
  <c r="O74" i="43" s="1"/>
  <c r="O74" i="41"/>
  <c r="M89" i="43"/>
  <c r="O50" i="43"/>
  <c r="O84" i="43" s="1"/>
  <c r="O50" i="42"/>
  <c r="O84" i="42" s="1"/>
  <c r="O84" i="41"/>
  <c r="M75" i="42"/>
  <c r="M89" i="42" s="1"/>
  <c r="N49" i="31"/>
  <c r="N42" i="35"/>
  <c r="O39" i="39"/>
  <c r="O67" i="39"/>
  <c r="O68" i="38"/>
  <c r="O40" i="38"/>
  <c r="O18" i="1"/>
  <c r="O83" i="1" s="1"/>
  <c r="O67" i="37"/>
  <c r="O39" i="37"/>
  <c r="S18" i="36"/>
  <c r="P13" i="38"/>
  <c r="P13" i="39"/>
  <c r="P13" i="37"/>
  <c r="P12" i="37"/>
  <c r="P12" i="39"/>
  <c r="P12" i="38"/>
  <c r="K80" i="30"/>
  <c r="K47" i="30"/>
  <c r="O14" i="33"/>
  <c r="O14" i="35" s="1"/>
  <c r="O42" i="35" s="1"/>
  <c r="O68" i="39"/>
  <c r="O40" i="39"/>
  <c r="H80" i="30"/>
  <c r="H47" i="30"/>
  <c r="W168" i="25"/>
  <c r="X167" i="25"/>
  <c r="M64" i="35"/>
  <c r="M77" i="35" s="1"/>
  <c r="M20" i="35"/>
  <c r="O39" i="38"/>
  <c r="O67" i="38"/>
  <c r="O68" i="37"/>
  <c r="O40" i="37"/>
  <c r="E80" i="30"/>
  <c r="E47" i="30"/>
  <c r="H16" i="30"/>
  <c r="E16" i="30"/>
  <c r="K16" i="30"/>
  <c r="N38" i="1"/>
  <c r="M55" i="42"/>
  <c r="O48" i="41"/>
  <c r="M55" i="43"/>
  <c r="O48" i="43"/>
  <c r="O12" i="43"/>
  <c r="O12" i="42"/>
  <c r="O7" i="42"/>
  <c r="O7" i="43"/>
  <c r="O46" i="43"/>
  <c r="O80" i="43"/>
  <c r="K79" i="42"/>
  <c r="K45" i="42"/>
  <c r="F49" i="41"/>
  <c r="F51" i="41" s="1"/>
  <c r="F49" i="43"/>
  <c r="F51" i="43" s="1"/>
  <c r="F49" i="42"/>
  <c r="F51" i="42" s="1"/>
  <c r="O70" i="42"/>
  <c r="O36" i="42"/>
  <c r="N38" i="41"/>
  <c r="N72" i="41"/>
  <c r="O8" i="43"/>
  <c r="O8" i="42"/>
  <c r="O82" i="42"/>
  <c r="N44" i="42"/>
  <c r="N78" i="42"/>
  <c r="O80" i="42"/>
  <c r="O46" i="42"/>
  <c r="K45" i="43"/>
  <c r="K79" i="43"/>
  <c r="O47" i="43"/>
  <c r="O81" i="43"/>
  <c r="N38" i="43"/>
  <c r="N41" i="43" s="1"/>
  <c r="N72" i="43"/>
  <c r="L13" i="43"/>
  <c r="L13" i="42"/>
  <c r="N44" i="43"/>
  <c r="N78" i="43"/>
  <c r="O36" i="43"/>
  <c r="O70" i="43"/>
  <c r="O47" i="42"/>
  <c r="O81" i="42"/>
  <c r="N38" i="42"/>
  <c r="N72" i="42"/>
  <c r="H51" i="45"/>
  <c r="I46" i="45" s="1"/>
  <c r="I48" i="45" s="1"/>
  <c r="F38" i="46"/>
  <c r="F40" i="46" s="1"/>
  <c r="H41" i="45"/>
  <c r="I36" i="45" s="1"/>
  <c r="I38" i="45" s="1"/>
  <c r="I40" i="45" s="1"/>
  <c r="F12" i="46"/>
  <c r="I60" i="45"/>
  <c r="I61" i="45" s="1"/>
  <c r="J56" i="45" s="1"/>
  <c r="I69" i="45"/>
  <c r="I70" i="45" s="1"/>
  <c r="J65" i="45" s="1"/>
  <c r="P82" i="41"/>
  <c r="M14" i="34"/>
  <c r="M43" i="34" s="1"/>
  <c r="M72" i="34"/>
  <c r="O71" i="35"/>
  <c r="N7" i="34"/>
  <c r="N64" i="34"/>
  <c r="N71" i="33"/>
  <c r="N42" i="33"/>
  <c r="R189" i="32"/>
  <c r="M35" i="35"/>
  <c r="M48" i="35" s="1"/>
  <c r="N63" i="35"/>
  <c r="N34" i="35"/>
  <c r="N41" i="34"/>
  <c r="N70" i="34"/>
  <c r="N67" i="35"/>
  <c r="N38" i="35"/>
  <c r="F43" i="33"/>
  <c r="F43" i="35"/>
  <c r="F44" i="34"/>
  <c r="O10" i="35"/>
  <c r="O10" i="34"/>
  <c r="O13" i="35"/>
  <c r="O13" i="34"/>
  <c r="O12" i="34"/>
  <c r="O12" i="35"/>
  <c r="O6" i="35"/>
  <c r="O34" i="35" s="1"/>
  <c r="N69" i="35"/>
  <c r="N40" i="35"/>
  <c r="F15" i="35"/>
  <c r="F15" i="34"/>
  <c r="N71" i="34"/>
  <c r="N42" i="34"/>
  <c r="N68" i="34"/>
  <c r="N39" i="34"/>
  <c r="X187" i="32"/>
  <c r="P82" i="42"/>
  <c r="P48" i="42"/>
  <c r="P82" i="43"/>
  <c r="P48" i="43"/>
  <c r="N37" i="43"/>
  <c r="N71" i="43"/>
  <c r="N75" i="43" s="1"/>
  <c r="N9" i="43"/>
  <c r="N22" i="43" s="1"/>
  <c r="N37" i="42"/>
  <c r="N71" i="42"/>
  <c r="N9" i="42"/>
  <c r="N22" i="42" s="1"/>
  <c r="H47" i="40"/>
  <c r="I42" i="40" s="1"/>
  <c r="I44" i="40" s="1"/>
  <c r="R180" i="40"/>
  <c r="O8" i="41"/>
  <c r="K79" i="41"/>
  <c r="K45" i="41"/>
  <c r="H36" i="40"/>
  <c r="O186" i="40"/>
  <c r="L13" i="41"/>
  <c r="H64" i="40"/>
  <c r="N78" i="41"/>
  <c r="N44" i="41"/>
  <c r="R185" i="40"/>
  <c r="O12" i="41"/>
  <c r="N7" i="41"/>
  <c r="N9" i="41" s="1"/>
  <c r="N22" i="41" s="1"/>
  <c r="M37" i="41"/>
  <c r="M71" i="41"/>
  <c r="O46" i="41"/>
  <c r="O80" i="41"/>
  <c r="O70" i="41"/>
  <c r="O36" i="41"/>
  <c r="O47" i="41"/>
  <c r="O81" i="41"/>
  <c r="I54" i="40"/>
  <c r="I72" i="36"/>
  <c r="H43" i="36"/>
  <c r="I63" i="36"/>
  <c r="I64" i="36" s="1"/>
  <c r="J59" i="36" s="1"/>
  <c r="H53" i="36"/>
  <c r="O7" i="34"/>
  <c r="O20" i="34" s="1"/>
  <c r="O35" i="34"/>
  <c r="O64" i="34"/>
  <c r="N64" i="35"/>
  <c r="N77" i="35" s="1"/>
  <c r="N35" i="35"/>
  <c r="N48" i="35" s="1"/>
  <c r="N63" i="33"/>
  <c r="N7" i="33"/>
  <c r="N20" i="33" s="1"/>
  <c r="N34" i="33"/>
  <c r="N41" i="33"/>
  <c r="N70" i="33"/>
  <c r="N67" i="33"/>
  <c r="N38" i="33"/>
  <c r="M35" i="33"/>
  <c r="M48" i="33" s="1"/>
  <c r="M64" i="33"/>
  <c r="M77" i="33" s="1"/>
  <c r="R18" i="32"/>
  <c r="O13" i="33"/>
  <c r="O6" i="33"/>
  <c r="O10" i="33"/>
  <c r="O12" i="33"/>
  <c r="N40" i="33"/>
  <c r="N69" i="33"/>
  <c r="H44" i="32"/>
  <c r="I39" i="32" s="1"/>
  <c r="I41" i="32" s="1"/>
  <c r="F15" i="33"/>
  <c r="N50" i="1"/>
  <c r="N46" i="30"/>
  <c r="N79" i="30"/>
  <c r="P44" i="1"/>
  <c r="P77" i="1"/>
  <c r="N78" i="30"/>
  <c r="N45" i="30"/>
  <c r="N49" i="1"/>
  <c r="N82" i="1"/>
  <c r="N80" i="31"/>
  <c r="N47" i="31"/>
  <c r="N79" i="31"/>
  <c r="N46" i="31"/>
  <c r="P77" i="30"/>
  <c r="P44" i="30"/>
  <c r="N83" i="30"/>
  <c r="N50" i="30"/>
  <c r="R18" i="25"/>
  <c r="O18" i="31"/>
  <c r="O17" i="31"/>
  <c r="O14" i="31"/>
  <c r="O16" i="31"/>
  <c r="O13" i="31"/>
  <c r="O15" i="31"/>
  <c r="O15" i="30"/>
  <c r="O6" i="30"/>
  <c r="O15" i="1"/>
  <c r="O16" i="1"/>
  <c r="O13" i="1"/>
  <c r="O18" i="30"/>
  <c r="O14" i="30"/>
  <c r="O16" i="30"/>
  <c r="O13" i="30"/>
  <c r="O6" i="31"/>
  <c r="O17" i="30"/>
  <c r="O17" i="1"/>
  <c r="O14" i="1"/>
  <c r="Q12" i="31"/>
  <c r="Q12" i="30"/>
  <c r="Q12" i="1"/>
  <c r="M51" i="30"/>
  <c r="M84" i="30" s="1"/>
  <c r="M51" i="31"/>
  <c r="M84" i="31" s="1"/>
  <c r="N50" i="31"/>
  <c r="N83" i="31"/>
  <c r="N48" i="30"/>
  <c r="N81" i="30"/>
  <c r="N48" i="1"/>
  <c r="N81" i="1"/>
  <c r="N79" i="1"/>
  <c r="N46" i="1"/>
  <c r="N71" i="30"/>
  <c r="N38" i="30"/>
  <c r="N78" i="1"/>
  <c r="N45" i="1"/>
  <c r="N47" i="30"/>
  <c r="N80" i="30"/>
  <c r="O6" i="1"/>
  <c r="O71" i="1" s="1"/>
  <c r="N81" i="31"/>
  <c r="N48" i="31"/>
  <c r="N80" i="1"/>
  <c r="N47" i="1"/>
  <c r="P77" i="31"/>
  <c r="P44" i="31"/>
  <c r="N38" i="31"/>
  <c r="N71" i="31"/>
  <c r="N45" i="31"/>
  <c r="N78" i="31"/>
  <c r="I72" i="32"/>
  <c r="I73" i="32" s="1"/>
  <c r="J68" i="32" s="1"/>
  <c r="S181" i="32"/>
  <c r="I63" i="32"/>
  <c r="I64" i="32" s="1"/>
  <c r="J59" i="32" s="1"/>
  <c r="R185" i="32"/>
  <c r="U192" i="32"/>
  <c r="S180" i="32"/>
  <c r="H54" i="32"/>
  <c r="I49" i="32" s="1"/>
  <c r="I51" i="32" s="1"/>
  <c r="AB190" i="25"/>
  <c r="AB187" i="25"/>
  <c r="R193" i="25"/>
  <c r="R177" i="25"/>
  <c r="R178" i="25"/>
  <c r="R192" i="25"/>
  <c r="R191" i="25"/>
  <c r="R194" i="25"/>
  <c r="M51" i="1"/>
  <c r="M84" i="1" s="1"/>
  <c r="R171" i="25"/>
  <c r="S171" i="25" s="1"/>
  <c r="S170" i="25"/>
  <c r="J63" i="25"/>
  <c r="O54" i="25"/>
  <c r="P49" i="25" s="1"/>
  <c r="P51" i="25" s="1"/>
  <c r="P53" i="25" s="1"/>
  <c r="N41" i="42" l="1"/>
  <c r="G12" i="65"/>
  <c r="G12" i="66"/>
  <c r="F66" i="66"/>
  <c r="F68" i="66" s="1"/>
  <c r="F13" i="66"/>
  <c r="F66" i="65"/>
  <c r="F68" i="65" s="1"/>
  <c r="F13" i="65"/>
  <c r="F45" i="66"/>
  <c r="F42" i="66"/>
  <c r="F45" i="65"/>
  <c r="F42" i="65"/>
  <c r="N89" i="43"/>
  <c r="M75" i="41"/>
  <c r="M89" i="41" s="1"/>
  <c r="M41" i="41"/>
  <c r="M55" i="41" s="1"/>
  <c r="N75" i="42"/>
  <c r="N89" i="42" s="1"/>
  <c r="N55" i="42"/>
  <c r="O50" i="1"/>
  <c r="H44" i="36"/>
  <c r="I39" i="36" s="1"/>
  <c r="I41" i="36" s="1"/>
  <c r="F14" i="38"/>
  <c r="F14" i="37"/>
  <c r="F14" i="39"/>
  <c r="P39" i="39"/>
  <c r="P67" i="39"/>
  <c r="P40" i="38"/>
  <c r="P68" i="38"/>
  <c r="K48" i="30"/>
  <c r="K81" i="30"/>
  <c r="E17" i="30"/>
  <c r="H17" i="30"/>
  <c r="K17" i="30"/>
  <c r="N17" i="30"/>
  <c r="P67" i="37"/>
  <c r="P39" i="37"/>
  <c r="T18" i="36"/>
  <c r="Q12" i="37"/>
  <c r="Q13" i="38"/>
  <c r="Q12" i="38"/>
  <c r="Q13" i="37"/>
  <c r="Q12" i="39"/>
  <c r="Q13" i="39"/>
  <c r="F41" i="38"/>
  <c r="F41" i="39"/>
  <c r="F41" i="37"/>
  <c r="E81" i="30"/>
  <c r="E48" i="30"/>
  <c r="W169" i="25"/>
  <c r="X168" i="25"/>
  <c r="P40" i="37"/>
  <c r="P68" i="37"/>
  <c r="P14" i="33"/>
  <c r="P14" i="35" s="1"/>
  <c r="P71" i="35" s="1"/>
  <c r="N65" i="34"/>
  <c r="N78" i="34" s="1"/>
  <c r="N20" i="34"/>
  <c r="H81" i="30"/>
  <c r="H48" i="30"/>
  <c r="P39" i="38"/>
  <c r="P67" i="38"/>
  <c r="P40" i="39"/>
  <c r="P68" i="39"/>
  <c r="O38" i="1"/>
  <c r="F53" i="42"/>
  <c r="F56" i="42"/>
  <c r="F53" i="43"/>
  <c r="F56" i="43"/>
  <c r="F53" i="41"/>
  <c r="F56" i="41"/>
  <c r="O9" i="42"/>
  <c r="O22" i="42" s="1"/>
  <c r="O9" i="43"/>
  <c r="O22" i="43" s="1"/>
  <c r="P12" i="41"/>
  <c r="P44" i="41" s="1"/>
  <c r="P12" i="43"/>
  <c r="P12" i="42"/>
  <c r="P7" i="43"/>
  <c r="P7" i="42"/>
  <c r="L79" i="43"/>
  <c r="L45" i="43"/>
  <c r="O72" i="42"/>
  <c r="O38" i="42"/>
  <c r="O78" i="42"/>
  <c r="O44" i="42"/>
  <c r="F17" i="43"/>
  <c r="F17" i="42"/>
  <c r="P8" i="41"/>
  <c r="P8" i="42"/>
  <c r="P8" i="43"/>
  <c r="O71" i="43"/>
  <c r="O75" i="43" s="1"/>
  <c r="O37" i="43"/>
  <c r="L45" i="42"/>
  <c r="L79" i="42"/>
  <c r="O71" i="42"/>
  <c r="O37" i="42"/>
  <c r="O41" i="42" s="1"/>
  <c r="M13" i="43"/>
  <c r="M13" i="42"/>
  <c r="O72" i="41"/>
  <c r="O38" i="41"/>
  <c r="N55" i="43"/>
  <c r="O72" i="43"/>
  <c r="O38" i="43"/>
  <c r="O44" i="43"/>
  <c r="O78" i="43"/>
  <c r="I41" i="45"/>
  <c r="J36" i="45" s="1"/>
  <c r="J38" i="45" s="1"/>
  <c r="J40" i="45" s="1"/>
  <c r="G12" i="46"/>
  <c r="F66" i="46"/>
  <c r="F68" i="46" s="1"/>
  <c r="F13" i="46"/>
  <c r="J67" i="45"/>
  <c r="J69" i="45" s="1"/>
  <c r="J70" i="45" s="1"/>
  <c r="K65" i="45" s="1"/>
  <c r="I50" i="45"/>
  <c r="J58" i="45"/>
  <c r="J60" i="45" s="1"/>
  <c r="J61" i="45" s="1"/>
  <c r="K56" i="45" s="1"/>
  <c r="O7" i="35"/>
  <c r="N14" i="34"/>
  <c r="N43" i="34" s="1"/>
  <c r="N72" i="34"/>
  <c r="N36" i="34"/>
  <c r="N49" i="34" s="1"/>
  <c r="O42" i="33"/>
  <c r="O71" i="33"/>
  <c r="S189" i="32"/>
  <c r="O63" i="35"/>
  <c r="P10" i="34"/>
  <c r="P10" i="35"/>
  <c r="P13" i="35"/>
  <c r="P13" i="34"/>
  <c r="P12" i="35"/>
  <c r="P12" i="34"/>
  <c r="P6" i="35"/>
  <c r="P7" i="35" s="1"/>
  <c r="P20" i="35" s="1"/>
  <c r="F72" i="35"/>
  <c r="O71" i="34"/>
  <c r="O42" i="34"/>
  <c r="O70" i="35"/>
  <c r="O41" i="35"/>
  <c r="O67" i="35"/>
  <c r="O38" i="35"/>
  <c r="O40" i="35"/>
  <c r="O69" i="35"/>
  <c r="O39" i="34"/>
  <c r="O68" i="34"/>
  <c r="P6" i="34"/>
  <c r="P64" i="34" s="1"/>
  <c r="F73" i="34"/>
  <c r="O70" i="34"/>
  <c r="O41" i="34"/>
  <c r="Y187" i="32"/>
  <c r="Z187" i="32"/>
  <c r="I45" i="40"/>
  <c r="I55" i="40" s="1"/>
  <c r="I56" i="40" s="1"/>
  <c r="I57" i="40" s="1"/>
  <c r="J52" i="40" s="1"/>
  <c r="H37" i="40"/>
  <c r="I32" i="40" s="1"/>
  <c r="I34" i="40" s="1"/>
  <c r="I36" i="40" s="1"/>
  <c r="F17" i="41"/>
  <c r="P186" i="40"/>
  <c r="M13" i="41"/>
  <c r="L79" i="41"/>
  <c r="L45" i="41"/>
  <c r="H65" i="40"/>
  <c r="H66" i="40" s="1"/>
  <c r="I61" i="40" s="1"/>
  <c r="I63" i="40" s="1"/>
  <c r="O78" i="41"/>
  <c r="O44" i="41"/>
  <c r="N71" i="41"/>
  <c r="N37" i="41"/>
  <c r="P7" i="41"/>
  <c r="O7" i="41"/>
  <c r="O9" i="41" s="1"/>
  <c r="O22" i="41" s="1"/>
  <c r="H54" i="36"/>
  <c r="I49" i="36" s="1"/>
  <c r="J61" i="36"/>
  <c r="J63" i="36" s="1"/>
  <c r="J64" i="36" s="1"/>
  <c r="K59" i="36" s="1"/>
  <c r="I73" i="36"/>
  <c r="J68" i="36" s="1"/>
  <c r="O36" i="34"/>
  <c r="O49" i="34" s="1"/>
  <c r="O65" i="34"/>
  <c r="O78" i="34" s="1"/>
  <c r="O69" i="33"/>
  <c r="O40" i="33"/>
  <c r="S18" i="32"/>
  <c r="P6" i="33"/>
  <c r="P12" i="33"/>
  <c r="P13" i="33"/>
  <c r="P10" i="33"/>
  <c r="N35" i="33"/>
  <c r="N48" i="33" s="1"/>
  <c r="N64" i="33"/>
  <c r="N77" i="33" s="1"/>
  <c r="O67" i="33"/>
  <c r="O38" i="33"/>
  <c r="O34" i="33"/>
  <c r="O7" i="33"/>
  <c r="O20" i="33" s="1"/>
  <c r="O63" i="33"/>
  <c r="O70" i="33"/>
  <c r="O41" i="33"/>
  <c r="F72" i="33"/>
  <c r="O71" i="31"/>
  <c r="O38" i="31"/>
  <c r="O46" i="1"/>
  <c r="O79" i="1"/>
  <c r="O45" i="30"/>
  <c r="O78" i="30"/>
  <c r="O45" i="1"/>
  <c r="O78" i="1"/>
  <c r="O80" i="30"/>
  <c r="O47" i="30"/>
  <c r="O79" i="31"/>
  <c r="O46" i="31"/>
  <c r="O71" i="30"/>
  <c r="O38" i="30"/>
  <c r="S18" i="25"/>
  <c r="P17" i="31"/>
  <c r="P16" i="31"/>
  <c r="P13" i="31"/>
  <c r="P15" i="31"/>
  <c r="P18" i="30"/>
  <c r="P14" i="30"/>
  <c r="P17" i="30"/>
  <c r="P13" i="30"/>
  <c r="P15" i="1"/>
  <c r="P16" i="1"/>
  <c r="P13" i="1"/>
  <c r="P18" i="31"/>
  <c r="P6" i="31"/>
  <c r="P14" i="31"/>
  <c r="P16" i="30"/>
  <c r="P15" i="30"/>
  <c r="P6" i="30"/>
  <c r="R12" i="30"/>
  <c r="P14" i="1"/>
  <c r="R12" i="31"/>
  <c r="P17" i="1"/>
  <c r="R12" i="1"/>
  <c r="P18" i="1"/>
  <c r="P83" i="1" s="1"/>
  <c r="Q44" i="1"/>
  <c r="Q77" i="1"/>
  <c r="O82" i="1"/>
  <c r="O49" i="1"/>
  <c r="O81" i="30"/>
  <c r="O48" i="30"/>
  <c r="O81" i="1"/>
  <c r="O48" i="1"/>
  <c r="O80" i="31"/>
  <c r="O47" i="31"/>
  <c r="O82" i="31"/>
  <c r="O49" i="31"/>
  <c r="Q44" i="31"/>
  <c r="Q77" i="31"/>
  <c r="O83" i="30"/>
  <c r="O50" i="30"/>
  <c r="O48" i="31"/>
  <c r="O81" i="31"/>
  <c r="N51" i="31"/>
  <c r="N84" i="31" s="1"/>
  <c r="N51" i="30"/>
  <c r="N84" i="30" s="1"/>
  <c r="Q77" i="30"/>
  <c r="Q44" i="30"/>
  <c r="O49" i="30"/>
  <c r="O82" i="30"/>
  <c r="O79" i="30"/>
  <c r="O46" i="30"/>
  <c r="O47" i="1"/>
  <c r="O80" i="1"/>
  <c r="O45" i="31"/>
  <c r="O78" i="31"/>
  <c r="O83" i="31"/>
  <c r="O50" i="31"/>
  <c r="S185" i="32"/>
  <c r="V192" i="32"/>
  <c r="J70" i="32"/>
  <c r="J72" i="32" s="1"/>
  <c r="J73" i="32" s="1"/>
  <c r="K68" i="32" s="1"/>
  <c r="T180" i="32"/>
  <c r="T181" i="32"/>
  <c r="J61" i="32"/>
  <c r="J63" i="32" s="1"/>
  <c r="J64" i="32" s="1"/>
  <c r="K59" i="32" s="1"/>
  <c r="I43" i="32"/>
  <c r="P6" i="1"/>
  <c r="P71" i="1" s="1"/>
  <c r="S194" i="25"/>
  <c r="S177" i="25"/>
  <c r="S192" i="25"/>
  <c r="S191" i="25"/>
  <c r="S178" i="25"/>
  <c r="S193" i="25"/>
  <c r="N51" i="1"/>
  <c r="N84" i="1" s="1"/>
  <c r="P72" i="25"/>
  <c r="P73" i="25" s="1"/>
  <c r="Q68" i="25" s="1"/>
  <c r="Q70" i="25" s="1"/>
  <c r="J64" i="25"/>
  <c r="K59" i="25" s="1"/>
  <c r="K61" i="25" s="1"/>
  <c r="P54" i="25"/>
  <c r="Q49" i="25" s="1"/>
  <c r="Q51" i="25" s="1"/>
  <c r="Q53" i="25" s="1"/>
  <c r="O41" i="43" l="1"/>
  <c r="F73" i="66"/>
  <c r="F70" i="66"/>
  <c r="G38" i="66"/>
  <c r="G40" i="66" s="1"/>
  <c r="G38" i="65"/>
  <c r="G40" i="65" s="1"/>
  <c r="F18" i="65"/>
  <c r="F15" i="65"/>
  <c r="G66" i="66"/>
  <c r="G68" i="66" s="1"/>
  <c r="G13" i="66"/>
  <c r="H12" i="66"/>
  <c r="H12" i="65"/>
  <c r="F73" i="65"/>
  <c r="F70" i="65"/>
  <c r="G66" i="65"/>
  <c r="G68" i="65" s="1"/>
  <c r="G13" i="65"/>
  <c r="F18" i="66"/>
  <c r="F15" i="66"/>
  <c r="F15" i="46"/>
  <c r="F18" i="46"/>
  <c r="F73" i="46"/>
  <c r="F42" i="46"/>
  <c r="F45" i="46"/>
  <c r="N41" i="41"/>
  <c r="N55" i="41" s="1"/>
  <c r="O89" i="42"/>
  <c r="O89" i="43"/>
  <c r="N75" i="41"/>
  <c r="N89" i="41" s="1"/>
  <c r="O75" i="42"/>
  <c r="P42" i="35"/>
  <c r="Q40" i="39"/>
  <c r="Q68" i="39"/>
  <c r="X169" i="25"/>
  <c r="W170" i="25"/>
  <c r="Q39" i="39"/>
  <c r="Q67" i="39"/>
  <c r="Q67" i="37"/>
  <c r="Q39" i="37"/>
  <c r="H49" i="30"/>
  <c r="H82" i="30"/>
  <c r="F69" i="37"/>
  <c r="Q68" i="38"/>
  <c r="Q40" i="38"/>
  <c r="K49" i="30"/>
  <c r="K82" i="30"/>
  <c r="F69" i="39"/>
  <c r="Q68" i="37"/>
  <c r="Q40" i="37"/>
  <c r="U18" i="36"/>
  <c r="R13" i="37"/>
  <c r="R13" i="39"/>
  <c r="R13" i="38"/>
  <c r="R12" i="39"/>
  <c r="R12" i="38"/>
  <c r="R12" i="37"/>
  <c r="E82" i="30"/>
  <c r="E49" i="30"/>
  <c r="F69" i="38"/>
  <c r="Q18" i="1"/>
  <c r="Q50" i="1" s="1"/>
  <c r="Q14" i="33"/>
  <c r="Q14" i="35" s="1"/>
  <c r="Q42" i="35" s="1"/>
  <c r="O35" i="35"/>
  <c r="O48" i="35" s="1"/>
  <c r="O20" i="35"/>
  <c r="Q39" i="38"/>
  <c r="Q67" i="38"/>
  <c r="N82" i="30"/>
  <c r="N49" i="30"/>
  <c r="P50" i="1"/>
  <c r="P78" i="41"/>
  <c r="P9" i="41"/>
  <c r="P22" i="41" s="1"/>
  <c r="Q22" i="41" s="1"/>
  <c r="C16" i="14" s="1"/>
  <c r="I46" i="40"/>
  <c r="G49" i="43" s="1"/>
  <c r="G51" i="43" s="1"/>
  <c r="O55" i="43"/>
  <c r="O55" i="42"/>
  <c r="N13" i="43"/>
  <c r="N13" i="42"/>
  <c r="P38" i="42"/>
  <c r="P72" i="42"/>
  <c r="P71" i="43"/>
  <c r="P37" i="43"/>
  <c r="P9" i="43"/>
  <c r="P22" i="43" s="1"/>
  <c r="Q22" i="43" s="1"/>
  <c r="H16" i="14" s="1"/>
  <c r="M79" i="42"/>
  <c r="M45" i="42"/>
  <c r="G17" i="43"/>
  <c r="G17" i="42"/>
  <c r="M79" i="43"/>
  <c r="M45" i="43"/>
  <c r="P38" i="41"/>
  <c r="P72" i="41"/>
  <c r="P44" i="42"/>
  <c r="P78" i="42"/>
  <c r="F83" i="42"/>
  <c r="F85" i="42" s="1"/>
  <c r="F18" i="42"/>
  <c r="P78" i="43"/>
  <c r="P44" i="43"/>
  <c r="P38" i="43"/>
  <c r="P72" i="43"/>
  <c r="F83" i="43"/>
  <c r="F85" i="43" s="1"/>
  <c r="F18" i="43"/>
  <c r="P71" i="42"/>
  <c r="P37" i="42"/>
  <c r="P41" i="42" s="1"/>
  <c r="P9" i="42"/>
  <c r="P22" i="42" s="1"/>
  <c r="Q22" i="42" s="1"/>
  <c r="M16" i="14" s="1"/>
  <c r="I51" i="45"/>
  <c r="J46" i="45" s="1"/>
  <c r="J48" i="45" s="1"/>
  <c r="J50" i="45" s="1"/>
  <c r="G38" i="46"/>
  <c r="G40" i="46" s="1"/>
  <c r="G66" i="46"/>
  <c r="G68" i="46" s="1"/>
  <c r="G13" i="46"/>
  <c r="J41" i="45"/>
  <c r="K36" i="45" s="1"/>
  <c r="K38" i="45" s="1"/>
  <c r="K40" i="45" s="1"/>
  <c r="H12" i="46"/>
  <c r="K67" i="45"/>
  <c r="K69" i="45" s="1"/>
  <c r="K70" i="45" s="1"/>
  <c r="L65" i="45" s="1"/>
  <c r="K58" i="45"/>
  <c r="K60" i="45" s="1"/>
  <c r="K61" i="45" s="1"/>
  <c r="L56" i="45" s="1"/>
  <c r="O64" i="35"/>
  <c r="O77" i="35" s="1"/>
  <c r="O72" i="34"/>
  <c r="O14" i="34"/>
  <c r="O43" i="34" s="1"/>
  <c r="T189" i="32"/>
  <c r="P42" i="33"/>
  <c r="P71" i="33"/>
  <c r="P34" i="35"/>
  <c r="P63" i="35"/>
  <c r="P35" i="34"/>
  <c r="P7" i="34"/>
  <c r="G15" i="35"/>
  <c r="G15" i="34"/>
  <c r="Q10" i="34"/>
  <c r="Q10" i="35"/>
  <c r="Q6" i="34"/>
  <c r="Q64" i="34" s="1"/>
  <c r="Q13" i="34"/>
  <c r="Q12" i="35"/>
  <c r="Q12" i="34"/>
  <c r="Q13" i="35"/>
  <c r="Q6" i="35"/>
  <c r="Q7" i="35" s="1"/>
  <c r="Q20" i="35" s="1"/>
  <c r="P71" i="34"/>
  <c r="P42" i="34"/>
  <c r="P41" i="35"/>
  <c r="P70" i="35"/>
  <c r="P70" i="34"/>
  <c r="P41" i="34"/>
  <c r="P38" i="35"/>
  <c r="P67" i="35"/>
  <c r="P40" i="35"/>
  <c r="P69" i="35"/>
  <c r="P39" i="34"/>
  <c r="P68" i="34"/>
  <c r="AA187" i="32"/>
  <c r="I37" i="40"/>
  <c r="J32" i="40" s="1"/>
  <c r="J34" i="40" s="1"/>
  <c r="J36" i="40" s="1"/>
  <c r="G17" i="41"/>
  <c r="I47" i="40"/>
  <c r="J42" i="40" s="1"/>
  <c r="J45" i="40" s="1"/>
  <c r="J55" i="40" s="1"/>
  <c r="J64" i="40" s="1"/>
  <c r="F83" i="41"/>
  <c r="F85" i="41" s="1"/>
  <c r="F18" i="41"/>
  <c r="M45" i="41"/>
  <c r="M79" i="41"/>
  <c r="Q186" i="40"/>
  <c r="N13" i="41"/>
  <c r="I64" i="40"/>
  <c r="I65" i="40" s="1"/>
  <c r="O71" i="41"/>
  <c r="O37" i="41"/>
  <c r="P71" i="41"/>
  <c r="P37" i="41"/>
  <c r="P41" i="41" s="1"/>
  <c r="J54" i="40"/>
  <c r="K61" i="36"/>
  <c r="K63" i="36" s="1"/>
  <c r="K64" i="36" s="1"/>
  <c r="L59" i="36" s="1"/>
  <c r="I51" i="36"/>
  <c r="I43" i="36"/>
  <c r="J70" i="36"/>
  <c r="J72" i="36" s="1"/>
  <c r="J73" i="36" s="1"/>
  <c r="K68" i="36" s="1"/>
  <c r="P64" i="35"/>
  <c r="P77" i="35" s="1"/>
  <c r="P35" i="35"/>
  <c r="P48" i="35" s="1"/>
  <c r="T18" i="32"/>
  <c r="R6" i="35" s="1"/>
  <c r="Q10" i="33"/>
  <c r="Q12" i="33"/>
  <c r="Q13" i="33"/>
  <c r="Q6" i="33"/>
  <c r="P70" i="33"/>
  <c r="P41" i="33"/>
  <c r="P63" i="33"/>
  <c r="P7" i="33"/>
  <c r="P20" i="33" s="1"/>
  <c r="P34" i="33"/>
  <c r="P67" i="33"/>
  <c r="P38" i="33"/>
  <c r="O35" i="33"/>
  <c r="O48" i="33" s="1"/>
  <c r="O64" i="33"/>
  <c r="O77" i="33" s="1"/>
  <c r="P69" i="33"/>
  <c r="P40" i="33"/>
  <c r="I44" i="32"/>
  <c r="J39" i="32" s="1"/>
  <c r="J41" i="32" s="1"/>
  <c r="J43" i="32" s="1"/>
  <c r="G15" i="33"/>
  <c r="R77" i="1"/>
  <c r="R44" i="1"/>
  <c r="P79" i="31"/>
  <c r="P46" i="31"/>
  <c r="P79" i="30"/>
  <c r="P46" i="30"/>
  <c r="P81" i="31"/>
  <c r="P48" i="31"/>
  <c r="P82" i="1"/>
  <c r="P49" i="1"/>
  <c r="P38" i="30"/>
  <c r="P71" i="30"/>
  <c r="P71" i="31"/>
  <c r="P38" i="31"/>
  <c r="P47" i="1"/>
  <c r="P80" i="1"/>
  <c r="P83" i="30"/>
  <c r="P50" i="30"/>
  <c r="P82" i="31"/>
  <c r="P49" i="31"/>
  <c r="P81" i="1"/>
  <c r="P48" i="1"/>
  <c r="O51" i="31"/>
  <c r="O84" i="31" s="1"/>
  <c r="O51" i="30"/>
  <c r="O84" i="30" s="1"/>
  <c r="R77" i="31"/>
  <c r="R44" i="31"/>
  <c r="P80" i="30"/>
  <c r="P47" i="30"/>
  <c r="P83" i="31"/>
  <c r="P50" i="31"/>
  <c r="P78" i="30"/>
  <c r="P45" i="30"/>
  <c r="P47" i="31"/>
  <c r="P80" i="31"/>
  <c r="T18" i="25"/>
  <c r="Q18" i="31"/>
  <c r="Q13" i="30"/>
  <c r="Q13" i="31"/>
  <c r="Q18" i="30"/>
  <c r="Q13" i="1"/>
  <c r="Q6" i="30"/>
  <c r="Q6" i="31"/>
  <c r="Q15" i="1"/>
  <c r="Q14" i="31"/>
  <c r="Q14" i="30"/>
  <c r="S12" i="30"/>
  <c r="S12" i="31"/>
  <c r="S12" i="1"/>
  <c r="Q14" i="1"/>
  <c r="Q16" i="1"/>
  <c r="Q15" i="31"/>
  <c r="Q15" i="30"/>
  <c r="Q17" i="1"/>
  <c r="Q16" i="30"/>
  <c r="Q16" i="31"/>
  <c r="Q17" i="31"/>
  <c r="Q17" i="30"/>
  <c r="S164" i="32"/>
  <c r="R77" i="30"/>
  <c r="R44" i="30"/>
  <c r="P38" i="1"/>
  <c r="P79" i="1"/>
  <c r="P46" i="1"/>
  <c r="P48" i="30"/>
  <c r="P81" i="30"/>
  <c r="P45" i="1"/>
  <c r="P78" i="1"/>
  <c r="P49" i="30"/>
  <c r="P82" i="30"/>
  <c r="P78" i="31"/>
  <c r="P45" i="31"/>
  <c r="K61" i="32"/>
  <c r="K63" i="32" s="1"/>
  <c r="K64" i="32" s="1"/>
  <c r="L59" i="32" s="1"/>
  <c r="K70" i="32"/>
  <c r="K72" i="32" s="1"/>
  <c r="K73" i="32" s="1"/>
  <c r="L68" i="32" s="1"/>
  <c r="T185" i="32"/>
  <c r="U181" i="32"/>
  <c r="U180" i="32"/>
  <c r="I53" i="32"/>
  <c r="W192" i="32"/>
  <c r="Q6" i="1"/>
  <c r="T177" i="25"/>
  <c r="T193" i="25"/>
  <c r="T191" i="25"/>
  <c r="T178" i="25"/>
  <c r="T192" i="25"/>
  <c r="T194" i="25"/>
  <c r="O51" i="1"/>
  <c r="O84" i="1" s="1"/>
  <c r="K63" i="25"/>
  <c r="Q54" i="25"/>
  <c r="R49" i="25" s="1"/>
  <c r="R51" i="25" s="1"/>
  <c r="R53" i="25" s="1"/>
  <c r="I12" i="66" l="1"/>
  <c r="I12" i="65"/>
  <c r="G18" i="65"/>
  <c r="G15" i="65"/>
  <c r="H66" i="65"/>
  <c r="H68" i="65" s="1"/>
  <c r="H13" i="65"/>
  <c r="F70" i="46"/>
  <c r="G73" i="65"/>
  <c r="G70" i="65"/>
  <c r="H66" i="66"/>
  <c r="H68" i="66" s="1"/>
  <c r="H13" i="66"/>
  <c r="G45" i="66"/>
  <c r="G42" i="66"/>
  <c r="H38" i="66"/>
  <c r="H40" i="66" s="1"/>
  <c r="H38" i="65"/>
  <c r="H40" i="65" s="1"/>
  <c r="G45" i="65"/>
  <c r="G42" i="65"/>
  <c r="G18" i="66"/>
  <c r="G15" i="66"/>
  <c r="G73" i="66"/>
  <c r="G70" i="66"/>
  <c r="G15" i="46"/>
  <c r="G18" i="46"/>
  <c r="G73" i="46"/>
  <c r="P75" i="41"/>
  <c r="P89" i="41" s="1"/>
  <c r="P75" i="43"/>
  <c r="P89" i="43" s="1"/>
  <c r="Q89" i="43" s="1"/>
  <c r="H18" i="14" s="1"/>
  <c r="O41" i="41"/>
  <c r="O55" i="41" s="1"/>
  <c r="O75" i="41"/>
  <c r="O89" i="41" s="1"/>
  <c r="Q89" i="41" s="1"/>
  <c r="C18" i="14" s="1"/>
  <c r="P89" i="42"/>
  <c r="Q89" i="42" s="1"/>
  <c r="M18" i="14" s="1"/>
  <c r="P75" i="42"/>
  <c r="P41" i="43"/>
  <c r="P55" i="43" s="1"/>
  <c r="Q55" i="43" s="1"/>
  <c r="H17" i="14" s="1"/>
  <c r="Q83" i="1"/>
  <c r="Q71" i="35"/>
  <c r="V18" i="36"/>
  <c r="S13" i="39"/>
  <c r="S12" i="37"/>
  <c r="S13" i="38"/>
  <c r="S12" i="38"/>
  <c r="S12" i="39"/>
  <c r="S13" i="37"/>
  <c r="R40" i="38"/>
  <c r="R68" i="38"/>
  <c r="W171" i="25"/>
  <c r="X171" i="25" s="1"/>
  <c r="X170" i="25"/>
  <c r="I44" i="36"/>
  <c r="J39" i="36" s="1"/>
  <c r="J41" i="36" s="1"/>
  <c r="J43" i="36" s="1"/>
  <c r="G14" i="39"/>
  <c r="G14" i="37"/>
  <c r="G14" i="38"/>
  <c r="R67" i="39"/>
  <c r="R39" i="39"/>
  <c r="P65" i="34"/>
  <c r="P78" i="34" s="1"/>
  <c r="P20" i="34"/>
  <c r="R67" i="37"/>
  <c r="R39" i="37"/>
  <c r="R68" i="39"/>
  <c r="R40" i="39"/>
  <c r="R14" i="33"/>
  <c r="R14" i="35" s="1"/>
  <c r="R42" i="35" s="1"/>
  <c r="R67" i="38"/>
  <c r="R39" i="38"/>
  <c r="R40" i="37"/>
  <c r="R68" i="37"/>
  <c r="F87" i="41"/>
  <c r="F90" i="41"/>
  <c r="F87" i="42"/>
  <c r="F90" i="42"/>
  <c r="F87" i="43"/>
  <c r="F90" i="43"/>
  <c r="F20" i="42"/>
  <c r="F23" i="42"/>
  <c r="G53" i="43"/>
  <c r="G56" i="43"/>
  <c r="F20" i="43"/>
  <c r="F23" i="43"/>
  <c r="F20" i="41"/>
  <c r="F23" i="41"/>
  <c r="P55" i="41"/>
  <c r="G49" i="41"/>
  <c r="G51" i="41" s="1"/>
  <c r="G49" i="42"/>
  <c r="G51" i="42" s="1"/>
  <c r="O13" i="43"/>
  <c r="O13" i="42"/>
  <c r="H17" i="43"/>
  <c r="H17" i="42"/>
  <c r="G83" i="42"/>
  <c r="G85" i="42" s="1"/>
  <c r="G18" i="42"/>
  <c r="N45" i="42"/>
  <c r="N79" i="42"/>
  <c r="P55" i="42"/>
  <c r="Q55" i="42" s="1"/>
  <c r="M17" i="14" s="1"/>
  <c r="G83" i="43"/>
  <c r="G85" i="43" s="1"/>
  <c r="G18" i="43"/>
  <c r="N45" i="43"/>
  <c r="N79" i="43"/>
  <c r="J51" i="45"/>
  <c r="K46" i="45" s="1"/>
  <c r="K48" i="45" s="1"/>
  <c r="K50" i="45" s="1"/>
  <c r="H38" i="46"/>
  <c r="H40" i="46" s="1"/>
  <c r="H66" i="46"/>
  <c r="H68" i="46" s="1"/>
  <c r="H13" i="46"/>
  <c r="K41" i="45"/>
  <c r="L36" i="45" s="1"/>
  <c r="L38" i="45" s="1"/>
  <c r="L40" i="45" s="1"/>
  <c r="I12" i="46"/>
  <c r="L58" i="45"/>
  <c r="L60" i="45" s="1"/>
  <c r="L61" i="45" s="1"/>
  <c r="M56" i="45" s="1"/>
  <c r="L67" i="45"/>
  <c r="L69" i="45" s="1"/>
  <c r="L70" i="45" s="1"/>
  <c r="M65" i="45" s="1"/>
  <c r="P72" i="34"/>
  <c r="P14" i="34"/>
  <c r="P43" i="34" s="1"/>
  <c r="P36" i="34"/>
  <c r="P49" i="34" s="1"/>
  <c r="Q71" i="33"/>
  <c r="Q42" i="33"/>
  <c r="U189" i="32"/>
  <c r="Q34" i="35"/>
  <c r="Q35" i="34"/>
  <c r="Q63" i="35"/>
  <c r="Q7" i="34"/>
  <c r="Q42" i="34"/>
  <c r="Q71" i="34"/>
  <c r="Q41" i="35"/>
  <c r="Q70" i="35"/>
  <c r="Q68" i="34"/>
  <c r="Q39" i="34"/>
  <c r="H15" i="35"/>
  <c r="H15" i="34"/>
  <c r="Q70" i="34"/>
  <c r="Q41" i="34"/>
  <c r="G73" i="34"/>
  <c r="G43" i="33"/>
  <c r="G43" i="35"/>
  <c r="G44" i="34"/>
  <c r="R10" i="35"/>
  <c r="R10" i="34"/>
  <c r="R13" i="35"/>
  <c r="R13" i="34"/>
  <c r="R12" i="35"/>
  <c r="R12" i="34"/>
  <c r="R6" i="34"/>
  <c r="R7" i="34" s="1"/>
  <c r="R20" i="34" s="1"/>
  <c r="Q69" i="35"/>
  <c r="Q40" i="35"/>
  <c r="Q67" i="35"/>
  <c r="Q38" i="35"/>
  <c r="G72" i="35"/>
  <c r="AB187" i="32"/>
  <c r="J44" i="40"/>
  <c r="J46" i="40" s="1"/>
  <c r="G83" i="41"/>
  <c r="G85" i="41" s="1"/>
  <c r="G18" i="41"/>
  <c r="J56" i="40"/>
  <c r="J57" i="40" s="1"/>
  <c r="K52" i="40" s="1"/>
  <c r="K54" i="40" s="1"/>
  <c r="J37" i="40"/>
  <c r="K32" i="40" s="1"/>
  <c r="K34" i="40" s="1"/>
  <c r="K36" i="40" s="1"/>
  <c r="H17" i="41"/>
  <c r="N45" i="41"/>
  <c r="N79" i="41"/>
  <c r="R186" i="40"/>
  <c r="O13" i="41"/>
  <c r="I66" i="40"/>
  <c r="J61" i="40" s="1"/>
  <c r="K70" i="36"/>
  <c r="K72" i="36" s="1"/>
  <c r="K73" i="36" s="1"/>
  <c r="L68" i="36" s="1"/>
  <c r="L61" i="36"/>
  <c r="L63" i="36" s="1"/>
  <c r="L64" i="36" s="1"/>
  <c r="M59" i="36" s="1"/>
  <c r="I53" i="36"/>
  <c r="Q64" i="35"/>
  <c r="Q77" i="35" s="1"/>
  <c r="Q35" i="35"/>
  <c r="Q48" i="35" s="1"/>
  <c r="R34" i="35"/>
  <c r="R7" i="35"/>
  <c r="R20" i="35" s="1"/>
  <c r="R63" i="35"/>
  <c r="Q70" i="33"/>
  <c r="Q41" i="33"/>
  <c r="Q40" i="33"/>
  <c r="Q69" i="33"/>
  <c r="Q38" i="33"/>
  <c r="Q67" i="33"/>
  <c r="P35" i="33"/>
  <c r="P48" i="33" s="1"/>
  <c r="P64" i="33"/>
  <c r="P77" i="33" s="1"/>
  <c r="Q63" i="33"/>
  <c r="Q7" i="33"/>
  <c r="Q20" i="33" s="1"/>
  <c r="Q34" i="33"/>
  <c r="U18" i="32"/>
  <c r="S6" i="34" s="1"/>
  <c r="R6" i="33"/>
  <c r="R10" i="33"/>
  <c r="R12" i="33"/>
  <c r="R13" i="33"/>
  <c r="G72" i="33"/>
  <c r="J44" i="32"/>
  <c r="K39" i="32" s="1"/>
  <c r="K41" i="32" s="1"/>
  <c r="K43" i="32" s="1"/>
  <c r="H15" i="33"/>
  <c r="Q48" i="31"/>
  <c r="Q81" i="31"/>
  <c r="Q81" i="30"/>
  <c r="Q48" i="30"/>
  <c r="Q81" i="1"/>
  <c r="Q48" i="1"/>
  <c r="S77" i="30"/>
  <c r="S44" i="30"/>
  <c r="Q38" i="31"/>
  <c r="Q71" i="31"/>
  <c r="Q78" i="31"/>
  <c r="Q45" i="31"/>
  <c r="S44" i="31"/>
  <c r="S77" i="31"/>
  <c r="Q83" i="30"/>
  <c r="Q50" i="30"/>
  <c r="Q49" i="30"/>
  <c r="Q82" i="30"/>
  <c r="Q49" i="1"/>
  <c r="Q82" i="1"/>
  <c r="Q79" i="1"/>
  <c r="Q46" i="1"/>
  <c r="Q46" i="30"/>
  <c r="Q79" i="30"/>
  <c r="Q71" i="30"/>
  <c r="Q38" i="30"/>
  <c r="Q78" i="30"/>
  <c r="Q45" i="30"/>
  <c r="Q47" i="31"/>
  <c r="Q80" i="31"/>
  <c r="Q47" i="1"/>
  <c r="Q80" i="1"/>
  <c r="U18" i="25"/>
  <c r="R16" i="31"/>
  <c r="R18" i="31"/>
  <c r="R15" i="31"/>
  <c r="R17" i="31"/>
  <c r="R6" i="31"/>
  <c r="R13" i="31"/>
  <c r="R17" i="30"/>
  <c r="R16" i="30"/>
  <c r="R15" i="30"/>
  <c r="R6" i="30"/>
  <c r="R15" i="1"/>
  <c r="R16" i="1"/>
  <c r="R14" i="31"/>
  <c r="R13" i="1"/>
  <c r="R18" i="30"/>
  <c r="R13" i="30"/>
  <c r="R14" i="30"/>
  <c r="R17" i="1"/>
  <c r="R14" i="1"/>
  <c r="T12" i="1"/>
  <c r="T12" i="30"/>
  <c r="T12" i="31"/>
  <c r="P51" i="30"/>
  <c r="P84" i="30" s="1"/>
  <c r="P51" i="31"/>
  <c r="P84" i="31" s="1"/>
  <c r="R18" i="1"/>
  <c r="R83" i="1" s="1"/>
  <c r="Q82" i="31"/>
  <c r="Q49" i="31"/>
  <c r="Q47" i="30"/>
  <c r="Q80" i="30"/>
  <c r="S44" i="1"/>
  <c r="S77" i="1"/>
  <c r="Q79" i="31"/>
  <c r="Q46" i="31"/>
  <c r="Q45" i="1"/>
  <c r="Q78" i="1"/>
  <c r="Q50" i="31"/>
  <c r="Q83" i="31"/>
  <c r="L70" i="32"/>
  <c r="L72" i="32" s="1"/>
  <c r="L73" i="32" s="1"/>
  <c r="M68" i="32" s="1"/>
  <c r="L61" i="32"/>
  <c r="L63" i="32" s="1"/>
  <c r="L64" i="32" s="1"/>
  <c r="M59" i="32" s="1"/>
  <c r="V180" i="32"/>
  <c r="V181" i="32"/>
  <c r="X192" i="32"/>
  <c r="U185" i="32"/>
  <c r="I54" i="32"/>
  <c r="J49" i="32" s="1"/>
  <c r="J51" i="32" s="1"/>
  <c r="R6" i="1"/>
  <c r="R38" i="1" s="1"/>
  <c r="Q38" i="1"/>
  <c r="Q71" i="1"/>
  <c r="U193" i="25"/>
  <c r="U194" i="25"/>
  <c r="U178" i="25"/>
  <c r="U192" i="25"/>
  <c r="U191" i="25"/>
  <c r="U177" i="25"/>
  <c r="P51" i="1"/>
  <c r="Q72" i="25"/>
  <c r="Q73" i="25" s="1"/>
  <c r="R68" i="25" s="1"/>
  <c r="R70" i="25" s="1"/>
  <c r="K64" i="25"/>
  <c r="L59" i="25" s="1"/>
  <c r="L61" i="25" s="1"/>
  <c r="R54" i="25"/>
  <c r="S49" i="25" s="1"/>
  <c r="S51" i="25" s="1"/>
  <c r="S53" i="25" s="1"/>
  <c r="H45" i="65" l="1"/>
  <c r="H42" i="65"/>
  <c r="H18" i="66"/>
  <c r="H15" i="66"/>
  <c r="H45" i="66"/>
  <c r="H42" i="66"/>
  <c r="H73" i="66"/>
  <c r="H70" i="66"/>
  <c r="H18" i="65"/>
  <c r="H15" i="65"/>
  <c r="I66" i="65"/>
  <c r="I68" i="65" s="1"/>
  <c r="I13" i="65"/>
  <c r="J12" i="65"/>
  <c r="J12" i="66"/>
  <c r="I38" i="66"/>
  <c r="I40" i="66" s="1"/>
  <c r="I38" i="65"/>
  <c r="I40" i="65" s="1"/>
  <c r="H73" i="65"/>
  <c r="H70" i="65"/>
  <c r="I66" i="66"/>
  <c r="I68" i="66" s="1"/>
  <c r="I13" i="66"/>
  <c r="H73" i="46"/>
  <c r="G70" i="46"/>
  <c r="H15" i="46"/>
  <c r="H18" i="46"/>
  <c r="G42" i="46"/>
  <c r="G45" i="46"/>
  <c r="Q55" i="41"/>
  <c r="C17" i="14" s="1"/>
  <c r="R71" i="35"/>
  <c r="G69" i="38"/>
  <c r="S68" i="38"/>
  <c r="S40" i="38"/>
  <c r="J44" i="36"/>
  <c r="K39" i="36" s="1"/>
  <c r="K41" i="36" s="1"/>
  <c r="K43" i="36" s="1"/>
  <c r="H14" i="39"/>
  <c r="H14" i="38"/>
  <c r="H14" i="37"/>
  <c r="Q36" i="34"/>
  <c r="Q49" i="34" s="1"/>
  <c r="Q20" i="34"/>
  <c r="S14" i="33"/>
  <c r="S14" i="35" s="1"/>
  <c r="S71" i="35" s="1"/>
  <c r="G69" i="37"/>
  <c r="S40" i="37"/>
  <c r="S68" i="37"/>
  <c r="S39" i="37"/>
  <c r="S67" i="37"/>
  <c r="G41" i="39"/>
  <c r="G41" i="37"/>
  <c r="G41" i="38"/>
  <c r="G69" i="39"/>
  <c r="S39" i="39"/>
  <c r="S67" i="39"/>
  <c r="S40" i="39"/>
  <c r="S68" i="39"/>
  <c r="S18" i="1"/>
  <c r="S50" i="1" s="1"/>
  <c r="S39" i="38"/>
  <c r="S67" i="38"/>
  <c r="W18" i="36"/>
  <c r="T13" i="37"/>
  <c r="T12" i="37"/>
  <c r="T12" i="39"/>
  <c r="T12" i="38"/>
  <c r="T13" i="39"/>
  <c r="T13" i="38"/>
  <c r="R71" i="1"/>
  <c r="G87" i="43"/>
  <c r="G90" i="43"/>
  <c r="G87" i="41"/>
  <c r="G90" i="41"/>
  <c r="G87" i="42"/>
  <c r="G90" i="42"/>
  <c r="G53" i="42"/>
  <c r="G56" i="42"/>
  <c r="G20" i="42"/>
  <c r="G23" i="42"/>
  <c r="G20" i="43"/>
  <c r="G23" i="43"/>
  <c r="G53" i="41"/>
  <c r="G56" i="41"/>
  <c r="G20" i="41"/>
  <c r="G23" i="41"/>
  <c r="H49" i="43"/>
  <c r="H51" i="43" s="1"/>
  <c r="H49" i="42"/>
  <c r="H51" i="42" s="1"/>
  <c r="H83" i="42"/>
  <c r="H85" i="42" s="1"/>
  <c r="H18" i="42"/>
  <c r="H83" i="43"/>
  <c r="H85" i="43" s="1"/>
  <c r="H18" i="43"/>
  <c r="O45" i="43"/>
  <c r="O79" i="43"/>
  <c r="P13" i="41"/>
  <c r="P79" i="41" s="1"/>
  <c r="P13" i="43"/>
  <c r="P13" i="42"/>
  <c r="I17" i="43"/>
  <c r="I17" i="42"/>
  <c r="O45" i="42"/>
  <c r="O79" i="42"/>
  <c r="K51" i="45"/>
  <c r="L46" i="45" s="1"/>
  <c r="L48" i="45" s="1"/>
  <c r="L50" i="45" s="1"/>
  <c r="I38" i="46"/>
  <c r="I40" i="46" s="1"/>
  <c r="L41" i="45"/>
  <c r="M36" i="45" s="1"/>
  <c r="M38" i="45" s="1"/>
  <c r="J12" i="46"/>
  <c r="I66" i="46"/>
  <c r="I68" i="46" s="1"/>
  <c r="I13" i="46"/>
  <c r="M67" i="45"/>
  <c r="M69" i="45" s="1"/>
  <c r="M70" i="45" s="1"/>
  <c r="N65" i="45" s="1"/>
  <c r="M58" i="45"/>
  <c r="M60" i="45" s="1"/>
  <c r="M61" i="45" s="1"/>
  <c r="N56" i="45" s="1"/>
  <c r="Q14" i="34"/>
  <c r="Q43" i="34" s="1"/>
  <c r="Q72" i="34"/>
  <c r="Q65" i="34"/>
  <c r="Q78" i="34" s="1"/>
  <c r="V189" i="32"/>
  <c r="R71" i="33"/>
  <c r="R42" i="33"/>
  <c r="R64" i="34"/>
  <c r="R35" i="34"/>
  <c r="R42" i="34"/>
  <c r="R71" i="34"/>
  <c r="R67" i="35"/>
  <c r="R38" i="35"/>
  <c r="H72" i="35"/>
  <c r="I15" i="35"/>
  <c r="I15" i="34"/>
  <c r="S10" i="35"/>
  <c r="S10" i="34"/>
  <c r="S13" i="35"/>
  <c r="S13" i="34"/>
  <c r="S12" i="35"/>
  <c r="S12" i="34"/>
  <c r="R41" i="35"/>
  <c r="R70" i="35"/>
  <c r="R70" i="34"/>
  <c r="R41" i="34"/>
  <c r="S6" i="35"/>
  <c r="S34" i="35" s="1"/>
  <c r="R69" i="35"/>
  <c r="R40" i="35"/>
  <c r="R68" i="34"/>
  <c r="R39" i="34"/>
  <c r="H73" i="34"/>
  <c r="K37" i="40"/>
  <c r="L32" i="40" s="1"/>
  <c r="L34" i="40" s="1"/>
  <c r="L36" i="40" s="1"/>
  <c r="I17" i="41"/>
  <c r="H83" i="41"/>
  <c r="H85" i="41" s="1"/>
  <c r="H18" i="41"/>
  <c r="J47" i="40"/>
  <c r="K42" i="40" s="1"/>
  <c r="K44" i="40" s="1"/>
  <c r="H49" i="41"/>
  <c r="H51" i="41" s="1"/>
  <c r="O79" i="41"/>
  <c r="O45" i="41"/>
  <c r="J63" i="40"/>
  <c r="J65" i="40" s="1"/>
  <c r="J66" i="40" s="1"/>
  <c r="K61" i="40" s="1"/>
  <c r="M61" i="36"/>
  <c r="M63" i="36" s="1"/>
  <c r="M64" i="36" s="1"/>
  <c r="N59" i="36" s="1"/>
  <c r="L70" i="36"/>
  <c r="L72" i="36" s="1"/>
  <c r="L73" i="36" s="1"/>
  <c r="M68" i="36" s="1"/>
  <c r="I54" i="36"/>
  <c r="J49" i="36" s="1"/>
  <c r="S64" i="34"/>
  <c r="S7" i="34"/>
  <c r="S20" i="34" s="1"/>
  <c r="S35" i="34"/>
  <c r="R64" i="35"/>
  <c r="R77" i="35" s="1"/>
  <c r="R35" i="35"/>
  <c r="R48" i="35" s="1"/>
  <c r="R36" i="34"/>
  <c r="R49" i="34" s="1"/>
  <c r="R65" i="34"/>
  <c r="R78" i="34" s="1"/>
  <c r="R69" i="33"/>
  <c r="R40" i="33"/>
  <c r="R38" i="33"/>
  <c r="R67" i="33"/>
  <c r="R70" i="33"/>
  <c r="R41" i="33"/>
  <c r="V18" i="32"/>
  <c r="S10" i="33"/>
  <c r="S12" i="33"/>
  <c r="S6" i="33"/>
  <c r="S13" i="33"/>
  <c r="Q35" i="33"/>
  <c r="Q48" i="33" s="1"/>
  <c r="Q64" i="33"/>
  <c r="Q77" i="33" s="1"/>
  <c r="R63" i="33"/>
  <c r="R7" i="33"/>
  <c r="R20" i="33" s="1"/>
  <c r="R34" i="33"/>
  <c r="H72" i="33"/>
  <c r="K44" i="32"/>
  <c r="L39" i="32" s="1"/>
  <c r="L41" i="32" s="1"/>
  <c r="L43" i="32" s="1"/>
  <c r="I15" i="33"/>
  <c r="R82" i="1"/>
  <c r="R49" i="1"/>
  <c r="R78" i="31"/>
  <c r="R45" i="31"/>
  <c r="T44" i="30"/>
  <c r="T77" i="30"/>
  <c r="R46" i="30"/>
  <c r="R79" i="30"/>
  <c r="R46" i="31"/>
  <c r="R79" i="31"/>
  <c r="R80" i="30"/>
  <c r="R47" i="30"/>
  <c r="R71" i="31"/>
  <c r="R38" i="31"/>
  <c r="R81" i="31"/>
  <c r="R48" i="31"/>
  <c r="R71" i="30"/>
  <c r="R38" i="30"/>
  <c r="R50" i="1"/>
  <c r="T44" i="1"/>
  <c r="T77" i="1"/>
  <c r="R78" i="30"/>
  <c r="R45" i="30"/>
  <c r="R81" i="1"/>
  <c r="R48" i="1"/>
  <c r="R81" i="30"/>
  <c r="R48" i="30"/>
  <c r="R82" i="31"/>
  <c r="R49" i="31"/>
  <c r="V18" i="25"/>
  <c r="S18" i="31"/>
  <c r="S15" i="31"/>
  <c r="S16" i="31"/>
  <c r="S6" i="31"/>
  <c r="S14" i="31"/>
  <c r="S13" i="31"/>
  <c r="S16" i="30"/>
  <c r="S13" i="1"/>
  <c r="S18" i="30"/>
  <c r="S15" i="30"/>
  <c r="S6" i="30"/>
  <c r="S14" i="30"/>
  <c r="S17" i="30"/>
  <c r="S15" i="1"/>
  <c r="S16" i="1"/>
  <c r="S13" i="30"/>
  <c r="S17" i="31"/>
  <c r="S17" i="1"/>
  <c r="S14" i="1"/>
  <c r="U12" i="31"/>
  <c r="U12" i="30"/>
  <c r="U12" i="1"/>
  <c r="T77" i="31"/>
  <c r="T44" i="31"/>
  <c r="R78" i="1"/>
  <c r="R45" i="1"/>
  <c r="R83" i="31"/>
  <c r="R50" i="31"/>
  <c r="Q51" i="30"/>
  <c r="Q84" i="30" s="1"/>
  <c r="Q51" i="31"/>
  <c r="Q84" i="31" s="1"/>
  <c r="R46" i="1"/>
  <c r="R79" i="1"/>
  <c r="R50" i="30"/>
  <c r="R83" i="30"/>
  <c r="R80" i="1"/>
  <c r="R47" i="1"/>
  <c r="R82" i="30"/>
  <c r="R49" i="30"/>
  <c r="R80" i="31"/>
  <c r="R47" i="31"/>
  <c r="M70" i="32"/>
  <c r="M72" i="32" s="1"/>
  <c r="M73" i="32" s="1"/>
  <c r="N68" i="32" s="1"/>
  <c r="J53" i="32"/>
  <c r="V185" i="32"/>
  <c r="Y192" i="32"/>
  <c r="W181" i="32"/>
  <c r="W180" i="32"/>
  <c r="M61" i="32"/>
  <c r="M63" i="32" s="1"/>
  <c r="M64" i="32" s="1"/>
  <c r="N59" i="32" s="1"/>
  <c r="S6" i="1"/>
  <c r="S38" i="1" s="1"/>
  <c r="V177" i="25"/>
  <c r="V194" i="25"/>
  <c r="V191" i="25"/>
  <c r="V178" i="25"/>
  <c r="V192" i="25"/>
  <c r="V193" i="25"/>
  <c r="P84" i="1"/>
  <c r="Q51" i="1"/>
  <c r="Q84" i="1" s="1"/>
  <c r="L63" i="25"/>
  <c r="S54" i="25"/>
  <c r="T49" i="25" s="1"/>
  <c r="T51" i="25" s="1"/>
  <c r="T53" i="25" s="1"/>
  <c r="I45" i="65" l="1"/>
  <c r="I42" i="65"/>
  <c r="I18" i="65"/>
  <c r="I15" i="65"/>
  <c r="J38" i="66"/>
  <c r="J40" i="66" s="1"/>
  <c r="J38" i="65"/>
  <c r="J40" i="65" s="1"/>
  <c r="I73" i="66"/>
  <c r="I70" i="66"/>
  <c r="J66" i="65"/>
  <c r="J68" i="65" s="1"/>
  <c r="J13" i="65"/>
  <c r="I45" i="66"/>
  <c r="I42" i="66"/>
  <c r="I73" i="65"/>
  <c r="I70" i="65"/>
  <c r="I18" i="66"/>
  <c r="I15" i="66"/>
  <c r="J66" i="66"/>
  <c r="J68" i="66" s="1"/>
  <c r="J13" i="66"/>
  <c r="I73" i="46"/>
  <c r="I15" i="46"/>
  <c r="I18" i="46"/>
  <c r="H70" i="46"/>
  <c r="H42" i="46"/>
  <c r="H45" i="46"/>
  <c r="S42" i="35"/>
  <c r="S83" i="1"/>
  <c r="T14" i="33"/>
  <c r="T14" i="35" s="1"/>
  <c r="T71" i="35" s="1"/>
  <c r="T68" i="38"/>
  <c r="T40" i="38"/>
  <c r="T39" i="37"/>
  <c r="T67" i="37"/>
  <c r="H69" i="39"/>
  <c r="T39" i="39"/>
  <c r="T67" i="39"/>
  <c r="H69" i="38"/>
  <c r="T68" i="39"/>
  <c r="T40" i="39"/>
  <c r="T68" i="37"/>
  <c r="T40" i="37"/>
  <c r="K44" i="36"/>
  <c r="L39" i="36" s="1"/>
  <c r="L41" i="36" s="1"/>
  <c r="L43" i="36" s="1"/>
  <c r="L44" i="36" s="1"/>
  <c r="M39" i="36" s="1"/>
  <c r="I14" i="38"/>
  <c r="I14" i="39"/>
  <c r="I14" i="37"/>
  <c r="T67" i="38"/>
  <c r="T39" i="38"/>
  <c r="X18" i="36"/>
  <c r="U13" i="37"/>
  <c r="U13" i="38"/>
  <c r="U13" i="39"/>
  <c r="U12" i="37"/>
  <c r="U12" i="39"/>
  <c r="U12" i="38"/>
  <c r="H69" i="37"/>
  <c r="H87" i="41"/>
  <c r="H90" i="41"/>
  <c r="H87" i="42"/>
  <c r="H90" i="42"/>
  <c r="H87" i="43"/>
  <c r="H90" i="43"/>
  <c r="H53" i="42"/>
  <c r="H56" i="42"/>
  <c r="H20" i="42"/>
  <c r="H23" i="42"/>
  <c r="H53" i="43"/>
  <c r="H56" i="43"/>
  <c r="H20" i="43"/>
  <c r="H23" i="43"/>
  <c r="H53" i="41"/>
  <c r="H56" i="41"/>
  <c r="H20" i="41"/>
  <c r="H23" i="41"/>
  <c r="P45" i="41"/>
  <c r="I83" i="42"/>
  <c r="I85" i="42" s="1"/>
  <c r="I18" i="42"/>
  <c r="P79" i="43"/>
  <c r="P45" i="43"/>
  <c r="J17" i="43"/>
  <c r="J17" i="42"/>
  <c r="K45" i="40"/>
  <c r="K46" i="40" s="1"/>
  <c r="I83" i="43"/>
  <c r="I85" i="43" s="1"/>
  <c r="I18" i="43"/>
  <c r="P79" i="42"/>
  <c r="P45" i="42"/>
  <c r="L51" i="45"/>
  <c r="M46" i="45" s="1"/>
  <c r="M48" i="45" s="1"/>
  <c r="J38" i="46"/>
  <c r="J40" i="46" s="1"/>
  <c r="J66" i="46"/>
  <c r="J68" i="46" s="1"/>
  <c r="J13" i="46"/>
  <c r="M40" i="45"/>
  <c r="N38" i="45"/>
  <c r="N58" i="45"/>
  <c r="N60" i="45" s="1"/>
  <c r="N61" i="45" s="1"/>
  <c r="O56" i="45" s="1"/>
  <c r="N67" i="45"/>
  <c r="N69" i="45" s="1"/>
  <c r="N70" i="45" s="1"/>
  <c r="O65" i="45" s="1"/>
  <c r="R14" i="34"/>
  <c r="R43" i="34" s="1"/>
  <c r="R72" i="34"/>
  <c r="S42" i="33"/>
  <c r="S71" i="33"/>
  <c r="W189" i="32"/>
  <c r="S63" i="35"/>
  <c r="S7" i="35"/>
  <c r="T10" i="34"/>
  <c r="T10" i="35"/>
  <c r="T6" i="34"/>
  <c r="T35" i="34" s="1"/>
  <c r="T13" i="34"/>
  <c r="T13" i="35"/>
  <c r="T12" i="34"/>
  <c r="T12" i="35"/>
  <c r="T6" i="35"/>
  <c r="T7" i="35" s="1"/>
  <c r="T20" i="35" s="1"/>
  <c r="S71" i="34"/>
  <c r="S42" i="34"/>
  <c r="H44" i="34"/>
  <c r="H43" i="35"/>
  <c r="S70" i="35"/>
  <c r="S41" i="35"/>
  <c r="S67" i="35"/>
  <c r="S38" i="35"/>
  <c r="S41" i="34"/>
  <c r="S70" i="34"/>
  <c r="I73" i="34"/>
  <c r="J15" i="35"/>
  <c r="J15" i="34"/>
  <c r="S40" i="35"/>
  <c r="S69" i="35"/>
  <c r="S68" i="34"/>
  <c r="S39" i="34"/>
  <c r="I72" i="35"/>
  <c r="I83" i="41"/>
  <c r="I85" i="41" s="1"/>
  <c r="I18" i="41"/>
  <c r="L37" i="40"/>
  <c r="M32" i="40" s="1"/>
  <c r="M34" i="40" s="1"/>
  <c r="M36" i="40" s="1"/>
  <c r="J17" i="41"/>
  <c r="K63" i="40"/>
  <c r="M70" i="36"/>
  <c r="M72" i="36" s="1"/>
  <c r="M73" i="36" s="1"/>
  <c r="N68" i="36" s="1"/>
  <c r="N61" i="36"/>
  <c r="N63" i="36" s="1"/>
  <c r="N64" i="36" s="1"/>
  <c r="O59" i="36" s="1"/>
  <c r="J51" i="36"/>
  <c r="J53" i="36" s="1"/>
  <c r="S65" i="34"/>
  <c r="S78" i="34" s="1"/>
  <c r="S36" i="34"/>
  <c r="S49" i="34" s="1"/>
  <c r="S7" i="33"/>
  <c r="S20" i="33" s="1"/>
  <c r="S63" i="33"/>
  <c r="S34" i="33"/>
  <c r="S40" i="33"/>
  <c r="S69" i="33"/>
  <c r="S67" i="33"/>
  <c r="S38" i="33"/>
  <c r="R35" i="33"/>
  <c r="R48" i="33" s="1"/>
  <c r="R64" i="33"/>
  <c r="R77" i="33" s="1"/>
  <c r="S41" i="33"/>
  <c r="S70" i="33"/>
  <c r="W18" i="32"/>
  <c r="U6" i="35" s="1"/>
  <c r="T6" i="33"/>
  <c r="T10" i="33"/>
  <c r="T12" i="33"/>
  <c r="T13" i="33"/>
  <c r="I72" i="33"/>
  <c r="J54" i="32"/>
  <c r="K49" i="32" s="1"/>
  <c r="K51" i="32" s="1"/>
  <c r="K53" i="32" s="1"/>
  <c r="H43" i="33"/>
  <c r="L44" i="32"/>
  <c r="M39" i="32" s="1"/>
  <c r="M41" i="32" s="1"/>
  <c r="M43" i="32" s="1"/>
  <c r="J15" i="33"/>
  <c r="S45" i="30"/>
  <c r="S78" i="30"/>
  <c r="W18" i="25"/>
  <c r="T18" i="31"/>
  <c r="T13" i="31"/>
  <c r="T18" i="30"/>
  <c r="T13" i="30"/>
  <c r="T13" i="1"/>
  <c r="T6" i="31"/>
  <c r="T6" i="30"/>
  <c r="T15" i="1"/>
  <c r="T15" i="31"/>
  <c r="T15" i="30"/>
  <c r="T16" i="1"/>
  <c r="T17" i="1"/>
  <c r="V12" i="1"/>
  <c r="T14" i="30"/>
  <c r="T14" i="1"/>
  <c r="V12" i="31"/>
  <c r="T16" i="31"/>
  <c r="V12" i="30"/>
  <c r="T14" i="31"/>
  <c r="T16" i="30"/>
  <c r="T17" i="30"/>
  <c r="T17" i="31"/>
  <c r="S46" i="1"/>
  <c r="S79" i="1"/>
  <c r="S48" i="1"/>
  <c r="S81" i="1"/>
  <c r="S71" i="30"/>
  <c r="S38" i="30"/>
  <c r="S81" i="30"/>
  <c r="S48" i="30"/>
  <c r="S81" i="31"/>
  <c r="S48" i="31"/>
  <c r="S38" i="31"/>
  <c r="S71" i="31"/>
  <c r="R51" i="31"/>
  <c r="R84" i="31" s="1"/>
  <c r="R51" i="30"/>
  <c r="R84" i="30" s="1"/>
  <c r="U77" i="1"/>
  <c r="U44" i="1"/>
  <c r="S82" i="1"/>
  <c r="S49" i="1"/>
  <c r="S80" i="1"/>
  <c r="S47" i="1"/>
  <c r="S80" i="30"/>
  <c r="S47" i="30"/>
  <c r="S78" i="31"/>
  <c r="S45" i="31"/>
  <c r="S80" i="31"/>
  <c r="S47" i="31"/>
  <c r="U77" i="31"/>
  <c r="U44" i="31"/>
  <c r="S46" i="30"/>
  <c r="S79" i="30"/>
  <c r="S78" i="1"/>
  <c r="S45" i="1"/>
  <c r="T18" i="1"/>
  <c r="T83" i="1" s="1"/>
  <c r="U77" i="30"/>
  <c r="U44" i="30"/>
  <c r="S49" i="31"/>
  <c r="S82" i="31"/>
  <c r="S82" i="30"/>
  <c r="S49" i="30"/>
  <c r="S50" i="30"/>
  <c r="S83" i="30"/>
  <c r="S46" i="31"/>
  <c r="S79" i="31"/>
  <c r="S83" i="31"/>
  <c r="S50" i="31"/>
  <c r="N61" i="32"/>
  <c r="N63" i="32" s="1"/>
  <c r="N64" i="32" s="1"/>
  <c r="O59" i="32" s="1"/>
  <c r="N70" i="32"/>
  <c r="N72" i="32" s="1"/>
  <c r="N73" i="32" s="1"/>
  <c r="O68" i="32" s="1"/>
  <c r="X180" i="32"/>
  <c r="Z192" i="32"/>
  <c r="X181" i="32"/>
  <c r="W185" i="32"/>
  <c r="T6" i="1"/>
  <c r="T71" i="1" s="1"/>
  <c r="S71" i="1"/>
  <c r="W194" i="25"/>
  <c r="W193" i="25"/>
  <c r="W178" i="25"/>
  <c r="W192" i="25"/>
  <c r="W191" i="25"/>
  <c r="W177" i="25"/>
  <c r="R51" i="1"/>
  <c r="R84" i="1" s="1"/>
  <c r="R72" i="25"/>
  <c r="R73" i="25" s="1"/>
  <c r="S68" i="25" s="1"/>
  <c r="S70" i="25" s="1"/>
  <c r="L64" i="25"/>
  <c r="M59" i="25" s="1"/>
  <c r="M61" i="25" s="1"/>
  <c r="T54" i="25"/>
  <c r="U49" i="25" s="1"/>
  <c r="U51" i="25" s="1"/>
  <c r="U53" i="25" s="1"/>
  <c r="J18" i="66" l="1"/>
  <c r="J15" i="66"/>
  <c r="J18" i="65"/>
  <c r="J15" i="65"/>
  <c r="J45" i="65"/>
  <c r="J42" i="65"/>
  <c r="K12" i="65"/>
  <c r="K12" i="66"/>
  <c r="J73" i="66"/>
  <c r="J70" i="66"/>
  <c r="J73" i="65"/>
  <c r="J70" i="65"/>
  <c r="J45" i="66"/>
  <c r="J42" i="66"/>
  <c r="J73" i="46"/>
  <c r="J15" i="46"/>
  <c r="J18" i="46"/>
  <c r="I70" i="46"/>
  <c r="I42" i="46"/>
  <c r="I45" i="46"/>
  <c r="K12" i="46"/>
  <c r="K13" i="46" s="1"/>
  <c r="U40" i="37"/>
  <c r="U68" i="37"/>
  <c r="I69" i="38"/>
  <c r="J54" i="36"/>
  <c r="K49" i="36" s="1"/>
  <c r="K51" i="36" s="1"/>
  <c r="K53" i="36" s="1"/>
  <c r="H41" i="38"/>
  <c r="H41" i="37"/>
  <c r="H41" i="39"/>
  <c r="U14" i="33"/>
  <c r="U14" i="35" s="1"/>
  <c r="U71" i="35" s="1"/>
  <c r="T42" i="35"/>
  <c r="U39" i="37"/>
  <c r="U67" i="37"/>
  <c r="Y18" i="36"/>
  <c r="V13" i="39"/>
  <c r="V13" i="38"/>
  <c r="V13" i="37"/>
  <c r="V12" i="37"/>
  <c r="V12" i="39"/>
  <c r="V12" i="38"/>
  <c r="T50" i="1"/>
  <c r="U68" i="39"/>
  <c r="U40" i="39"/>
  <c r="I69" i="37"/>
  <c r="U67" i="39"/>
  <c r="U39" i="39"/>
  <c r="J14" i="38"/>
  <c r="J14" i="37"/>
  <c r="J14" i="39"/>
  <c r="S64" i="35"/>
  <c r="S77" i="35" s="1"/>
  <c r="S20" i="35"/>
  <c r="U67" i="38"/>
  <c r="U39" i="38"/>
  <c r="U68" i="38"/>
  <c r="U40" i="38"/>
  <c r="I69" i="39"/>
  <c r="T64" i="34"/>
  <c r="I87" i="42"/>
  <c r="I90" i="42"/>
  <c r="I87" i="43"/>
  <c r="I90" i="43"/>
  <c r="I87" i="41"/>
  <c r="I90" i="41"/>
  <c r="I20" i="42"/>
  <c r="I23" i="42"/>
  <c r="I20" i="43"/>
  <c r="I23" i="43"/>
  <c r="I20" i="41"/>
  <c r="I23" i="41"/>
  <c r="K55" i="40"/>
  <c r="K64" i="40" s="1"/>
  <c r="K65" i="40" s="1"/>
  <c r="K66" i="40" s="1"/>
  <c r="L61" i="40" s="1"/>
  <c r="L63" i="40" s="1"/>
  <c r="K17" i="43"/>
  <c r="K17" i="42"/>
  <c r="J83" i="43"/>
  <c r="J85" i="43" s="1"/>
  <c r="J18" i="43"/>
  <c r="J83" i="42"/>
  <c r="J85" i="42" s="1"/>
  <c r="J18" i="42"/>
  <c r="I49" i="43"/>
  <c r="I51" i="43" s="1"/>
  <c r="I49" i="42"/>
  <c r="I51" i="42" s="1"/>
  <c r="M50" i="45"/>
  <c r="N48" i="45"/>
  <c r="M41" i="45"/>
  <c r="N40" i="45"/>
  <c r="O67" i="45"/>
  <c r="O69" i="45" s="1"/>
  <c r="O70" i="45" s="1"/>
  <c r="P65" i="45" s="1"/>
  <c r="O58" i="45"/>
  <c r="O60" i="45" s="1"/>
  <c r="O61" i="45" s="1"/>
  <c r="P56" i="45" s="1"/>
  <c r="S72" i="34"/>
  <c r="S14" i="34"/>
  <c r="S43" i="34" s="1"/>
  <c r="X189" i="32"/>
  <c r="T42" i="33"/>
  <c r="T71" i="33"/>
  <c r="S35" i="35"/>
  <c r="S48" i="35" s="1"/>
  <c r="T7" i="34"/>
  <c r="T63" i="35"/>
  <c r="K15" i="35"/>
  <c r="K15" i="34"/>
  <c r="T40" i="35"/>
  <c r="T69" i="35"/>
  <c r="T34" i="35"/>
  <c r="J73" i="34"/>
  <c r="T41" i="34"/>
  <c r="T70" i="34"/>
  <c r="T38" i="35"/>
  <c r="T67" i="35"/>
  <c r="I44" i="34"/>
  <c r="I43" i="35"/>
  <c r="U10" i="34"/>
  <c r="U10" i="35"/>
  <c r="U13" i="34"/>
  <c r="U13" i="35"/>
  <c r="U12" i="35"/>
  <c r="U12" i="34"/>
  <c r="U6" i="34"/>
  <c r="U7" i="34" s="1"/>
  <c r="U20" i="34" s="1"/>
  <c r="J72" i="35"/>
  <c r="T41" i="35"/>
  <c r="T70" i="35"/>
  <c r="T68" i="34"/>
  <c r="T39" i="34"/>
  <c r="T71" i="34"/>
  <c r="T42" i="34"/>
  <c r="J83" i="41"/>
  <c r="J85" i="41" s="1"/>
  <c r="J18" i="41"/>
  <c r="K47" i="40"/>
  <c r="L42" i="40" s="1"/>
  <c r="L44" i="40" s="1"/>
  <c r="I49" i="41"/>
  <c r="I51" i="41" s="1"/>
  <c r="M37" i="40"/>
  <c r="N32" i="40" s="1"/>
  <c r="N34" i="40" s="1"/>
  <c r="N36" i="40" s="1"/>
  <c r="K17" i="41"/>
  <c r="O61" i="36"/>
  <c r="O63" i="36" s="1"/>
  <c r="O64" i="36" s="1"/>
  <c r="P59" i="36" s="1"/>
  <c r="N70" i="36"/>
  <c r="N72" i="36" s="1"/>
  <c r="N73" i="36" s="1"/>
  <c r="O68" i="36" s="1"/>
  <c r="M41" i="36"/>
  <c r="M43" i="36" s="1"/>
  <c r="T64" i="35"/>
  <c r="T77" i="35" s="1"/>
  <c r="T35" i="35"/>
  <c r="T48" i="35" s="1"/>
  <c r="U7" i="35"/>
  <c r="U20" i="35" s="1"/>
  <c r="U34" i="35"/>
  <c r="U63" i="35"/>
  <c r="T38" i="33"/>
  <c r="T67" i="33"/>
  <c r="T70" i="33"/>
  <c r="T41" i="33"/>
  <c r="X18" i="32"/>
  <c r="V6" i="34" s="1"/>
  <c r="U10" i="33"/>
  <c r="U12" i="33"/>
  <c r="U13" i="33"/>
  <c r="U6" i="33"/>
  <c r="T69" i="33"/>
  <c r="T40" i="33"/>
  <c r="T7" i="33"/>
  <c r="T20" i="33" s="1"/>
  <c r="T63" i="33"/>
  <c r="T34" i="33"/>
  <c r="S35" i="33"/>
  <c r="S48" i="33" s="1"/>
  <c r="S64" i="33"/>
  <c r="S77" i="33" s="1"/>
  <c r="M44" i="32"/>
  <c r="N39" i="32" s="1"/>
  <c r="N41" i="32" s="1"/>
  <c r="N43" i="32" s="1"/>
  <c r="K15" i="33"/>
  <c r="K54" i="32"/>
  <c r="L49" i="32" s="1"/>
  <c r="L51" i="32" s="1"/>
  <c r="L53" i="32" s="1"/>
  <c r="I43" i="33"/>
  <c r="J72" i="33"/>
  <c r="V77" i="1"/>
  <c r="V44" i="1"/>
  <c r="T80" i="31"/>
  <c r="T47" i="31"/>
  <c r="T78" i="1"/>
  <c r="T45" i="1"/>
  <c r="T48" i="30"/>
  <c r="T81" i="30"/>
  <c r="V77" i="31"/>
  <c r="V44" i="31"/>
  <c r="T82" i="1"/>
  <c r="T49" i="1"/>
  <c r="T47" i="1"/>
  <c r="T80" i="1"/>
  <c r="T78" i="30"/>
  <c r="T45" i="30"/>
  <c r="X18" i="25"/>
  <c r="U17" i="31"/>
  <c r="U15" i="31"/>
  <c r="U14" i="31"/>
  <c r="U15" i="30"/>
  <c r="U13" i="30"/>
  <c r="U6" i="30"/>
  <c r="U15" i="1"/>
  <c r="U16" i="1"/>
  <c r="U18" i="31"/>
  <c r="U6" i="31"/>
  <c r="U14" i="30"/>
  <c r="U18" i="30"/>
  <c r="U16" i="30"/>
  <c r="U13" i="1"/>
  <c r="U16" i="31"/>
  <c r="U17" i="30"/>
  <c r="U13" i="31"/>
  <c r="U17" i="1"/>
  <c r="U14" i="1"/>
  <c r="W12" i="30"/>
  <c r="W12" i="31"/>
  <c r="W12" i="1"/>
  <c r="T81" i="31"/>
  <c r="T48" i="31"/>
  <c r="S51" i="31"/>
  <c r="S84" i="31" s="1"/>
  <c r="S51" i="30"/>
  <c r="S84" i="30" s="1"/>
  <c r="U18" i="1"/>
  <c r="U83" i="1" s="1"/>
  <c r="T46" i="31"/>
  <c r="T79" i="31"/>
  <c r="T46" i="1"/>
  <c r="T79" i="1"/>
  <c r="T81" i="1"/>
  <c r="T48" i="1"/>
  <c r="T38" i="30"/>
  <c r="T71" i="30"/>
  <c r="T83" i="30"/>
  <c r="T50" i="30"/>
  <c r="T49" i="30"/>
  <c r="T82" i="30"/>
  <c r="T83" i="31"/>
  <c r="T50" i="31"/>
  <c r="T82" i="31"/>
  <c r="T49" i="31"/>
  <c r="V77" i="30"/>
  <c r="V44" i="30"/>
  <c r="T46" i="30"/>
  <c r="T79" i="30"/>
  <c r="T80" i="30"/>
  <c r="T47" i="30"/>
  <c r="T71" i="31"/>
  <c r="T38" i="31"/>
  <c r="T78" i="31"/>
  <c r="T45" i="31"/>
  <c r="O70" i="32"/>
  <c r="O72" i="32" s="1"/>
  <c r="O73" i="32" s="1"/>
  <c r="P68" i="32" s="1"/>
  <c r="O61" i="32"/>
  <c r="O63" i="32" s="1"/>
  <c r="O64" i="32" s="1"/>
  <c r="P59" i="32" s="1"/>
  <c r="X185" i="32"/>
  <c r="Y180" i="32"/>
  <c r="Y181" i="32"/>
  <c r="AA192" i="32"/>
  <c r="T38" i="1"/>
  <c r="U6" i="1"/>
  <c r="U71" i="1" s="1"/>
  <c r="X192" i="25"/>
  <c r="X177" i="25"/>
  <c r="X193" i="25"/>
  <c r="X191" i="25"/>
  <c r="X178" i="25"/>
  <c r="X194" i="25"/>
  <c r="S51" i="1"/>
  <c r="S84" i="1" s="1"/>
  <c r="S72" i="25"/>
  <c r="S73" i="25" s="1"/>
  <c r="T68" i="25" s="1"/>
  <c r="T70" i="25" s="1"/>
  <c r="M63" i="25"/>
  <c r="M64" i="25" s="1"/>
  <c r="N59" i="25" s="1"/>
  <c r="U54" i="25"/>
  <c r="V49" i="25" s="1"/>
  <c r="V51" i="25" s="1"/>
  <c r="V53" i="25" s="1"/>
  <c r="K66" i="66" l="1"/>
  <c r="K68" i="66" s="1"/>
  <c r="K13" i="66"/>
  <c r="K38" i="65"/>
  <c r="K40" i="65" s="1"/>
  <c r="K38" i="66"/>
  <c r="K40" i="66" s="1"/>
  <c r="K66" i="65"/>
  <c r="K68" i="65" s="1"/>
  <c r="K13" i="65"/>
  <c r="K15" i="46"/>
  <c r="B22" i="46" s="1"/>
  <c r="J28" i="14" s="1"/>
  <c r="K18" i="46"/>
  <c r="L18" i="46" s="1"/>
  <c r="D36" i="14" s="1"/>
  <c r="G36" i="14" s="1"/>
  <c r="J70" i="46"/>
  <c r="J42" i="46"/>
  <c r="J45" i="46"/>
  <c r="K66" i="46"/>
  <c r="K68" i="46" s="1"/>
  <c r="K38" i="46"/>
  <c r="K40" i="46" s="1"/>
  <c r="U42" i="35"/>
  <c r="K54" i="36"/>
  <c r="L49" i="36" s="1"/>
  <c r="L51" i="36" s="1"/>
  <c r="L53" i="36" s="1"/>
  <c r="I41" i="38"/>
  <c r="I41" i="39"/>
  <c r="I41" i="37"/>
  <c r="J69" i="38"/>
  <c r="V67" i="37"/>
  <c r="V39" i="37"/>
  <c r="Z18" i="36"/>
  <c r="W13" i="37"/>
  <c r="W13" i="38"/>
  <c r="W13" i="39"/>
  <c r="W12" i="37"/>
  <c r="W12" i="38"/>
  <c r="W12" i="39"/>
  <c r="M44" i="36"/>
  <c r="N39" i="36" s="1"/>
  <c r="N41" i="36" s="1"/>
  <c r="N43" i="36" s="1"/>
  <c r="K14" i="38"/>
  <c r="K14" i="39"/>
  <c r="K14" i="37"/>
  <c r="V40" i="37"/>
  <c r="V68" i="37"/>
  <c r="T65" i="34"/>
  <c r="T78" i="34" s="1"/>
  <c r="T20" i="34"/>
  <c r="V14" i="33"/>
  <c r="V14" i="35" s="1"/>
  <c r="V71" i="35" s="1"/>
  <c r="J69" i="39"/>
  <c r="V39" i="38"/>
  <c r="V67" i="38"/>
  <c r="V68" i="38"/>
  <c r="V40" i="38"/>
  <c r="J69" i="37"/>
  <c r="V67" i="39"/>
  <c r="V39" i="39"/>
  <c r="V68" i="39"/>
  <c r="V40" i="39"/>
  <c r="U50" i="1"/>
  <c r="J87" i="43"/>
  <c r="J90" i="43"/>
  <c r="J87" i="42"/>
  <c r="J90" i="42"/>
  <c r="J87" i="41"/>
  <c r="J90" i="41"/>
  <c r="I53" i="42"/>
  <c r="I56" i="42"/>
  <c r="J20" i="42"/>
  <c r="J23" i="42"/>
  <c r="I53" i="43"/>
  <c r="I56" i="43"/>
  <c r="J20" i="43"/>
  <c r="J23" i="43"/>
  <c r="I53" i="41"/>
  <c r="I56" i="41"/>
  <c r="J20" i="41"/>
  <c r="J23" i="41"/>
  <c r="L45" i="40"/>
  <c r="L46" i="40" s="1"/>
  <c r="K56" i="40"/>
  <c r="K57" i="40" s="1"/>
  <c r="L52" i="40" s="1"/>
  <c r="L54" i="40" s="1"/>
  <c r="K83" i="43"/>
  <c r="K85" i="43" s="1"/>
  <c r="K18" i="43"/>
  <c r="K83" i="42"/>
  <c r="K85" i="42" s="1"/>
  <c r="K18" i="42"/>
  <c r="L17" i="43"/>
  <c r="L17" i="42"/>
  <c r="M51" i="45"/>
  <c r="N50" i="45"/>
  <c r="P58" i="45"/>
  <c r="P60" i="45" s="1"/>
  <c r="P61" i="45" s="1"/>
  <c r="Q56" i="45" s="1"/>
  <c r="P67" i="45"/>
  <c r="P69" i="45" s="1"/>
  <c r="P70" i="45" s="1"/>
  <c r="Q65" i="45" s="1"/>
  <c r="T72" i="34"/>
  <c r="T14" i="34"/>
  <c r="T43" i="34" s="1"/>
  <c r="T36" i="34"/>
  <c r="T49" i="34" s="1"/>
  <c r="U64" i="34"/>
  <c r="U42" i="33"/>
  <c r="U71" i="33"/>
  <c r="Y189" i="32"/>
  <c r="U35" i="34"/>
  <c r="J43" i="35"/>
  <c r="J44" i="34"/>
  <c r="U70" i="35"/>
  <c r="U41" i="35"/>
  <c r="U68" i="34"/>
  <c r="U39" i="34"/>
  <c r="U42" i="34"/>
  <c r="U71" i="34"/>
  <c r="K73" i="34"/>
  <c r="L15" i="34"/>
  <c r="L15" i="35"/>
  <c r="U70" i="34"/>
  <c r="U41" i="34"/>
  <c r="K72" i="35"/>
  <c r="V10" i="35"/>
  <c r="V10" i="34"/>
  <c r="V13" i="34"/>
  <c r="V13" i="35"/>
  <c r="V12" i="35"/>
  <c r="V12" i="34"/>
  <c r="V6" i="35"/>
  <c r="V63" i="35" s="1"/>
  <c r="U40" i="35"/>
  <c r="U69" i="35"/>
  <c r="U38" i="35"/>
  <c r="U67" i="35"/>
  <c r="K83" i="41"/>
  <c r="K85" i="41" s="1"/>
  <c r="K18" i="41"/>
  <c r="N37" i="40"/>
  <c r="O32" i="40" s="1"/>
  <c r="O34" i="40" s="1"/>
  <c r="O36" i="40" s="1"/>
  <c r="L17" i="41"/>
  <c r="O70" i="36"/>
  <c r="O72" i="36" s="1"/>
  <c r="O73" i="36" s="1"/>
  <c r="P68" i="36" s="1"/>
  <c r="P61" i="36"/>
  <c r="P63" i="36" s="1"/>
  <c r="P64" i="36" s="1"/>
  <c r="Q59" i="36" s="1"/>
  <c r="U64" i="35"/>
  <c r="U77" i="35" s="1"/>
  <c r="U35" i="35"/>
  <c r="U48" i="35" s="1"/>
  <c r="V64" i="34"/>
  <c r="V35" i="34"/>
  <c r="V7" i="34"/>
  <c r="V20" i="34" s="1"/>
  <c r="U65" i="34"/>
  <c r="U78" i="34" s="1"/>
  <c r="U36" i="34"/>
  <c r="U49" i="34" s="1"/>
  <c r="T35" i="33"/>
  <c r="T48" i="33" s="1"/>
  <c r="T64" i="33"/>
  <c r="T77" i="33" s="1"/>
  <c r="U70" i="33"/>
  <c r="U41" i="33"/>
  <c r="U69" i="33"/>
  <c r="U40" i="33"/>
  <c r="U67" i="33"/>
  <c r="U38" i="33"/>
  <c r="U63" i="33"/>
  <c r="U7" i="33"/>
  <c r="U20" i="33" s="1"/>
  <c r="U34" i="33"/>
  <c r="Y18" i="32"/>
  <c r="V6" i="33"/>
  <c r="V10" i="33"/>
  <c r="V12" i="33"/>
  <c r="V13" i="33"/>
  <c r="N44" i="32"/>
  <c r="O39" i="32" s="1"/>
  <c r="O41" i="32" s="1"/>
  <c r="O43" i="32" s="1"/>
  <c r="L15" i="33"/>
  <c r="L54" i="32"/>
  <c r="M49" i="32" s="1"/>
  <c r="M51" i="32" s="1"/>
  <c r="M53" i="32" s="1"/>
  <c r="J43" i="33"/>
  <c r="K72" i="33"/>
  <c r="W44" i="31"/>
  <c r="W77" i="31"/>
  <c r="U81" i="30"/>
  <c r="U48" i="30"/>
  <c r="U78" i="30"/>
  <c r="U45" i="30"/>
  <c r="W77" i="30"/>
  <c r="W44" i="30"/>
  <c r="U82" i="30"/>
  <c r="U49" i="30"/>
  <c r="U83" i="30"/>
  <c r="U50" i="30"/>
  <c r="U48" i="1"/>
  <c r="U81" i="1"/>
  <c r="U47" i="30"/>
  <c r="U80" i="30"/>
  <c r="Y18" i="25"/>
  <c r="V17" i="31"/>
  <c r="V18" i="31"/>
  <c r="V16" i="31"/>
  <c r="V6" i="31"/>
  <c r="V14" i="30"/>
  <c r="V14" i="31"/>
  <c r="V17" i="30"/>
  <c r="V15" i="1"/>
  <c r="V16" i="1"/>
  <c r="V13" i="1"/>
  <c r="V15" i="31"/>
  <c r="V15" i="30"/>
  <c r="V6" i="30"/>
  <c r="V18" i="30"/>
  <c r="V16" i="30"/>
  <c r="V13" i="30"/>
  <c r="V13" i="31"/>
  <c r="X12" i="31"/>
  <c r="X12" i="1"/>
  <c r="V17" i="1"/>
  <c r="V14" i="1"/>
  <c r="X12" i="30"/>
  <c r="U78" i="31"/>
  <c r="U45" i="31"/>
  <c r="U82" i="31"/>
  <c r="U49" i="31"/>
  <c r="U46" i="1"/>
  <c r="U79" i="1"/>
  <c r="U48" i="31"/>
  <c r="U81" i="31"/>
  <c r="U79" i="30"/>
  <c r="U46" i="30"/>
  <c r="U80" i="1"/>
  <c r="U47" i="1"/>
  <c r="U46" i="31"/>
  <c r="U79" i="31"/>
  <c r="U83" i="31"/>
  <c r="U50" i="31"/>
  <c r="T51" i="31"/>
  <c r="T84" i="31" s="1"/>
  <c r="T51" i="30"/>
  <c r="T84" i="30" s="1"/>
  <c r="V18" i="1"/>
  <c r="V50" i="1" s="1"/>
  <c r="W44" i="1"/>
  <c r="W77" i="1"/>
  <c r="U82" i="1"/>
  <c r="U49" i="1"/>
  <c r="U45" i="1"/>
  <c r="U78" i="1"/>
  <c r="U71" i="31"/>
  <c r="U38" i="31"/>
  <c r="U71" i="30"/>
  <c r="U38" i="30"/>
  <c r="U47" i="31"/>
  <c r="U80" i="31"/>
  <c r="P61" i="32"/>
  <c r="P63" i="32" s="1"/>
  <c r="P64" i="32" s="1"/>
  <c r="Q59" i="32" s="1"/>
  <c r="P70" i="32"/>
  <c r="P72" i="32" s="1"/>
  <c r="P73" i="32" s="1"/>
  <c r="Q68" i="32" s="1"/>
  <c r="Z181" i="32"/>
  <c r="Y185" i="32"/>
  <c r="AB192" i="32"/>
  <c r="Z180" i="32"/>
  <c r="U38" i="1"/>
  <c r="V6" i="1"/>
  <c r="V38" i="1" s="1"/>
  <c r="Y192" i="25"/>
  <c r="Y178" i="25"/>
  <c r="Y193" i="25"/>
  <c r="Y194" i="25"/>
  <c r="Y191" i="25"/>
  <c r="Y177" i="25"/>
  <c r="T51" i="1"/>
  <c r="T84" i="1" s="1"/>
  <c r="T72" i="25"/>
  <c r="T73" i="25" s="1"/>
  <c r="U68" i="25" s="1"/>
  <c r="U70" i="25" s="1"/>
  <c r="N61" i="25"/>
  <c r="N63" i="25" s="1"/>
  <c r="N64" i="25" s="1"/>
  <c r="O59" i="25" s="1"/>
  <c r="V54" i="25"/>
  <c r="W49" i="25" s="1"/>
  <c r="W51" i="25" s="1"/>
  <c r="W53" i="25" s="1"/>
  <c r="B20" i="46" l="1"/>
  <c r="D28" i="14" s="1"/>
  <c r="E36" i="14" s="1"/>
  <c r="K45" i="65"/>
  <c r="L45" i="65" s="1"/>
  <c r="I37" i="14" s="1"/>
  <c r="L37" i="14" s="1"/>
  <c r="K42" i="65"/>
  <c r="K45" i="66"/>
  <c r="L45" i="66" s="1"/>
  <c r="N37" i="14" s="1"/>
  <c r="Q37" i="14" s="1"/>
  <c r="K42" i="66"/>
  <c r="K18" i="65"/>
  <c r="L18" i="65" s="1"/>
  <c r="I36" i="14" s="1"/>
  <c r="L36" i="14" s="1"/>
  <c r="K15" i="65"/>
  <c r="K18" i="66"/>
  <c r="L18" i="66" s="1"/>
  <c r="N36" i="14" s="1"/>
  <c r="Q36" i="14" s="1"/>
  <c r="K15" i="66"/>
  <c r="B22" i="66" s="1"/>
  <c r="K73" i="65"/>
  <c r="L73" i="65" s="1"/>
  <c r="I38" i="14" s="1"/>
  <c r="L38" i="14" s="1"/>
  <c r="K70" i="65"/>
  <c r="K73" i="66"/>
  <c r="L73" i="66" s="1"/>
  <c r="N38" i="14" s="1"/>
  <c r="Q38" i="14" s="1"/>
  <c r="K70" i="66"/>
  <c r="K73" i="46"/>
  <c r="L73" i="46" s="1"/>
  <c r="D38" i="14" s="1"/>
  <c r="G38" i="14" s="1"/>
  <c r="W6" i="1"/>
  <c r="W71" i="1" s="1"/>
  <c r="V83" i="1"/>
  <c r="W18" i="1"/>
  <c r="W50" i="1" s="1"/>
  <c r="W14" i="33"/>
  <c r="W14" i="35" s="1"/>
  <c r="W71" i="35" s="1"/>
  <c r="W67" i="38"/>
  <c r="W39" i="38"/>
  <c r="V42" i="35"/>
  <c r="K69" i="38"/>
  <c r="W67" i="37"/>
  <c r="W39" i="37"/>
  <c r="AA18" i="36"/>
  <c r="X13" i="38"/>
  <c r="X13" i="39"/>
  <c r="X13" i="37"/>
  <c r="X12" i="38"/>
  <c r="X12" i="39"/>
  <c r="X12" i="37"/>
  <c r="K69" i="39"/>
  <c r="W40" i="37"/>
  <c r="W68" i="37"/>
  <c r="N44" i="36"/>
  <c r="O39" i="36" s="1"/>
  <c r="O41" i="36" s="1"/>
  <c r="O43" i="36" s="1"/>
  <c r="L14" i="39"/>
  <c r="L14" i="38"/>
  <c r="L14" i="37"/>
  <c r="W40" i="39"/>
  <c r="W68" i="39"/>
  <c r="L54" i="36"/>
  <c r="M49" i="36" s="1"/>
  <c r="M51" i="36" s="1"/>
  <c r="M53" i="36" s="1"/>
  <c r="J41" i="37"/>
  <c r="J41" i="39"/>
  <c r="J41" i="38"/>
  <c r="K69" i="37"/>
  <c r="W39" i="39"/>
  <c r="W67" i="39"/>
  <c r="W40" i="38"/>
  <c r="W68" i="38"/>
  <c r="L55" i="40"/>
  <c r="K87" i="42"/>
  <c r="K90" i="42"/>
  <c r="K87" i="41"/>
  <c r="K90" i="41"/>
  <c r="K87" i="43"/>
  <c r="K90" i="43"/>
  <c r="K20" i="42"/>
  <c r="K23" i="42"/>
  <c r="K20" i="43"/>
  <c r="K23" i="43"/>
  <c r="K20" i="41"/>
  <c r="K23" i="41"/>
  <c r="L83" i="43"/>
  <c r="L85" i="43" s="1"/>
  <c r="L18" i="43"/>
  <c r="J49" i="43"/>
  <c r="J51" i="43" s="1"/>
  <c r="J49" i="42"/>
  <c r="J51" i="42" s="1"/>
  <c r="M17" i="43"/>
  <c r="M17" i="42"/>
  <c r="L83" i="42"/>
  <c r="L85" i="42" s="1"/>
  <c r="L18" i="42"/>
  <c r="Q67" i="45"/>
  <c r="Q69" i="45" s="1"/>
  <c r="Q70" i="45" s="1"/>
  <c r="R65" i="45" s="1"/>
  <c r="Q58" i="45"/>
  <c r="Q60" i="45" s="1"/>
  <c r="Q61" i="45" s="1"/>
  <c r="R56" i="45" s="1"/>
  <c r="U14" i="34"/>
  <c r="U43" i="34" s="1"/>
  <c r="U72" i="34"/>
  <c r="Z189" i="32"/>
  <c r="V71" i="33"/>
  <c r="V42" i="33"/>
  <c r="V7" i="35"/>
  <c r="V34" i="35"/>
  <c r="W10" i="35"/>
  <c r="W10" i="34"/>
  <c r="W6" i="34"/>
  <c r="W64" i="34" s="1"/>
  <c r="W13" i="34"/>
  <c r="W13" i="35"/>
  <c r="W12" i="34"/>
  <c r="W12" i="35"/>
  <c r="W6" i="35"/>
  <c r="W63" i="35" s="1"/>
  <c r="V41" i="34"/>
  <c r="V70" i="34"/>
  <c r="V39" i="34"/>
  <c r="V68" i="34"/>
  <c r="L72" i="35"/>
  <c r="M15" i="35"/>
  <c r="M15" i="34"/>
  <c r="V69" i="35"/>
  <c r="V40" i="35"/>
  <c r="L73" i="34"/>
  <c r="V41" i="35"/>
  <c r="V70" i="35"/>
  <c r="V67" i="35"/>
  <c r="V38" i="35"/>
  <c r="K43" i="35"/>
  <c r="K44" i="34"/>
  <c r="V42" i="34"/>
  <c r="V71" i="34"/>
  <c r="L47" i="40"/>
  <c r="M42" i="40" s="1"/>
  <c r="M44" i="40" s="1"/>
  <c r="J49" i="41"/>
  <c r="J51" i="41" s="1"/>
  <c r="L83" i="41"/>
  <c r="L85" i="41" s="1"/>
  <c r="L18" i="41"/>
  <c r="O37" i="40"/>
  <c r="P32" i="40" s="1"/>
  <c r="P34" i="40" s="1"/>
  <c r="P36" i="40" s="1"/>
  <c r="M17" i="41"/>
  <c r="L64" i="40"/>
  <c r="L65" i="40" s="1"/>
  <c r="L66" i="40" s="1"/>
  <c r="M61" i="40" s="1"/>
  <c r="M63" i="40" s="1"/>
  <c r="L56" i="40"/>
  <c r="L57" i="40" s="1"/>
  <c r="M52" i="40" s="1"/>
  <c r="M54" i="40" s="1"/>
  <c r="Q61" i="36"/>
  <c r="Q63" i="36" s="1"/>
  <c r="Q64" i="36" s="1"/>
  <c r="R59" i="36" s="1"/>
  <c r="P70" i="36"/>
  <c r="P72" i="36" s="1"/>
  <c r="P73" i="36" s="1"/>
  <c r="Q68" i="36" s="1"/>
  <c r="V65" i="34"/>
  <c r="V78" i="34" s="1"/>
  <c r="V36" i="34"/>
  <c r="V49" i="34" s="1"/>
  <c r="V38" i="33"/>
  <c r="V67" i="33"/>
  <c r="U35" i="33"/>
  <c r="U48" i="33" s="1"/>
  <c r="U64" i="33"/>
  <c r="U77" i="33" s="1"/>
  <c r="V34" i="33"/>
  <c r="V7" i="33"/>
  <c r="V20" i="33" s="1"/>
  <c r="V63" i="33"/>
  <c r="V41" i="33"/>
  <c r="V70" i="33"/>
  <c r="Z18" i="32"/>
  <c r="X6" i="34" s="1"/>
  <c r="W12" i="33"/>
  <c r="W13" i="33"/>
  <c r="W6" i="33"/>
  <c r="W10" i="33"/>
  <c r="V69" i="33"/>
  <c r="V40" i="33"/>
  <c r="O44" i="32"/>
  <c r="P39" i="32" s="1"/>
  <c r="P41" i="32" s="1"/>
  <c r="P43" i="32" s="1"/>
  <c r="M15" i="33"/>
  <c r="M54" i="32"/>
  <c r="N49" i="32" s="1"/>
  <c r="N51" i="32" s="1"/>
  <c r="N53" i="32" s="1"/>
  <c r="K43" i="33"/>
  <c r="L72" i="33"/>
  <c r="V71" i="30"/>
  <c r="V38" i="30"/>
  <c r="V79" i="30"/>
  <c r="V46" i="30"/>
  <c r="U51" i="30"/>
  <c r="U84" i="30" s="1"/>
  <c r="U51" i="31"/>
  <c r="U84" i="31" s="1"/>
  <c r="V82" i="1"/>
  <c r="V49" i="1"/>
  <c r="V78" i="30"/>
  <c r="V45" i="30"/>
  <c r="V80" i="30"/>
  <c r="V47" i="30"/>
  <c r="V80" i="1"/>
  <c r="V47" i="1"/>
  <c r="V38" i="31"/>
  <c r="V71" i="31"/>
  <c r="Z18" i="25"/>
  <c r="W18" i="31"/>
  <c r="W13" i="31"/>
  <c r="W13" i="1"/>
  <c r="W18" i="30"/>
  <c r="W13" i="30"/>
  <c r="W6" i="30"/>
  <c r="W6" i="31"/>
  <c r="W15" i="1"/>
  <c r="W16" i="1"/>
  <c r="W15" i="31"/>
  <c r="W15" i="30"/>
  <c r="W16" i="31"/>
  <c r="W16" i="30"/>
  <c r="W17" i="31"/>
  <c r="W14" i="30"/>
  <c r="W17" i="30"/>
  <c r="Y12" i="30"/>
  <c r="Y12" i="1"/>
  <c r="W17" i="1"/>
  <c r="Y12" i="31"/>
  <c r="W14" i="1"/>
  <c r="W14" i="31"/>
  <c r="V79" i="1"/>
  <c r="V46" i="1"/>
  <c r="V45" i="31"/>
  <c r="V78" i="31"/>
  <c r="V81" i="1"/>
  <c r="V48" i="1"/>
  <c r="V49" i="31"/>
  <c r="V82" i="31"/>
  <c r="X44" i="1"/>
  <c r="X77" i="1"/>
  <c r="V81" i="30"/>
  <c r="V48" i="30"/>
  <c r="V80" i="31"/>
  <c r="V47" i="31"/>
  <c r="V82" i="30"/>
  <c r="V49" i="30"/>
  <c r="V48" i="31"/>
  <c r="V81" i="31"/>
  <c r="X44" i="30"/>
  <c r="X77" i="30"/>
  <c r="X44" i="31"/>
  <c r="X77" i="31"/>
  <c r="V83" i="30"/>
  <c r="V50" i="30"/>
  <c r="V78" i="1"/>
  <c r="V45" i="1"/>
  <c r="V46" i="31"/>
  <c r="V79" i="31"/>
  <c r="V83" i="31"/>
  <c r="V50" i="31"/>
  <c r="Q61" i="32"/>
  <c r="Q63" i="32" s="1"/>
  <c r="Q64" i="32" s="1"/>
  <c r="R59" i="32" s="1"/>
  <c r="Q70" i="32"/>
  <c r="Q72" i="32" s="1"/>
  <c r="Q73" i="32" s="1"/>
  <c r="R68" i="32" s="1"/>
  <c r="AA180" i="32"/>
  <c r="Z185" i="32"/>
  <c r="AA181" i="32"/>
  <c r="V71" i="1"/>
  <c r="W38" i="1"/>
  <c r="Z177" i="25"/>
  <c r="Z194" i="25"/>
  <c r="Z178" i="25"/>
  <c r="Z191" i="25"/>
  <c r="Z193" i="25"/>
  <c r="Z192" i="25"/>
  <c r="U51" i="1"/>
  <c r="U72" i="25"/>
  <c r="U73" i="25" s="1"/>
  <c r="V68" i="25" s="1"/>
  <c r="V70" i="25" s="1"/>
  <c r="O61" i="25"/>
  <c r="O63" i="25" s="1"/>
  <c r="O64" i="25" s="1"/>
  <c r="P59" i="25" s="1"/>
  <c r="W54" i="25"/>
  <c r="X49" i="25" s="1"/>
  <c r="X51" i="25" s="1"/>
  <c r="X53" i="25" s="1"/>
  <c r="B75" i="65" l="1"/>
  <c r="F30" i="14" s="1"/>
  <c r="J38" i="14" s="1"/>
  <c r="B77" i="65"/>
  <c r="L30" i="14" s="1"/>
  <c r="K38" i="14" s="1"/>
  <c r="B22" i="65"/>
  <c r="L28" i="14" s="1"/>
  <c r="K36" i="14" s="1"/>
  <c r="B20" i="65"/>
  <c r="F28" i="14" s="1"/>
  <c r="J36" i="14" s="1"/>
  <c r="B47" i="65"/>
  <c r="F29" i="14" s="1"/>
  <c r="J37" i="14" s="1"/>
  <c r="B49" i="65"/>
  <c r="L29" i="14" s="1"/>
  <c r="K37" i="14" s="1"/>
  <c r="B75" i="66"/>
  <c r="H30" i="14" s="1"/>
  <c r="O38" i="14" s="1"/>
  <c r="B77" i="66"/>
  <c r="N30" i="14" s="1"/>
  <c r="P38" i="14" s="1"/>
  <c r="N28" i="14"/>
  <c r="P36" i="14" s="1"/>
  <c r="B20" i="66"/>
  <c r="H28" i="14" s="1"/>
  <c r="O36" i="14" s="1"/>
  <c r="B47" i="66"/>
  <c r="H29" i="14" s="1"/>
  <c r="O37" i="14" s="1"/>
  <c r="B49" i="66"/>
  <c r="N29" i="14" s="1"/>
  <c r="P37" i="14" s="1"/>
  <c r="K70" i="46"/>
  <c r="K42" i="46"/>
  <c r="B47" i="46" s="1"/>
  <c r="D29" i="14" s="1"/>
  <c r="E37" i="14" s="1"/>
  <c r="K45" i="46"/>
  <c r="L45" i="46" s="1"/>
  <c r="D37" i="14" s="1"/>
  <c r="G37" i="14" s="1"/>
  <c r="W83" i="1"/>
  <c r="W42" i="35"/>
  <c r="O44" i="36"/>
  <c r="P39" i="36" s="1"/>
  <c r="P41" i="36" s="1"/>
  <c r="P43" i="36" s="1"/>
  <c r="M14" i="39"/>
  <c r="M14" i="37"/>
  <c r="M14" i="38"/>
  <c r="X40" i="37"/>
  <c r="X68" i="37"/>
  <c r="M54" i="36"/>
  <c r="N49" i="36" s="1"/>
  <c r="N51" i="36" s="1"/>
  <c r="N53" i="36" s="1"/>
  <c r="K41" i="39"/>
  <c r="K41" i="37"/>
  <c r="K41" i="38"/>
  <c r="X14" i="33"/>
  <c r="X14" i="35" s="1"/>
  <c r="X42" i="35" s="1"/>
  <c r="L69" i="38"/>
  <c r="X39" i="37"/>
  <c r="X67" i="37"/>
  <c r="X40" i="39"/>
  <c r="X68" i="39"/>
  <c r="L69" i="37"/>
  <c r="W7" i="34"/>
  <c r="W20" i="34" s="1"/>
  <c r="V35" i="35"/>
  <c r="V48" i="35" s="1"/>
  <c r="V20" i="35"/>
  <c r="L69" i="39"/>
  <c r="X67" i="39"/>
  <c r="X39" i="39"/>
  <c r="X68" i="38"/>
  <c r="X40" i="38"/>
  <c r="X67" i="38"/>
  <c r="X39" i="38"/>
  <c r="AB18" i="36"/>
  <c r="Y13" i="38"/>
  <c r="Y13" i="37"/>
  <c r="Y13" i="39"/>
  <c r="Y12" i="38"/>
  <c r="Y12" i="39"/>
  <c r="Y12" i="37"/>
  <c r="L87" i="42"/>
  <c r="L90" i="42"/>
  <c r="L87" i="41"/>
  <c r="L90" i="41"/>
  <c r="L87" i="43"/>
  <c r="L90" i="43"/>
  <c r="J53" i="42"/>
  <c r="J56" i="42"/>
  <c r="L20" i="42"/>
  <c r="L23" i="42"/>
  <c r="J53" i="43"/>
  <c r="J56" i="43"/>
  <c r="L20" i="43"/>
  <c r="L23" i="43"/>
  <c r="J53" i="41"/>
  <c r="J56" i="41"/>
  <c r="L20" i="41"/>
  <c r="L23" i="41"/>
  <c r="N17" i="43"/>
  <c r="N17" i="42"/>
  <c r="M83" i="42"/>
  <c r="M85" i="42" s="1"/>
  <c r="M18" i="42"/>
  <c r="M83" i="43"/>
  <c r="M85" i="43" s="1"/>
  <c r="M18" i="43"/>
  <c r="R58" i="45"/>
  <c r="R60" i="45" s="1"/>
  <c r="R61" i="45" s="1"/>
  <c r="S56" i="45" s="1"/>
  <c r="R67" i="45"/>
  <c r="R69" i="45" s="1"/>
  <c r="R70" i="45" s="1"/>
  <c r="S65" i="45" s="1"/>
  <c r="V14" i="34"/>
  <c r="V43" i="34" s="1"/>
  <c r="V72" i="34"/>
  <c r="W35" i="34"/>
  <c r="W71" i="33"/>
  <c r="W42" i="33"/>
  <c r="AA189" i="32"/>
  <c r="V64" i="35"/>
  <c r="V77" i="35" s="1"/>
  <c r="W34" i="35"/>
  <c r="W7" i="35"/>
  <c r="N15" i="35"/>
  <c r="N15" i="34"/>
  <c r="X10" i="34"/>
  <c r="X10" i="35"/>
  <c r="X13" i="35"/>
  <c r="X13" i="34"/>
  <c r="X12" i="35"/>
  <c r="X12" i="34"/>
  <c r="X6" i="35"/>
  <c r="X34" i="35" s="1"/>
  <c r="M72" i="35"/>
  <c r="W71" i="34"/>
  <c r="W42" i="34"/>
  <c r="W67" i="35"/>
  <c r="W38" i="35"/>
  <c r="W69" i="35"/>
  <c r="W40" i="35"/>
  <c r="L44" i="34"/>
  <c r="L43" i="35"/>
  <c r="W41" i="34"/>
  <c r="W70" i="34"/>
  <c r="W39" i="34"/>
  <c r="W68" i="34"/>
  <c r="M73" i="34"/>
  <c r="W70" i="35"/>
  <c r="W41" i="35"/>
  <c r="M45" i="40"/>
  <c r="M55" i="40" s="1"/>
  <c r="M64" i="40" s="1"/>
  <c r="M65" i="40" s="1"/>
  <c r="M66" i="40" s="1"/>
  <c r="N61" i="40" s="1"/>
  <c r="N63" i="40" s="1"/>
  <c r="M83" i="41"/>
  <c r="M85" i="41" s="1"/>
  <c r="M18" i="41"/>
  <c r="P37" i="40"/>
  <c r="Q32" i="40" s="1"/>
  <c r="Q34" i="40" s="1"/>
  <c r="Q36" i="40" s="1"/>
  <c r="N17" i="41"/>
  <c r="Q70" i="36"/>
  <c r="Q72" i="36" s="1"/>
  <c r="Q73" i="36" s="1"/>
  <c r="R68" i="36" s="1"/>
  <c r="R61" i="36"/>
  <c r="R63" i="36" s="1"/>
  <c r="R64" i="36" s="1"/>
  <c r="S59" i="36" s="1"/>
  <c r="X35" i="34"/>
  <c r="X64" i="34"/>
  <c r="X7" i="34"/>
  <c r="X20" i="34" s="1"/>
  <c r="W69" i="33"/>
  <c r="W40" i="33"/>
  <c r="W70" i="33"/>
  <c r="W41" i="33"/>
  <c r="W67" i="33"/>
  <c r="W38" i="33"/>
  <c r="AA18" i="32"/>
  <c r="Y6" i="35" s="1"/>
  <c r="X12" i="33"/>
  <c r="X13" i="33"/>
  <c r="X6" i="33"/>
  <c r="X10" i="33"/>
  <c r="V35" i="33"/>
  <c r="V48" i="33" s="1"/>
  <c r="V64" i="33"/>
  <c r="V77" i="33" s="1"/>
  <c r="W63" i="33"/>
  <c r="W7" i="33"/>
  <c r="W20" i="33" s="1"/>
  <c r="W34" i="33"/>
  <c r="P44" i="32"/>
  <c r="Q39" i="32" s="1"/>
  <c r="Q41" i="32" s="1"/>
  <c r="Q43" i="32" s="1"/>
  <c r="N15" i="33"/>
  <c r="N54" i="32"/>
  <c r="O49" i="32" s="1"/>
  <c r="O51" i="32" s="1"/>
  <c r="O53" i="32" s="1"/>
  <c r="L43" i="33"/>
  <c r="M72" i="33"/>
  <c r="V51" i="31"/>
  <c r="V84" i="31" s="1"/>
  <c r="V51" i="30"/>
  <c r="V84" i="30" s="1"/>
  <c r="W79" i="1"/>
  <c r="W46" i="1"/>
  <c r="W48" i="30"/>
  <c r="W81" i="30"/>
  <c r="W78" i="30"/>
  <c r="W45" i="30"/>
  <c r="X18" i="1"/>
  <c r="X83" i="1" s="1"/>
  <c r="Y44" i="31"/>
  <c r="Y77" i="31"/>
  <c r="W82" i="30"/>
  <c r="W49" i="30"/>
  <c r="W48" i="31"/>
  <c r="W81" i="31"/>
  <c r="W80" i="1"/>
  <c r="W47" i="1"/>
  <c r="W83" i="30"/>
  <c r="W50" i="30"/>
  <c r="AA18" i="25"/>
  <c r="X16" i="31"/>
  <c r="X15" i="31"/>
  <c r="X13" i="31"/>
  <c r="X6" i="31"/>
  <c r="X18" i="31"/>
  <c r="X14" i="31"/>
  <c r="X18" i="30"/>
  <c r="X17" i="30"/>
  <c r="X16" i="30"/>
  <c r="X13" i="30"/>
  <c r="X13" i="1"/>
  <c r="X17" i="31"/>
  <c r="X15" i="1"/>
  <c r="X16" i="1"/>
  <c r="X14" i="30"/>
  <c r="X15" i="30"/>
  <c r="X6" i="30"/>
  <c r="X14" i="1"/>
  <c r="X17" i="1"/>
  <c r="Z12" i="31"/>
  <c r="Z12" i="30"/>
  <c r="Z12" i="1"/>
  <c r="Y44" i="30"/>
  <c r="Y77" i="30"/>
  <c r="W81" i="1"/>
  <c r="W48" i="1"/>
  <c r="W83" i="31"/>
  <c r="W50" i="31"/>
  <c r="W82" i="1"/>
  <c r="W49" i="1"/>
  <c r="W46" i="30"/>
  <c r="W79" i="30"/>
  <c r="W80" i="30"/>
  <c r="W47" i="30"/>
  <c r="W71" i="31"/>
  <c r="W38" i="31"/>
  <c r="W78" i="1"/>
  <c r="W45" i="1"/>
  <c r="W79" i="31"/>
  <c r="W46" i="31"/>
  <c r="Y77" i="1"/>
  <c r="Y44" i="1"/>
  <c r="W49" i="31"/>
  <c r="W82" i="31"/>
  <c r="W47" i="31"/>
  <c r="W80" i="31"/>
  <c r="W71" i="30"/>
  <c r="W38" i="30"/>
  <c r="W45" i="31"/>
  <c r="W78" i="31"/>
  <c r="R61" i="32"/>
  <c r="R63" i="32" s="1"/>
  <c r="R64" i="32" s="1"/>
  <c r="S59" i="32" s="1"/>
  <c r="AA185" i="32"/>
  <c r="AB181" i="32"/>
  <c r="AB180" i="32"/>
  <c r="R70" i="32"/>
  <c r="R72" i="32" s="1"/>
  <c r="R73" i="32" s="1"/>
  <c r="S68" i="32" s="1"/>
  <c r="X6" i="1"/>
  <c r="X71" i="1" s="1"/>
  <c r="X50" i="1"/>
  <c r="AA192" i="25"/>
  <c r="AA191" i="25"/>
  <c r="AA194" i="25"/>
  <c r="AA193" i="25"/>
  <c r="AA178" i="25"/>
  <c r="AA177" i="25"/>
  <c r="U84" i="1"/>
  <c r="V51" i="1"/>
  <c r="V84" i="1" s="1"/>
  <c r="V72" i="25"/>
  <c r="V73" i="25" s="1"/>
  <c r="W68" i="25" s="1"/>
  <c r="W70" i="25" s="1"/>
  <c r="P61" i="25"/>
  <c r="P63" i="25" s="1"/>
  <c r="P64" i="25" s="1"/>
  <c r="Q59" i="25" s="1"/>
  <c r="X54" i="25"/>
  <c r="Y49" i="25" s="1"/>
  <c r="Y51" i="25" s="1"/>
  <c r="Y53" i="25" s="1"/>
  <c r="B49" i="46" l="1"/>
  <c r="J29" i="14" s="1"/>
  <c r="B77" i="46"/>
  <c r="J30" i="14" s="1"/>
  <c r="B75" i="46"/>
  <c r="D30" i="14" s="1"/>
  <c r="E38" i="14" s="1"/>
  <c r="W65" i="34"/>
  <c r="W78" i="34" s="1"/>
  <c r="X71" i="35"/>
  <c r="Y14" i="33"/>
  <c r="Y14" i="35" s="1"/>
  <c r="Y71" i="35" s="1"/>
  <c r="W36" i="34"/>
  <c r="W49" i="34" s="1"/>
  <c r="Y67" i="38"/>
  <c r="Y39" i="38"/>
  <c r="M69" i="38"/>
  <c r="W64" i="35"/>
  <c r="W77" i="35" s="1"/>
  <c r="W20" i="35"/>
  <c r="Y40" i="39"/>
  <c r="Y68" i="39"/>
  <c r="M69" i="37"/>
  <c r="AC18" i="36"/>
  <c r="Z13" i="37"/>
  <c r="Z12" i="38"/>
  <c r="Z13" i="38"/>
  <c r="Z12" i="39"/>
  <c r="Z12" i="37"/>
  <c r="Z13" i="39"/>
  <c r="N54" i="36"/>
  <c r="O49" i="36" s="1"/>
  <c r="O51" i="36" s="1"/>
  <c r="O53" i="36" s="1"/>
  <c r="L41" i="39"/>
  <c r="L41" i="38"/>
  <c r="L41" i="37"/>
  <c r="Y39" i="37"/>
  <c r="Y67" i="37"/>
  <c r="Y68" i="37"/>
  <c r="Y40" i="37"/>
  <c r="M69" i="39"/>
  <c r="P44" i="36"/>
  <c r="Q39" i="36" s="1"/>
  <c r="Q41" i="36" s="1"/>
  <c r="Q43" i="36" s="1"/>
  <c r="N14" i="38"/>
  <c r="N14" i="37"/>
  <c r="N14" i="39"/>
  <c r="Y39" i="39"/>
  <c r="Y67" i="39"/>
  <c r="Y68" i="38"/>
  <c r="Y40" i="38"/>
  <c r="M87" i="43"/>
  <c r="M90" i="43"/>
  <c r="M87" i="41"/>
  <c r="M90" i="41"/>
  <c r="M87" i="42"/>
  <c r="M90" i="42"/>
  <c r="M20" i="42"/>
  <c r="M23" i="42"/>
  <c r="M20" i="43"/>
  <c r="M23" i="43"/>
  <c r="M20" i="41"/>
  <c r="M23" i="41"/>
  <c r="M46" i="40"/>
  <c r="K49" i="43" s="1"/>
  <c r="K51" i="43" s="1"/>
  <c r="M56" i="40"/>
  <c r="M57" i="40" s="1"/>
  <c r="N52" i="40" s="1"/>
  <c r="N54" i="40" s="1"/>
  <c r="O17" i="43"/>
  <c r="O17" i="42"/>
  <c r="N83" i="42"/>
  <c r="N85" i="42" s="1"/>
  <c r="N18" i="42"/>
  <c r="N83" i="43"/>
  <c r="N85" i="43" s="1"/>
  <c r="N18" i="43"/>
  <c r="S67" i="45"/>
  <c r="S69" i="45" s="1"/>
  <c r="S70" i="45" s="1"/>
  <c r="T65" i="45" s="1"/>
  <c r="S58" i="45"/>
  <c r="S60" i="45" s="1"/>
  <c r="S61" i="45" s="1"/>
  <c r="T56" i="45" s="1"/>
  <c r="W72" i="34"/>
  <c r="W14" i="34"/>
  <c r="W43" i="34" s="1"/>
  <c r="X7" i="35"/>
  <c r="X20" i="35" s="1"/>
  <c r="AB189" i="32"/>
  <c r="X42" i="33"/>
  <c r="X71" i="33"/>
  <c r="W35" i="35"/>
  <c r="W48" i="35" s="1"/>
  <c r="X63" i="35"/>
  <c r="O15" i="35"/>
  <c r="O15" i="34"/>
  <c r="Y6" i="34"/>
  <c r="Y35" i="34" s="1"/>
  <c r="X71" i="34"/>
  <c r="X42" i="34"/>
  <c r="X39" i="34"/>
  <c r="X68" i="34"/>
  <c r="X70" i="35"/>
  <c r="X41" i="35"/>
  <c r="M43" i="35"/>
  <c r="M44" i="34"/>
  <c r="X70" i="34"/>
  <c r="X41" i="34"/>
  <c r="N73" i="34"/>
  <c r="Y10" i="34"/>
  <c r="Y10" i="35"/>
  <c r="Y13" i="35"/>
  <c r="Y13" i="34"/>
  <c r="Y12" i="35"/>
  <c r="Y12" i="34"/>
  <c r="X69" i="35"/>
  <c r="X40" i="35"/>
  <c r="X67" i="35"/>
  <c r="X38" i="35"/>
  <c r="N72" i="35"/>
  <c r="Q37" i="40"/>
  <c r="R32" i="40" s="1"/>
  <c r="R34" i="40" s="1"/>
  <c r="O17" i="41"/>
  <c r="N83" i="41"/>
  <c r="N85" i="41" s="1"/>
  <c r="N18" i="41"/>
  <c r="S61" i="36"/>
  <c r="S63" i="36" s="1"/>
  <c r="S64" i="36" s="1"/>
  <c r="T59" i="36" s="1"/>
  <c r="R70" i="36"/>
  <c r="R72" i="36" s="1"/>
  <c r="R73" i="36" s="1"/>
  <c r="S68" i="36" s="1"/>
  <c r="X65" i="34"/>
  <c r="X78" i="34" s="1"/>
  <c r="X36" i="34"/>
  <c r="X49" i="34" s="1"/>
  <c r="Y34" i="35"/>
  <c r="Y7" i="35"/>
  <c r="Y20" i="35" s="1"/>
  <c r="Y63" i="35"/>
  <c r="X41" i="33"/>
  <c r="X70" i="33"/>
  <c r="X69" i="33"/>
  <c r="X40" i="33"/>
  <c r="X7" i="33"/>
  <c r="X20" i="33" s="1"/>
  <c r="X63" i="33"/>
  <c r="X34" i="33"/>
  <c r="W35" i="33"/>
  <c r="W48" i="33" s="1"/>
  <c r="W64" i="33"/>
  <c r="W77" i="33" s="1"/>
  <c r="X38" i="33"/>
  <c r="X67" i="33"/>
  <c r="AB18" i="32"/>
  <c r="Y10" i="33"/>
  <c r="Y12" i="33"/>
  <c r="Y13" i="33"/>
  <c r="Y6" i="33"/>
  <c r="O54" i="32"/>
  <c r="P49" i="32" s="1"/>
  <c r="P51" i="32" s="1"/>
  <c r="P53" i="32" s="1"/>
  <c r="M43" i="33"/>
  <c r="N72" i="33"/>
  <c r="Q44" i="32"/>
  <c r="R39" i="32" s="1"/>
  <c r="R41" i="32" s="1"/>
  <c r="R43" i="32" s="1"/>
  <c r="O15" i="33"/>
  <c r="W51" i="31"/>
  <c r="W84" i="31" s="1"/>
  <c r="W51" i="30"/>
  <c r="W84" i="30" s="1"/>
  <c r="X79" i="30"/>
  <c r="X46" i="30"/>
  <c r="X45" i="1"/>
  <c r="X78" i="1"/>
  <c r="X78" i="31"/>
  <c r="X45" i="31"/>
  <c r="Z77" i="1"/>
  <c r="Z44" i="1"/>
  <c r="X79" i="1"/>
  <c r="X46" i="1"/>
  <c r="X81" i="1"/>
  <c r="X48" i="1"/>
  <c r="X45" i="30"/>
  <c r="X78" i="30"/>
  <c r="X79" i="31"/>
  <c r="X46" i="31"/>
  <c r="X80" i="31"/>
  <c r="X47" i="31"/>
  <c r="Z44" i="30"/>
  <c r="Z77" i="30"/>
  <c r="X71" i="30"/>
  <c r="X38" i="30"/>
  <c r="X80" i="1"/>
  <c r="X47" i="1"/>
  <c r="X81" i="30"/>
  <c r="X48" i="30"/>
  <c r="X83" i="31"/>
  <c r="X50" i="31"/>
  <c r="X48" i="31"/>
  <c r="X81" i="31"/>
  <c r="X82" i="1"/>
  <c r="X49" i="1"/>
  <c r="X83" i="30"/>
  <c r="X50" i="30"/>
  <c r="Y6" i="1"/>
  <c r="Y71" i="1" s="1"/>
  <c r="Y18" i="1"/>
  <c r="Y50" i="1" s="1"/>
  <c r="Z44" i="31"/>
  <c r="Z77" i="31"/>
  <c r="X80" i="30"/>
  <c r="X47" i="30"/>
  <c r="X82" i="31"/>
  <c r="X49" i="31"/>
  <c r="X82" i="30"/>
  <c r="X49" i="30"/>
  <c r="X71" i="31"/>
  <c r="X38" i="31"/>
  <c r="AB18" i="25"/>
  <c r="Y15" i="31"/>
  <c r="Y6" i="31"/>
  <c r="Y18" i="31"/>
  <c r="Y17" i="31"/>
  <c r="Y14" i="31"/>
  <c r="Y16" i="30"/>
  <c r="Y13" i="30"/>
  <c r="Y13" i="31"/>
  <c r="Y15" i="30"/>
  <c r="Y6" i="30"/>
  <c r="Y16" i="31"/>
  <c r="Y18" i="30"/>
  <c r="Y17" i="30"/>
  <c r="Y15" i="1"/>
  <c r="Y16" i="1"/>
  <c r="Y13" i="1"/>
  <c r="Y14" i="30"/>
  <c r="Y17" i="1"/>
  <c r="Y14" i="1"/>
  <c r="S61" i="32"/>
  <c r="S63" i="32" s="1"/>
  <c r="S64" i="32" s="1"/>
  <c r="T59" i="32" s="1"/>
  <c r="S70" i="32"/>
  <c r="S72" i="32" s="1"/>
  <c r="S73" i="32" s="1"/>
  <c r="T68" i="32" s="1"/>
  <c r="AB185" i="32"/>
  <c r="X38" i="1"/>
  <c r="AB177" i="25"/>
  <c r="AB193" i="25"/>
  <c r="AB191" i="25"/>
  <c r="AB178" i="25"/>
  <c r="AB194" i="25"/>
  <c r="AB192" i="25"/>
  <c r="W51" i="1"/>
  <c r="W84" i="1" s="1"/>
  <c r="W72" i="25"/>
  <c r="W73" i="25" s="1"/>
  <c r="X68" i="25" s="1"/>
  <c r="X70" i="25" s="1"/>
  <c r="Q61" i="25"/>
  <c r="Q63" i="25" s="1"/>
  <c r="Q64" i="25" s="1"/>
  <c r="R59" i="25" s="1"/>
  <c r="Y54" i="25"/>
  <c r="Z49" i="25" s="1"/>
  <c r="Z51" i="25" s="1"/>
  <c r="Z53" i="25" s="1"/>
  <c r="Y42" i="35" l="1"/>
  <c r="X64" i="35"/>
  <c r="X77" i="35" s="1"/>
  <c r="Y38" i="1"/>
  <c r="X35" i="35"/>
  <c r="X48" i="35" s="1"/>
  <c r="N69" i="39"/>
  <c r="Z67" i="38"/>
  <c r="Z39" i="38"/>
  <c r="Q44" i="36"/>
  <c r="R39" i="36" s="1"/>
  <c r="R41" i="36" s="1"/>
  <c r="R43" i="36" s="1"/>
  <c r="O14" i="39"/>
  <c r="O14" i="37"/>
  <c r="O14" i="38"/>
  <c r="N69" i="37"/>
  <c r="Z67" i="37"/>
  <c r="Z39" i="37"/>
  <c r="Z68" i="37"/>
  <c r="Z40" i="37"/>
  <c r="Z14" i="33"/>
  <c r="Z14" i="35" s="1"/>
  <c r="Z71" i="35" s="1"/>
  <c r="Z68" i="39"/>
  <c r="Z40" i="39"/>
  <c r="N69" i="38"/>
  <c r="Z39" i="39"/>
  <c r="Z67" i="39"/>
  <c r="AA13" i="37"/>
  <c r="AA12" i="39"/>
  <c r="AA12" i="37"/>
  <c r="AA13" i="39"/>
  <c r="AA12" i="38"/>
  <c r="AA13" i="38"/>
  <c r="O54" i="36"/>
  <c r="P49" i="36" s="1"/>
  <c r="P51" i="36" s="1"/>
  <c r="P53" i="36" s="1"/>
  <c r="M41" i="38"/>
  <c r="M41" i="39"/>
  <c r="M41" i="37"/>
  <c r="Z40" i="38"/>
  <c r="Z68" i="38"/>
  <c r="Y83" i="1"/>
  <c r="N87" i="41"/>
  <c r="N90" i="41"/>
  <c r="N87" i="43"/>
  <c r="N90" i="43"/>
  <c r="N87" i="42"/>
  <c r="N90" i="42"/>
  <c r="N20" i="42"/>
  <c r="N23" i="42"/>
  <c r="K53" i="43"/>
  <c r="K56" i="43"/>
  <c r="N20" i="43"/>
  <c r="N23" i="43"/>
  <c r="N20" i="41"/>
  <c r="N23" i="41"/>
  <c r="K49" i="41"/>
  <c r="K51" i="41" s="1"/>
  <c r="M47" i="40"/>
  <c r="N42" i="40" s="1"/>
  <c r="N45" i="40" s="1"/>
  <c r="N55" i="40" s="1"/>
  <c r="N64" i="40" s="1"/>
  <c r="N65" i="40" s="1"/>
  <c r="N66" i="40" s="1"/>
  <c r="O61" i="40" s="1"/>
  <c r="O63" i="40" s="1"/>
  <c r="K49" i="42"/>
  <c r="K51" i="42" s="1"/>
  <c r="O83" i="42"/>
  <c r="O85" i="42" s="1"/>
  <c r="O18" i="42"/>
  <c r="O83" i="43"/>
  <c r="O85" i="43" s="1"/>
  <c r="O18" i="43"/>
  <c r="T58" i="45"/>
  <c r="T60" i="45" s="1"/>
  <c r="T61" i="45" s="1"/>
  <c r="U56" i="45" s="1"/>
  <c r="T67" i="45"/>
  <c r="T69" i="45" s="1"/>
  <c r="T70" i="45" s="1"/>
  <c r="U65" i="45" s="1"/>
  <c r="X72" i="34"/>
  <c r="X14" i="34"/>
  <c r="X43" i="34" s="1"/>
  <c r="Y7" i="34"/>
  <c r="Y42" i="33"/>
  <c r="Y71" i="33"/>
  <c r="Y64" i="34"/>
  <c r="N43" i="35"/>
  <c r="N44" i="34"/>
  <c r="Y71" i="34"/>
  <c r="Y42" i="34"/>
  <c r="O73" i="34"/>
  <c r="Z10" i="35"/>
  <c r="Z10" i="34"/>
  <c r="Z13" i="34"/>
  <c r="Z6" i="34"/>
  <c r="Z64" i="34" s="1"/>
  <c r="Z13" i="35"/>
  <c r="Z12" i="34"/>
  <c r="Z12" i="35"/>
  <c r="Y70" i="35"/>
  <c r="Y41" i="35"/>
  <c r="Y68" i="34"/>
  <c r="Y39" i="34"/>
  <c r="O72" i="35"/>
  <c r="Z6" i="35"/>
  <c r="Z7" i="35" s="1"/>
  <c r="Z20" i="35" s="1"/>
  <c r="Y41" i="34"/>
  <c r="Y70" i="34"/>
  <c r="Y67" i="35"/>
  <c r="Y38" i="35"/>
  <c r="P15" i="35"/>
  <c r="P15" i="34"/>
  <c r="Y40" i="35"/>
  <c r="Y69" i="35"/>
  <c r="O83" i="41"/>
  <c r="O85" i="41" s="1"/>
  <c r="O18" i="41"/>
  <c r="S34" i="40"/>
  <c r="R36" i="40"/>
  <c r="S70" i="36"/>
  <c r="S72" i="36" s="1"/>
  <c r="S73" i="36" s="1"/>
  <c r="T68" i="36" s="1"/>
  <c r="T61" i="36"/>
  <c r="T63" i="36" s="1"/>
  <c r="T64" i="36" s="1"/>
  <c r="U59" i="36" s="1"/>
  <c r="Y64" i="35"/>
  <c r="Y77" i="35" s="1"/>
  <c r="Y35" i="35"/>
  <c r="Y48" i="35" s="1"/>
  <c r="Y70" i="33"/>
  <c r="Y41" i="33"/>
  <c r="Y7" i="33"/>
  <c r="Y20" i="33" s="1"/>
  <c r="Y63" i="33"/>
  <c r="Y34" i="33"/>
  <c r="Z6" i="33"/>
  <c r="Z10" i="33"/>
  <c r="Z12" i="33"/>
  <c r="Z13" i="33"/>
  <c r="Y40" i="33"/>
  <c r="Y69" i="33"/>
  <c r="Y38" i="33"/>
  <c r="Y67" i="33"/>
  <c r="X35" i="33"/>
  <c r="X48" i="33" s="1"/>
  <c r="X64" i="33"/>
  <c r="X77" i="33" s="1"/>
  <c r="R44" i="32"/>
  <c r="S39" i="32" s="1"/>
  <c r="S41" i="32" s="1"/>
  <c r="S43" i="32" s="1"/>
  <c r="P15" i="33"/>
  <c r="P54" i="32"/>
  <c r="Q49" i="32" s="1"/>
  <c r="Q51" i="32" s="1"/>
  <c r="Q53" i="32" s="1"/>
  <c r="N43" i="33"/>
  <c r="O72" i="33"/>
  <c r="X51" i="30"/>
  <c r="X84" i="30" s="1"/>
  <c r="X51" i="31"/>
  <c r="X84" i="31" s="1"/>
  <c r="Y46" i="1"/>
  <c r="Y79" i="1"/>
  <c r="Y81" i="31"/>
  <c r="Y48" i="31"/>
  <c r="Y82" i="1"/>
  <c r="Y49" i="1"/>
  <c r="Y80" i="1"/>
  <c r="Y47" i="1"/>
  <c r="Y38" i="30"/>
  <c r="Y71" i="30"/>
  <c r="Y81" i="30"/>
  <c r="Y48" i="30"/>
  <c r="Y38" i="31"/>
  <c r="Y71" i="31"/>
  <c r="Y50" i="31"/>
  <c r="Y83" i="31"/>
  <c r="Y79" i="30"/>
  <c r="Y46" i="30"/>
  <c r="Y82" i="30"/>
  <c r="Y49" i="30"/>
  <c r="Y80" i="30"/>
  <c r="Y47" i="30"/>
  <c r="Y79" i="31"/>
  <c r="Y46" i="31"/>
  <c r="Y47" i="31"/>
  <c r="Y80" i="31"/>
  <c r="Y81" i="1"/>
  <c r="Y48" i="1"/>
  <c r="Y78" i="30"/>
  <c r="Y45" i="30"/>
  <c r="Y78" i="1"/>
  <c r="Y45" i="1"/>
  <c r="Y83" i="30"/>
  <c r="Y50" i="30"/>
  <c r="Y78" i="31"/>
  <c r="Y45" i="31"/>
  <c r="Y82" i="31"/>
  <c r="Y49" i="31"/>
  <c r="Z18" i="31"/>
  <c r="Z13" i="31"/>
  <c r="Z13" i="30"/>
  <c r="Z13" i="1"/>
  <c r="Z18" i="30"/>
  <c r="Z6" i="31"/>
  <c r="Z6" i="30"/>
  <c r="Z15" i="1"/>
  <c r="Z16" i="1"/>
  <c r="Z15" i="31"/>
  <c r="Z15" i="30"/>
  <c r="Z16" i="31"/>
  <c r="Z16" i="30"/>
  <c r="Z17" i="1"/>
  <c r="Z14" i="31"/>
  <c r="Z17" i="31"/>
  <c r="Z14" i="30"/>
  <c r="Z17" i="30"/>
  <c r="Z14" i="1"/>
  <c r="T61" i="32"/>
  <c r="T63" i="32" s="1"/>
  <c r="T64" i="32" s="1"/>
  <c r="U59" i="32" s="1"/>
  <c r="T70" i="32"/>
  <c r="T72" i="32" s="1"/>
  <c r="T73" i="32" s="1"/>
  <c r="U68" i="32" s="1"/>
  <c r="Z18" i="1"/>
  <c r="Z6" i="1"/>
  <c r="X51" i="1"/>
  <c r="X84" i="1" s="1"/>
  <c r="X72" i="25"/>
  <c r="X73" i="25" s="1"/>
  <c r="Y68" i="25" s="1"/>
  <c r="Y70" i="25" s="1"/>
  <c r="R61" i="25"/>
  <c r="R63" i="25" s="1"/>
  <c r="R64" i="25" s="1"/>
  <c r="S59" i="25" s="1"/>
  <c r="Z54" i="25"/>
  <c r="AA49" i="25" s="1"/>
  <c r="AA51" i="25" s="1"/>
  <c r="AA53" i="25" s="1"/>
  <c r="Z42" i="33" l="1"/>
  <c r="Z14" i="34" s="1"/>
  <c r="Z43" i="34" s="1"/>
  <c r="Z71" i="33"/>
  <c r="Z42" i="35"/>
  <c r="R44" i="36"/>
  <c r="S39" i="36" s="1"/>
  <c r="S41" i="36" s="1"/>
  <c r="S43" i="36" s="1"/>
  <c r="P14" i="39"/>
  <c r="P14" i="38"/>
  <c r="P14" i="37"/>
  <c r="AA39" i="37"/>
  <c r="AA67" i="37"/>
  <c r="P54" i="36"/>
  <c r="Q49" i="36" s="1"/>
  <c r="Q51" i="36" s="1"/>
  <c r="Q53" i="36" s="1"/>
  <c r="N41" i="38"/>
  <c r="N41" i="39"/>
  <c r="N41" i="37"/>
  <c r="Y65" i="34"/>
  <c r="Y78" i="34" s="1"/>
  <c r="Y20" i="34"/>
  <c r="AA40" i="38"/>
  <c r="AA68" i="38"/>
  <c r="AA39" i="39"/>
  <c r="AA67" i="39"/>
  <c r="O69" i="38"/>
  <c r="AA39" i="38"/>
  <c r="AA67" i="38"/>
  <c r="AA68" i="37"/>
  <c r="AA40" i="37"/>
  <c r="O69" i="37"/>
  <c r="AA40" i="39"/>
  <c r="AA68" i="39"/>
  <c r="O69" i="39"/>
  <c r="Y36" i="34"/>
  <c r="Y49" i="34" s="1"/>
  <c r="O87" i="42"/>
  <c r="O90" i="42"/>
  <c r="O87" i="41"/>
  <c r="O90" i="41"/>
  <c r="O87" i="43"/>
  <c r="O90" i="43"/>
  <c r="K53" i="42"/>
  <c r="K56" i="42"/>
  <c r="O20" i="42"/>
  <c r="O23" i="42"/>
  <c r="O20" i="43"/>
  <c r="O23" i="43"/>
  <c r="K53" i="41"/>
  <c r="K56" i="41"/>
  <c r="O20" i="41"/>
  <c r="O23" i="41"/>
  <c r="N44" i="40"/>
  <c r="N46" i="40" s="1"/>
  <c r="L49" i="42" s="1"/>
  <c r="L51" i="42" s="1"/>
  <c r="N56" i="40"/>
  <c r="N57" i="40" s="1"/>
  <c r="O52" i="40" s="1"/>
  <c r="O54" i="40" s="1"/>
  <c r="P17" i="43"/>
  <c r="P17" i="42"/>
  <c r="U67" i="45"/>
  <c r="U69" i="45" s="1"/>
  <c r="U70" i="45" s="1"/>
  <c r="V65" i="45" s="1"/>
  <c r="U58" i="45"/>
  <c r="U60" i="45" s="1"/>
  <c r="U61" i="45" s="1"/>
  <c r="V56" i="45" s="1"/>
  <c r="Y14" i="34"/>
  <c r="Y43" i="34" s="1"/>
  <c r="Y72" i="34"/>
  <c r="Z63" i="35"/>
  <c r="Z34" i="35"/>
  <c r="Z35" i="34"/>
  <c r="P73" i="34"/>
  <c r="Z70" i="34"/>
  <c r="Z41" i="34"/>
  <c r="Q15" i="35"/>
  <c r="Q15" i="34"/>
  <c r="Z7" i="34"/>
  <c r="Z36" i="34" s="1"/>
  <c r="Z49" i="34" s="1"/>
  <c r="P72" i="35"/>
  <c r="Z70" i="35"/>
  <c r="Z41" i="35"/>
  <c r="Z68" i="34"/>
  <c r="Z39" i="34"/>
  <c r="Z67" i="35"/>
  <c r="Z38" i="35"/>
  <c r="O43" i="35"/>
  <c r="O44" i="34"/>
  <c r="Z40" i="35"/>
  <c r="Z69" i="35"/>
  <c r="Z71" i="34"/>
  <c r="Z42" i="34"/>
  <c r="S36" i="40"/>
  <c r="P17" i="41"/>
  <c r="R37" i="40"/>
  <c r="U61" i="36"/>
  <c r="U63" i="36" s="1"/>
  <c r="U64" i="36" s="1"/>
  <c r="V59" i="36" s="1"/>
  <c r="T70" i="36"/>
  <c r="T72" i="36" s="1"/>
  <c r="T73" i="36" s="1"/>
  <c r="U68" i="36" s="1"/>
  <c r="Z64" i="35"/>
  <c r="Z77" i="35" s="1"/>
  <c r="Z35" i="35"/>
  <c r="Z48" i="35" s="1"/>
  <c r="Y35" i="33"/>
  <c r="Y48" i="33" s="1"/>
  <c r="Y64" i="33"/>
  <c r="Y77" i="33" s="1"/>
  <c r="Z63" i="33"/>
  <c r="Z34" i="33"/>
  <c r="Z7" i="33"/>
  <c r="Z20" i="33" s="1"/>
  <c r="Z69" i="33"/>
  <c r="Z40" i="33"/>
  <c r="Z38" i="33"/>
  <c r="Z67" i="33"/>
  <c r="Z41" i="33"/>
  <c r="Z70" i="33"/>
  <c r="S44" i="32"/>
  <c r="T39" i="32" s="1"/>
  <c r="T41" i="32" s="1"/>
  <c r="T43" i="32" s="1"/>
  <c r="Q15" i="33"/>
  <c r="Q54" i="32"/>
  <c r="R49" i="32" s="1"/>
  <c r="R51" i="32" s="1"/>
  <c r="R53" i="32" s="1"/>
  <c r="O43" i="33"/>
  <c r="P72" i="33"/>
  <c r="Y51" i="30"/>
  <c r="Y84" i="30" s="1"/>
  <c r="Y51" i="31"/>
  <c r="Y84" i="31" s="1"/>
  <c r="Z46" i="30"/>
  <c r="Z79" i="30"/>
  <c r="Z81" i="1"/>
  <c r="Z48" i="1"/>
  <c r="Z49" i="31"/>
  <c r="Z82" i="31"/>
  <c r="Z48" i="31"/>
  <c r="Z81" i="31"/>
  <c r="Z80" i="1"/>
  <c r="Z47" i="1"/>
  <c r="Z78" i="1"/>
  <c r="Z45" i="1"/>
  <c r="Z50" i="31"/>
  <c r="Z83" i="31"/>
  <c r="Z79" i="1"/>
  <c r="Z46" i="1"/>
  <c r="Z79" i="31"/>
  <c r="Z46" i="31"/>
  <c r="Z47" i="30"/>
  <c r="Z80" i="30"/>
  <c r="Z38" i="30"/>
  <c r="Z71" i="30"/>
  <c r="Z78" i="30"/>
  <c r="Z45" i="30"/>
  <c r="Z48" i="30"/>
  <c r="Z81" i="30"/>
  <c r="Z50" i="30"/>
  <c r="Z83" i="30"/>
  <c r="Z49" i="30"/>
  <c r="Z82" i="30"/>
  <c r="Z49" i="1"/>
  <c r="Z82" i="1"/>
  <c r="Z47" i="31"/>
  <c r="Z80" i="31"/>
  <c r="Z38" i="31"/>
  <c r="Z71" i="31"/>
  <c r="Z78" i="31"/>
  <c r="Z45" i="31"/>
  <c r="U70" i="32"/>
  <c r="U72" i="32" s="1"/>
  <c r="U73" i="32" s="1"/>
  <c r="V68" i="32" s="1"/>
  <c r="U61" i="32"/>
  <c r="U63" i="32" s="1"/>
  <c r="U64" i="32" s="1"/>
  <c r="V59" i="32" s="1"/>
  <c r="Z83" i="1"/>
  <c r="Z50" i="1"/>
  <c r="Z71" i="1"/>
  <c r="Z38" i="1"/>
  <c r="Y51" i="1"/>
  <c r="Y84" i="1" s="1"/>
  <c r="Y72" i="25"/>
  <c r="Y73" i="25" s="1"/>
  <c r="Z68" i="25" s="1"/>
  <c r="Z70" i="25" s="1"/>
  <c r="S61" i="25"/>
  <c r="S63" i="25" s="1"/>
  <c r="S64" i="25" s="1"/>
  <c r="T59" i="25" s="1"/>
  <c r="AA54" i="25"/>
  <c r="AB49" i="25" s="1"/>
  <c r="AB51" i="25" s="1"/>
  <c r="AB53" i="25" s="1"/>
  <c r="Z72" i="34" l="1"/>
  <c r="AA49" i="34"/>
  <c r="P69" i="37"/>
  <c r="S44" i="36"/>
  <c r="T39" i="36" s="1"/>
  <c r="T41" i="36" s="1"/>
  <c r="T43" i="36" s="1"/>
  <c r="Q14" i="38"/>
  <c r="Q14" i="39"/>
  <c r="Q14" i="37"/>
  <c r="Z65" i="34"/>
  <c r="Z78" i="34" s="1"/>
  <c r="AA78" i="34" s="1"/>
  <c r="Z20" i="34"/>
  <c r="AA20" i="34" s="1"/>
  <c r="P69" i="38"/>
  <c r="P69" i="39"/>
  <c r="Q54" i="36"/>
  <c r="R49" i="36" s="1"/>
  <c r="R51" i="36" s="1"/>
  <c r="R53" i="36" s="1"/>
  <c r="O41" i="39"/>
  <c r="O41" i="37"/>
  <c r="O41" i="38"/>
  <c r="L53" i="42"/>
  <c r="L56" i="42"/>
  <c r="N47" i="40"/>
  <c r="O42" i="40" s="1"/>
  <c r="O44" i="40" s="1"/>
  <c r="L49" i="41"/>
  <c r="L51" i="41" s="1"/>
  <c r="L49" i="43"/>
  <c r="L51" i="43" s="1"/>
  <c r="P83" i="43"/>
  <c r="P85" i="43" s="1"/>
  <c r="P18" i="43"/>
  <c r="P83" i="42"/>
  <c r="P85" i="42" s="1"/>
  <c r="P18" i="42"/>
  <c r="V58" i="45"/>
  <c r="V60" i="45" s="1"/>
  <c r="V61" i="45" s="1"/>
  <c r="W56" i="45" s="1"/>
  <c r="V67" i="45"/>
  <c r="V69" i="45" s="1"/>
  <c r="V70" i="45" s="1"/>
  <c r="W65" i="45" s="1"/>
  <c r="P44" i="34"/>
  <c r="P43" i="35"/>
  <c r="Q72" i="35"/>
  <c r="R15" i="35"/>
  <c r="R15" i="34"/>
  <c r="Q73" i="34"/>
  <c r="P83" i="41"/>
  <c r="P85" i="41" s="1"/>
  <c r="P18" i="41"/>
  <c r="U70" i="36"/>
  <c r="U72" i="36" s="1"/>
  <c r="U73" i="36" s="1"/>
  <c r="V68" i="36" s="1"/>
  <c r="V61" i="36"/>
  <c r="V63" i="36" s="1"/>
  <c r="V64" i="36" s="1"/>
  <c r="W59" i="36" s="1"/>
  <c r="Z35" i="33"/>
  <c r="Z48" i="33" s="1"/>
  <c r="Z64" i="33"/>
  <c r="Z77" i="33" s="1"/>
  <c r="Q72" i="33"/>
  <c r="T44" i="32"/>
  <c r="U39" i="32" s="1"/>
  <c r="U41" i="32" s="1"/>
  <c r="U43" i="32" s="1"/>
  <c r="R15" i="33"/>
  <c r="R54" i="32"/>
  <c r="S49" i="32" s="1"/>
  <c r="S51" i="32" s="1"/>
  <c r="S53" i="32" s="1"/>
  <c r="P43" i="33"/>
  <c r="Z51" i="31"/>
  <c r="Z84" i="31" s="1"/>
  <c r="Z51" i="30"/>
  <c r="Z84" i="30" s="1"/>
  <c r="V61" i="32"/>
  <c r="V63" i="32" s="1"/>
  <c r="V64" i="32" s="1"/>
  <c r="W59" i="32" s="1"/>
  <c r="V70" i="32"/>
  <c r="V72" i="32" s="1"/>
  <c r="V73" i="32" s="1"/>
  <c r="W68" i="32" s="1"/>
  <c r="Z51" i="1"/>
  <c r="Z72" i="25"/>
  <c r="Z73" i="25" s="1"/>
  <c r="AA68" i="25" s="1"/>
  <c r="AA70" i="25" s="1"/>
  <c r="T61" i="25"/>
  <c r="T63" i="25" s="1"/>
  <c r="T64" i="25" s="1"/>
  <c r="U59" i="25" s="1"/>
  <c r="AB54" i="25"/>
  <c r="Q69" i="38" l="1"/>
  <c r="T44" i="36"/>
  <c r="U39" i="36" s="1"/>
  <c r="U41" i="36" s="1"/>
  <c r="U43" i="36" s="1"/>
  <c r="R14" i="38"/>
  <c r="R14" i="37"/>
  <c r="R14" i="39"/>
  <c r="Q69" i="37"/>
  <c r="R54" i="36"/>
  <c r="S49" i="36" s="1"/>
  <c r="S51" i="36" s="1"/>
  <c r="S53" i="36" s="1"/>
  <c r="P41" i="38"/>
  <c r="P41" i="37"/>
  <c r="P41" i="39"/>
  <c r="Q69" i="39"/>
  <c r="P87" i="41"/>
  <c r="B93" i="41" s="1"/>
  <c r="D10" i="14" s="1"/>
  <c r="E18" i="14" s="1"/>
  <c r="P90" i="41"/>
  <c r="Q90" i="41" s="1"/>
  <c r="D18" i="14" s="1"/>
  <c r="G18" i="14" s="1"/>
  <c r="P87" i="42"/>
  <c r="B92" i="42" s="1"/>
  <c r="H10" i="14" s="1"/>
  <c r="O18" i="14" s="1"/>
  <c r="P90" i="42"/>
  <c r="Q90" i="42" s="1"/>
  <c r="N18" i="14" s="1"/>
  <c r="Q18" i="14" s="1"/>
  <c r="P87" i="43"/>
  <c r="B92" i="43" s="1"/>
  <c r="F10" i="14" s="1"/>
  <c r="J18" i="14" s="1"/>
  <c r="P90" i="43"/>
  <c r="Q90" i="43" s="1"/>
  <c r="I18" i="14" s="1"/>
  <c r="L18" i="14" s="1"/>
  <c r="P20" i="42"/>
  <c r="B25" i="42" s="1"/>
  <c r="H8" i="14" s="1"/>
  <c r="O16" i="14" s="1"/>
  <c r="P23" i="42"/>
  <c r="Q23" i="42" s="1"/>
  <c r="N16" i="14" s="1"/>
  <c r="Q16" i="14" s="1"/>
  <c r="L53" i="43"/>
  <c r="L56" i="43"/>
  <c r="P20" i="43"/>
  <c r="B25" i="43" s="1"/>
  <c r="F8" i="14" s="1"/>
  <c r="J16" i="14" s="1"/>
  <c r="P23" i="43"/>
  <c r="Q23" i="43" s="1"/>
  <c r="I16" i="14" s="1"/>
  <c r="L16" i="14" s="1"/>
  <c r="L53" i="41"/>
  <c r="L56" i="41"/>
  <c r="P20" i="41"/>
  <c r="B25" i="41" s="1"/>
  <c r="D8" i="14" s="1"/>
  <c r="E16" i="14" s="1"/>
  <c r="P23" i="41"/>
  <c r="Q23" i="41" s="1"/>
  <c r="D16" i="14" s="1"/>
  <c r="G16" i="14" s="1"/>
  <c r="O45" i="40"/>
  <c r="O55" i="40" s="1"/>
  <c r="O64" i="40" s="1"/>
  <c r="O65" i="40" s="1"/>
  <c r="O66" i="40" s="1"/>
  <c r="P61" i="40" s="1"/>
  <c r="P63" i="40" s="1"/>
  <c r="B94" i="43"/>
  <c r="L10" i="14" s="1"/>
  <c r="K18" i="14" s="1"/>
  <c r="B27" i="42"/>
  <c r="N8" i="14" s="1"/>
  <c r="P16" i="14" s="1"/>
  <c r="W67" i="45"/>
  <c r="W69" i="45" s="1"/>
  <c r="W70" i="45" s="1"/>
  <c r="X65" i="45" s="1"/>
  <c r="W58" i="45"/>
  <c r="W60" i="45" s="1"/>
  <c r="W61" i="45" s="1"/>
  <c r="X56" i="45" s="1"/>
  <c r="Q43" i="35"/>
  <c r="Q44" i="34"/>
  <c r="R73" i="34"/>
  <c r="S15" i="35"/>
  <c r="S15" i="34"/>
  <c r="R72" i="35"/>
  <c r="W61" i="36"/>
  <c r="W63" i="36" s="1"/>
  <c r="W64" i="36" s="1"/>
  <c r="X59" i="36" s="1"/>
  <c r="V70" i="36"/>
  <c r="V72" i="36" s="1"/>
  <c r="V73" i="36" s="1"/>
  <c r="W68" i="36" s="1"/>
  <c r="U44" i="32"/>
  <c r="V39" i="32" s="1"/>
  <c r="V41" i="32" s="1"/>
  <c r="V43" i="32" s="1"/>
  <c r="S15" i="33"/>
  <c r="S54" i="32"/>
  <c r="T49" i="32" s="1"/>
  <c r="T51" i="32" s="1"/>
  <c r="T53" i="32" s="1"/>
  <c r="Q43" i="33"/>
  <c r="R72" i="33"/>
  <c r="W61" i="32"/>
  <c r="W63" i="32" s="1"/>
  <c r="W64" i="32" s="1"/>
  <c r="X59" i="32" s="1"/>
  <c r="W70" i="32"/>
  <c r="W72" i="32" s="1"/>
  <c r="W73" i="32" s="1"/>
  <c r="X68" i="32" s="1"/>
  <c r="Z84" i="1"/>
  <c r="AA72" i="25"/>
  <c r="AA73" i="25" s="1"/>
  <c r="AB68" i="25" s="1"/>
  <c r="AB70" i="25" s="1"/>
  <c r="U61" i="25"/>
  <c r="U63" i="25" s="1"/>
  <c r="U64" i="25" s="1"/>
  <c r="V59" i="25" s="1"/>
  <c r="V61" i="25" s="1"/>
  <c r="V63" i="25" s="1"/>
  <c r="V64" i="25" s="1"/>
  <c r="W59" i="25" s="1"/>
  <c r="W61" i="25" s="1"/>
  <c r="W63" i="25" s="1"/>
  <c r="W64" i="25" s="1"/>
  <c r="X59" i="25" s="1"/>
  <c r="X61" i="25" s="1"/>
  <c r="X63" i="25" s="1"/>
  <c r="X64" i="25" s="1"/>
  <c r="Y59" i="25" s="1"/>
  <c r="Y61" i="25" s="1"/>
  <c r="Y63" i="25" s="1"/>
  <c r="Y64" i="25" s="1"/>
  <c r="Z59" i="25" s="1"/>
  <c r="Z61" i="25" s="1"/>
  <c r="Z63" i="25" s="1"/>
  <c r="Z64" i="25" s="1"/>
  <c r="AA59" i="25" s="1"/>
  <c r="AA61" i="25" s="1"/>
  <c r="AA63" i="25" s="1"/>
  <c r="AA64" i="25" s="1"/>
  <c r="AB59" i="25" s="1"/>
  <c r="AB61" i="25" s="1"/>
  <c r="AB63" i="25" s="1"/>
  <c r="AB64" i="25" s="1"/>
  <c r="AC53" i="25"/>
  <c r="AC51" i="25"/>
  <c r="U44" i="36" l="1"/>
  <c r="V39" i="36" s="1"/>
  <c r="S14" i="38"/>
  <c r="S14" i="39"/>
  <c r="S14" i="37"/>
  <c r="S54" i="36"/>
  <c r="T49" i="36" s="1"/>
  <c r="Q41" i="38"/>
  <c r="Q41" i="39"/>
  <c r="Q41" i="37"/>
  <c r="R69" i="38"/>
  <c r="R69" i="39"/>
  <c r="R69" i="37"/>
  <c r="B95" i="41"/>
  <c r="J10" i="14" s="1"/>
  <c r="F18" i="14" s="1"/>
  <c r="F38" i="14" s="1"/>
  <c r="B94" i="42"/>
  <c r="N10" i="14" s="1"/>
  <c r="P18" i="14" s="1"/>
  <c r="B27" i="41"/>
  <c r="J8" i="14" s="1"/>
  <c r="F16" i="14" s="1"/>
  <c r="F36" i="14" s="1"/>
  <c r="B27" i="43"/>
  <c r="L8" i="14" s="1"/>
  <c r="K16" i="14" s="1"/>
  <c r="O56" i="40"/>
  <c r="O57" i="40" s="1"/>
  <c r="P52" i="40" s="1"/>
  <c r="P54" i="40" s="1"/>
  <c r="O46" i="40"/>
  <c r="M49" i="41" s="1"/>
  <c r="M51" i="41" s="1"/>
  <c r="X58" i="45"/>
  <c r="X60" i="45" s="1"/>
  <c r="X61" i="45" s="1"/>
  <c r="Y56" i="45" s="1"/>
  <c r="X67" i="45"/>
  <c r="X69" i="45" s="1"/>
  <c r="X70" i="45" s="1"/>
  <c r="Y65" i="45" s="1"/>
  <c r="R43" i="35"/>
  <c r="R44" i="34"/>
  <c r="S72" i="35"/>
  <c r="T15" i="34"/>
  <c r="T15" i="35"/>
  <c r="S73" i="34"/>
  <c r="T51" i="36"/>
  <c r="T53" i="36" s="1"/>
  <c r="W70" i="36"/>
  <c r="W72" i="36" s="1"/>
  <c r="W73" i="36" s="1"/>
  <c r="X68" i="36" s="1"/>
  <c r="V41" i="36"/>
  <c r="V43" i="36" s="1"/>
  <c r="X61" i="36"/>
  <c r="X63" i="36" s="1"/>
  <c r="X64" i="36" s="1"/>
  <c r="Y59" i="36" s="1"/>
  <c r="V44" i="32"/>
  <c r="W39" i="32" s="1"/>
  <c r="W41" i="32" s="1"/>
  <c r="W43" i="32" s="1"/>
  <c r="T15" i="33"/>
  <c r="T54" i="32"/>
  <c r="U49" i="32" s="1"/>
  <c r="U51" i="32" s="1"/>
  <c r="U53" i="32" s="1"/>
  <c r="R43" i="33"/>
  <c r="S72" i="33"/>
  <c r="X70" i="32"/>
  <c r="X72" i="32" s="1"/>
  <c r="X73" i="32" s="1"/>
  <c r="Y68" i="32" s="1"/>
  <c r="X61" i="32"/>
  <c r="X63" i="32" s="1"/>
  <c r="X64" i="32" s="1"/>
  <c r="Y59" i="32" s="1"/>
  <c r="AB72" i="25"/>
  <c r="AB73" i="25" s="1"/>
  <c r="AC61" i="25"/>
  <c r="T54" i="36" l="1"/>
  <c r="U49" i="36" s="1"/>
  <c r="U51" i="36" s="1"/>
  <c r="U53" i="36" s="1"/>
  <c r="R41" i="37"/>
  <c r="R41" i="39"/>
  <c r="R41" i="38"/>
  <c r="S69" i="39"/>
  <c r="S69" i="37"/>
  <c r="S69" i="38"/>
  <c r="V44" i="36"/>
  <c r="W39" i="36" s="1"/>
  <c r="W41" i="36" s="1"/>
  <c r="W43" i="36" s="1"/>
  <c r="T14" i="39"/>
  <c r="T14" i="38"/>
  <c r="T14" i="37"/>
  <c r="M53" i="41"/>
  <c r="M56" i="41"/>
  <c r="O47" i="40"/>
  <c r="P42" i="40" s="1"/>
  <c r="P45" i="40" s="1"/>
  <c r="P55" i="40" s="1"/>
  <c r="P64" i="40" s="1"/>
  <c r="P65" i="40" s="1"/>
  <c r="P66" i="40" s="1"/>
  <c r="Q61" i="40" s="1"/>
  <c r="Q63" i="40" s="1"/>
  <c r="M49" i="42"/>
  <c r="M51" i="42" s="1"/>
  <c r="M49" i="43"/>
  <c r="M51" i="43" s="1"/>
  <c r="Y67" i="45"/>
  <c r="Y69" i="45" s="1"/>
  <c r="Y70" i="45" s="1"/>
  <c r="Z65" i="45" s="1"/>
  <c r="Y58" i="45"/>
  <c r="Y60" i="45" s="1"/>
  <c r="Y61" i="45" s="1"/>
  <c r="Z56" i="45" s="1"/>
  <c r="S43" i="35"/>
  <c r="S44" i="34"/>
  <c r="T72" i="35"/>
  <c r="U15" i="35"/>
  <c r="U15" i="34"/>
  <c r="T73" i="34"/>
  <c r="Y61" i="36"/>
  <c r="Y63" i="36" s="1"/>
  <c r="Y64" i="36" s="1"/>
  <c r="Z59" i="36" s="1"/>
  <c r="X70" i="36"/>
  <c r="X72" i="36" s="1"/>
  <c r="X73" i="36" s="1"/>
  <c r="Y68" i="36" s="1"/>
  <c r="W44" i="32"/>
  <c r="X39" i="32" s="1"/>
  <c r="X41" i="32" s="1"/>
  <c r="X43" i="32" s="1"/>
  <c r="U15" i="33"/>
  <c r="U54" i="32"/>
  <c r="V49" i="32" s="1"/>
  <c r="V51" i="32" s="1"/>
  <c r="V53" i="32" s="1"/>
  <c r="S43" i="33"/>
  <c r="T72" i="33"/>
  <c r="Y61" i="32"/>
  <c r="Y63" i="32" s="1"/>
  <c r="Y64" i="32" s="1"/>
  <c r="Z59" i="32" s="1"/>
  <c r="Y70" i="32"/>
  <c r="Y72" i="32" s="1"/>
  <c r="Y73" i="32" s="1"/>
  <c r="Z68" i="32" s="1"/>
  <c r="AC63" i="25"/>
  <c r="T69" i="39" l="1"/>
  <c r="U54" i="36"/>
  <c r="V49" i="36" s="1"/>
  <c r="V51" i="36" s="1"/>
  <c r="V53" i="36" s="1"/>
  <c r="S41" i="39"/>
  <c r="S41" i="37"/>
  <c r="S41" i="38"/>
  <c r="T69" i="38"/>
  <c r="W44" i="36"/>
  <c r="X39" i="36" s="1"/>
  <c r="X41" i="36" s="1"/>
  <c r="X43" i="36" s="1"/>
  <c r="U14" i="39"/>
  <c r="U14" i="37"/>
  <c r="U14" i="38"/>
  <c r="T69" i="37"/>
  <c r="M53" i="42"/>
  <c r="M56" i="42"/>
  <c r="M53" i="43"/>
  <c r="M56" i="43"/>
  <c r="P44" i="40"/>
  <c r="P46" i="40" s="1"/>
  <c r="N49" i="43" s="1"/>
  <c r="N51" i="43" s="1"/>
  <c r="P56" i="40"/>
  <c r="P57" i="40" s="1"/>
  <c r="Q52" i="40" s="1"/>
  <c r="Q54" i="40" s="1"/>
  <c r="Z67" i="45"/>
  <c r="Z69" i="45" s="1"/>
  <c r="Z70" i="45" s="1"/>
  <c r="AA65" i="45" s="1"/>
  <c r="Z58" i="45"/>
  <c r="Z60" i="45" s="1"/>
  <c r="Z61" i="45" s="1"/>
  <c r="AA56" i="45" s="1"/>
  <c r="U73" i="34"/>
  <c r="U72" i="35"/>
  <c r="V15" i="35"/>
  <c r="V15" i="34"/>
  <c r="T44" i="34"/>
  <c r="T43" i="35"/>
  <c r="Y70" i="36"/>
  <c r="Y72" i="36" s="1"/>
  <c r="Y73" i="36" s="1"/>
  <c r="Z68" i="36" s="1"/>
  <c r="Z61" i="36"/>
  <c r="Z63" i="36" s="1"/>
  <c r="Z64" i="36" s="1"/>
  <c r="AA59" i="36" s="1"/>
  <c r="V54" i="32"/>
  <c r="W49" i="32" s="1"/>
  <c r="W51" i="32" s="1"/>
  <c r="W53" i="32" s="1"/>
  <c r="T43" i="33"/>
  <c r="X44" i="32"/>
  <c r="Y39" i="32" s="1"/>
  <c r="Y41" i="32" s="1"/>
  <c r="Y43" i="32" s="1"/>
  <c r="V15" i="33"/>
  <c r="U72" i="33"/>
  <c r="Z61" i="32"/>
  <c r="Z63" i="32" s="1"/>
  <c r="Z64" i="32" s="1"/>
  <c r="AA59" i="32" s="1"/>
  <c r="Z70" i="32"/>
  <c r="Z72" i="32" s="1"/>
  <c r="Z73" i="32" s="1"/>
  <c r="AA68" i="32" s="1"/>
  <c r="AC70" i="25"/>
  <c r="X44" i="36" l="1"/>
  <c r="Y39" i="36" s="1"/>
  <c r="Y41" i="36" s="1"/>
  <c r="Y43" i="36" s="1"/>
  <c r="V14" i="38"/>
  <c r="V14" i="37"/>
  <c r="V14" i="39"/>
  <c r="V54" i="36"/>
  <c r="W49" i="36" s="1"/>
  <c r="W51" i="36" s="1"/>
  <c r="W53" i="36" s="1"/>
  <c r="T41" i="38"/>
  <c r="T41" i="37"/>
  <c r="T41" i="39"/>
  <c r="U69" i="38"/>
  <c r="U69" i="37"/>
  <c r="U69" i="39"/>
  <c r="N53" i="43"/>
  <c r="N56" i="43"/>
  <c r="N49" i="42"/>
  <c r="N51" i="42" s="1"/>
  <c r="P47" i="40"/>
  <c r="Q42" i="40" s="1"/>
  <c r="Q44" i="40" s="1"/>
  <c r="N49" i="41"/>
  <c r="N51" i="41" s="1"/>
  <c r="AA58" i="45"/>
  <c r="AA60" i="45" s="1"/>
  <c r="AA61" i="45" s="1"/>
  <c r="AB56" i="45" s="1"/>
  <c r="AA67" i="45"/>
  <c r="AA69" i="45" s="1"/>
  <c r="AA70" i="45" s="1"/>
  <c r="AB65" i="45" s="1"/>
  <c r="U43" i="35"/>
  <c r="U44" i="34"/>
  <c r="V72" i="35"/>
  <c r="V73" i="34"/>
  <c r="W15" i="35"/>
  <c r="W15" i="34"/>
  <c r="AA61" i="36"/>
  <c r="AA63" i="36" s="1"/>
  <c r="AA64" i="36" s="1"/>
  <c r="AB59" i="36" s="1"/>
  <c r="Z70" i="36"/>
  <c r="Z72" i="36" s="1"/>
  <c r="Z73" i="36" s="1"/>
  <c r="AA68" i="36" s="1"/>
  <c r="Y44" i="32"/>
  <c r="Z39" i="32" s="1"/>
  <c r="Z41" i="32" s="1"/>
  <c r="Z43" i="32" s="1"/>
  <c r="W15" i="33"/>
  <c r="W54" i="32"/>
  <c r="X49" i="32" s="1"/>
  <c r="X51" i="32" s="1"/>
  <c r="X53" i="32" s="1"/>
  <c r="U43" i="33"/>
  <c r="V72" i="33"/>
  <c r="AA61" i="32"/>
  <c r="AA63" i="32" s="1"/>
  <c r="AA64" i="32" s="1"/>
  <c r="AB59" i="32" s="1"/>
  <c r="AA70" i="32"/>
  <c r="AA72" i="32" s="1"/>
  <c r="AA73" i="32" s="1"/>
  <c r="AB68" i="32" s="1"/>
  <c r="AC72" i="25"/>
  <c r="W54" i="36" l="1"/>
  <c r="X49" i="36" s="1"/>
  <c r="X51" i="36" s="1"/>
  <c r="X53" i="36" s="1"/>
  <c r="U41" i="38"/>
  <c r="U41" i="39"/>
  <c r="U41" i="37"/>
  <c r="Y44" i="36"/>
  <c r="Z39" i="36" s="1"/>
  <c r="Z41" i="36" s="1"/>
  <c r="Z43" i="36" s="1"/>
  <c r="W14" i="39"/>
  <c r="W14" i="37"/>
  <c r="W14" i="38"/>
  <c r="V69" i="39"/>
  <c r="V69" i="37"/>
  <c r="V69" i="38"/>
  <c r="N53" i="42"/>
  <c r="N56" i="42"/>
  <c r="N53" i="41"/>
  <c r="N56" i="41"/>
  <c r="Q45" i="40"/>
  <c r="Q55" i="40" s="1"/>
  <c r="Q64" i="40" s="1"/>
  <c r="Q65" i="40" s="1"/>
  <c r="Q66" i="40" s="1"/>
  <c r="R61" i="40" s="1"/>
  <c r="R63" i="40" s="1"/>
  <c r="AB58" i="45"/>
  <c r="AB67" i="45"/>
  <c r="X15" i="35"/>
  <c r="X15" i="34"/>
  <c r="W73" i="34"/>
  <c r="W72" i="35"/>
  <c r="V43" i="35"/>
  <c r="V44" i="34"/>
  <c r="AA70" i="36"/>
  <c r="AA72" i="36" s="1"/>
  <c r="AA73" i="36" s="1"/>
  <c r="AB68" i="36" s="1"/>
  <c r="AB61" i="36"/>
  <c r="Z44" i="32"/>
  <c r="AA39" i="32" s="1"/>
  <c r="AA41" i="32" s="1"/>
  <c r="AA43" i="32" s="1"/>
  <c r="X15" i="33"/>
  <c r="X54" i="32"/>
  <c r="Y49" i="32" s="1"/>
  <c r="Y51" i="32" s="1"/>
  <c r="Y53" i="32" s="1"/>
  <c r="V43" i="33"/>
  <c r="W72" i="33"/>
  <c r="AB61" i="32"/>
  <c r="AB70" i="32"/>
  <c r="Z44" i="36" l="1"/>
  <c r="AA39" i="36" s="1"/>
  <c r="AA41" i="36" s="1"/>
  <c r="X14" i="39"/>
  <c r="X14" i="38"/>
  <c r="X14" i="37"/>
  <c r="X54" i="36"/>
  <c r="Y49" i="36" s="1"/>
  <c r="Y51" i="36" s="1"/>
  <c r="Y53" i="36" s="1"/>
  <c r="V41" i="38"/>
  <c r="V41" i="39"/>
  <c r="V41" i="37"/>
  <c r="W69" i="38"/>
  <c r="W69" i="37"/>
  <c r="W69" i="39"/>
  <c r="Q56" i="40"/>
  <c r="Q57" i="40" s="1"/>
  <c r="R52" i="40" s="1"/>
  <c r="R54" i="40" s="1"/>
  <c r="Q46" i="40"/>
  <c r="Q47" i="40" s="1"/>
  <c r="R42" i="40" s="1"/>
  <c r="R45" i="40" s="1"/>
  <c r="R55" i="40" s="1"/>
  <c r="AB69" i="45"/>
  <c r="AC67" i="45"/>
  <c r="AB60" i="45"/>
  <c r="AC58" i="45"/>
  <c r="X72" i="35"/>
  <c r="W43" i="35"/>
  <c r="W44" i="34"/>
  <c r="Y15" i="35"/>
  <c r="Y15" i="34"/>
  <c r="X73" i="34"/>
  <c r="AB63" i="36"/>
  <c r="AD61" i="36"/>
  <c r="AB70" i="36"/>
  <c r="AA44" i="32"/>
  <c r="AB39" i="32" s="1"/>
  <c r="AB41" i="32" s="1"/>
  <c r="Y15" i="33"/>
  <c r="Y54" i="32"/>
  <c r="Z49" i="32" s="1"/>
  <c r="Z51" i="32" s="1"/>
  <c r="Z53" i="32" s="1"/>
  <c r="W43" i="33"/>
  <c r="X72" i="33"/>
  <c r="AB63" i="32"/>
  <c r="AC61" i="32"/>
  <c r="AB72" i="32"/>
  <c r="AC70" i="32"/>
  <c r="Y54" i="36" l="1"/>
  <c r="Z49" i="36" s="1"/>
  <c r="Z51" i="36" s="1"/>
  <c r="Z53" i="36" s="1"/>
  <c r="W41" i="39"/>
  <c r="W41" i="37"/>
  <c r="W41" i="38"/>
  <c r="AA43" i="36"/>
  <c r="AD41" i="36"/>
  <c r="X69" i="37"/>
  <c r="X69" i="38"/>
  <c r="X69" i="39"/>
  <c r="O49" i="42"/>
  <c r="O51" i="42" s="1"/>
  <c r="R64" i="40"/>
  <c r="R65" i="40" s="1"/>
  <c r="R66" i="40" s="1"/>
  <c r="S61" i="40" s="1"/>
  <c r="S63" i="40" s="1"/>
  <c r="R56" i="40"/>
  <c r="R57" i="40" s="1"/>
  <c r="S52" i="40" s="1"/>
  <c r="S54" i="40" s="1"/>
  <c r="S45" i="40"/>
  <c r="S55" i="40" s="1"/>
  <c r="S64" i="40" s="1"/>
  <c r="R44" i="40"/>
  <c r="O49" i="43"/>
  <c r="O51" i="43" s="1"/>
  <c r="O49" i="41"/>
  <c r="O51" i="41" s="1"/>
  <c r="AC60" i="45"/>
  <c r="AB61" i="45"/>
  <c r="AC69" i="45"/>
  <c r="AB70" i="45"/>
  <c r="Y72" i="35"/>
  <c r="X44" i="34"/>
  <c r="X43" i="35"/>
  <c r="Y73" i="34"/>
  <c r="AD54" i="40"/>
  <c r="AD63" i="36"/>
  <c r="AB64" i="36"/>
  <c r="AB72" i="36"/>
  <c r="AD70" i="36"/>
  <c r="Z54" i="32"/>
  <c r="AA49" i="32" s="1"/>
  <c r="AA51" i="32" s="1"/>
  <c r="AA53" i="32" s="1"/>
  <c r="X43" i="33"/>
  <c r="Y72" i="33"/>
  <c r="AB43" i="32"/>
  <c r="AC41" i="32"/>
  <c r="AC63" i="32"/>
  <c r="AB64" i="32"/>
  <c r="AC72" i="32"/>
  <c r="AB73" i="32"/>
  <c r="AA44" i="36" l="1"/>
  <c r="AB39" i="36" s="1"/>
  <c r="AB44" i="36" s="1"/>
  <c r="AC39" i="36" s="1"/>
  <c r="AC44" i="36" s="1"/>
  <c r="Y14" i="38"/>
  <c r="Y14" i="39"/>
  <c r="Y14" i="37"/>
  <c r="AD43" i="36"/>
  <c r="Z54" i="36"/>
  <c r="AA49" i="36" s="1"/>
  <c r="AA51" i="36" s="1"/>
  <c r="AA53" i="36" s="1"/>
  <c r="X41" i="39"/>
  <c r="X41" i="38"/>
  <c r="X41" i="37"/>
  <c r="O53" i="42"/>
  <c r="O56" i="42"/>
  <c r="O53" i="43"/>
  <c r="O56" i="43"/>
  <c r="O53" i="41"/>
  <c r="O56" i="41"/>
  <c r="AD55" i="40"/>
  <c r="AD64" i="40"/>
  <c r="S65" i="40"/>
  <c r="S66" i="40" s="1"/>
  <c r="T61" i="40" s="1"/>
  <c r="T63" i="40" s="1"/>
  <c r="T65" i="40" s="1"/>
  <c r="T66" i="40" s="1"/>
  <c r="U61" i="40" s="1"/>
  <c r="U63" i="40" s="1"/>
  <c r="U65" i="40" s="1"/>
  <c r="U66" i="40" s="1"/>
  <c r="V61" i="40" s="1"/>
  <c r="V63" i="40" s="1"/>
  <c r="V65" i="40" s="1"/>
  <c r="V66" i="40" s="1"/>
  <c r="W61" i="40" s="1"/>
  <c r="W63" i="40" s="1"/>
  <c r="W65" i="40" s="1"/>
  <c r="W66" i="40" s="1"/>
  <c r="X61" i="40" s="1"/>
  <c r="X63" i="40" s="1"/>
  <c r="X65" i="40" s="1"/>
  <c r="X66" i="40" s="1"/>
  <c r="Y61" i="40" s="1"/>
  <c r="Y63" i="40" s="1"/>
  <c r="Y65" i="40" s="1"/>
  <c r="Y66" i="40" s="1"/>
  <c r="Z61" i="40" s="1"/>
  <c r="Z63" i="40" s="1"/>
  <c r="Z65" i="40" s="1"/>
  <c r="Z66" i="40" s="1"/>
  <c r="AA61" i="40" s="1"/>
  <c r="AA63" i="40" s="1"/>
  <c r="AA65" i="40" s="1"/>
  <c r="AA66" i="40" s="1"/>
  <c r="AB61" i="40" s="1"/>
  <c r="AB63" i="40" s="1"/>
  <c r="S56" i="40"/>
  <c r="S57" i="40" s="1"/>
  <c r="T52" i="40" s="1"/>
  <c r="T54" i="40" s="1"/>
  <c r="T56" i="40" s="1"/>
  <c r="T57" i="40" s="1"/>
  <c r="U52" i="40" s="1"/>
  <c r="U54" i="40" s="1"/>
  <c r="U56" i="40" s="1"/>
  <c r="U57" i="40" s="1"/>
  <c r="V52" i="40" s="1"/>
  <c r="V54" i="40" s="1"/>
  <c r="V56" i="40" s="1"/>
  <c r="V57" i="40" s="1"/>
  <c r="W52" i="40" s="1"/>
  <c r="W54" i="40" s="1"/>
  <c r="W56" i="40" s="1"/>
  <c r="W57" i="40" s="1"/>
  <c r="X52" i="40" s="1"/>
  <c r="X54" i="40" s="1"/>
  <c r="X56" i="40" s="1"/>
  <c r="X57" i="40" s="1"/>
  <c r="Y52" i="40" s="1"/>
  <c r="Y54" i="40" s="1"/>
  <c r="Y56" i="40" s="1"/>
  <c r="Y57" i="40" s="1"/>
  <c r="Z52" i="40" s="1"/>
  <c r="Z54" i="40" s="1"/>
  <c r="Z56" i="40" s="1"/>
  <c r="Z57" i="40" s="1"/>
  <c r="AA52" i="40" s="1"/>
  <c r="AA54" i="40" s="1"/>
  <c r="AA56" i="40" s="1"/>
  <c r="AA57" i="40" s="1"/>
  <c r="AB52" i="40" s="1"/>
  <c r="AB54" i="40" s="1"/>
  <c r="AB56" i="40" s="1"/>
  <c r="R46" i="40"/>
  <c r="S44" i="40"/>
  <c r="Y43" i="35"/>
  <c r="Y44" i="34"/>
  <c r="Z15" i="33"/>
  <c r="Z72" i="33" s="1"/>
  <c r="Z15" i="35"/>
  <c r="Z15" i="34"/>
  <c r="AD56" i="40"/>
  <c r="AD72" i="36"/>
  <c r="AB73" i="36"/>
  <c r="AA54" i="32"/>
  <c r="AB49" i="32" s="1"/>
  <c r="AB51" i="32" s="1"/>
  <c r="Y43" i="33"/>
  <c r="AC43" i="32"/>
  <c r="AB44" i="32"/>
  <c r="Y69" i="39" l="1"/>
  <c r="Y69" i="38"/>
  <c r="AA54" i="36"/>
  <c r="AB49" i="36" s="1"/>
  <c r="AB51" i="36" s="1"/>
  <c r="Y41" i="38"/>
  <c r="Y41" i="39"/>
  <c r="Y41" i="37"/>
  <c r="Y69" i="37"/>
  <c r="AB57" i="40"/>
  <c r="P49" i="41"/>
  <c r="P51" i="41" s="1"/>
  <c r="R47" i="40"/>
  <c r="S46" i="40"/>
  <c r="P49" i="42"/>
  <c r="P51" i="42" s="1"/>
  <c r="P49" i="43"/>
  <c r="P51" i="43" s="1"/>
  <c r="Z72" i="35"/>
  <c r="Z73" i="34"/>
  <c r="AB65" i="40"/>
  <c r="AD63" i="40"/>
  <c r="AB53" i="32"/>
  <c r="AC51" i="32"/>
  <c r="P53" i="42" l="1"/>
  <c r="B58" i="42" s="1"/>
  <c r="H9" i="14" s="1"/>
  <c r="O17" i="14" s="1"/>
  <c r="P56" i="42"/>
  <c r="Q56" i="42" s="1"/>
  <c r="N17" i="14" s="1"/>
  <c r="Q17" i="14" s="1"/>
  <c r="P53" i="43"/>
  <c r="B58" i="43" s="1"/>
  <c r="F9" i="14" s="1"/>
  <c r="J17" i="14" s="1"/>
  <c r="P56" i="43"/>
  <c r="Q56" i="43" s="1"/>
  <c r="I17" i="14" s="1"/>
  <c r="L17" i="14" s="1"/>
  <c r="P53" i="41"/>
  <c r="B58" i="41" s="1"/>
  <c r="D9" i="14" s="1"/>
  <c r="E17" i="14" s="1"/>
  <c r="P56" i="41"/>
  <c r="Q56" i="41" s="1"/>
  <c r="D17" i="14" s="1"/>
  <c r="G17" i="14" s="1"/>
  <c r="B60" i="43"/>
  <c r="L9" i="14" s="1"/>
  <c r="K17" i="14" s="1"/>
  <c r="Z43" i="33"/>
  <c r="Z43" i="35"/>
  <c r="Z44" i="34"/>
  <c r="AD65" i="40"/>
  <c r="AB66" i="40"/>
  <c r="AB53" i="36"/>
  <c r="AC53" i="32"/>
  <c r="AB54" i="32"/>
  <c r="U40" i="25"/>
  <c r="L40" i="25"/>
  <c r="M40" i="25"/>
  <c r="S40" i="25"/>
  <c r="F40" i="25"/>
  <c r="Q40" i="25"/>
  <c r="K40" i="25"/>
  <c r="Z40" i="25"/>
  <c r="G40" i="25"/>
  <c r="T40" i="25"/>
  <c r="P40" i="25"/>
  <c r="X40" i="25"/>
  <c r="W40" i="25"/>
  <c r="N40" i="25"/>
  <c r="H40" i="25"/>
  <c r="O40" i="25"/>
  <c r="E40" i="25"/>
  <c r="F42" i="25" s="1"/>
  <c r="I40" i="25"/>
  <c r="J40" i="25"/>
  <c r="AA40" i="25"/>
  <c r="AB40" i="25"/>
  <c r="R40" i="25"/>
  <c r="V40" i="25"/>
  <c r="Y40" i="25"/>
  <c r="D40" i="25"/>
  <c r="D44" i="25" s="1"/>
  <c r="E39" i="25" s="1"/>
  <c r="E41" i="25" s="1"/>
  <c r="D183" i="25"/>
  <c r="D179" i="25" s="1"/>
  <c r="E179" i="25" s="1"/>
  <c r="H179" i="25" s="1"/>
  <c r="P42" i="25" l="1"/>
  <c r="G42" i="25"/>
  <c r="T42" i="25"/>
  <c r="J42" i="25"/>
  <c r="R42" i="25"/>
  <c r="M42" i="25"/>
  <c r="O42" i="25"/>
  <c r="AA42" i="25"/>
  <c r="V42" i="25"/>
  <c r="Q42" i="25"/>
  <c r="Z42" i="25"/>
  <c r="X42" i="25"/>
  <c r="AB42" i="25"/>
  <c r="S42" i="25"/>
  <c r="N42" i="25"/>
  <c r="Z41" i="38"/>
  <c r="Z41" i="39"/>
  <c r="Z41" i="37"/>
  <c r="AC40" i="25"/>
  <c r="I42" i="25"/>
  <c r="W42" i="25"/>
  <c r="Y42" i="25"/>
  <c r="U42" i="25"/>
  <c r="B60" i="41"/>
  <c r="J9" i="14" s="1"/>
  <c r="F17" i="14" s="1"/>
  <c r="F37" i="14" s="1"/>
  <c r="B60" i="42"/>
  <c r="N9" i="14" s="1"/>
  <c r="P17" i="14" s="1"/>
  <c r="AB54" i="36"/>
  <c r="AC49" i="36" s="1"/>
  <c r="F7" i="1"/>
  <c r="F7" i="55" s="1"/>
  <c r="F7" i="30"/>
  <c r="F7" i="58" s="1"/>
  <c r="F7" i="31"/>
  <c r="F7" i="59" s="1"/>
  <c r="I179" i="25"/>
  <c r="E43" i="25"/>
  <c r="B7" i="1"/>
  <c r="B7" i="55" s="1"/>
  <c r="B11" i="31"/>
  <c r="B11" i="1"/>
  <c r="B11" i="30"/>
  <c r="E183" i="25"/>
  <c r="B7" i="30"/>
  <c r="B7" i="58" s="1"/>
  <c r="F179" i="25"/>
  <c r="C7" i="30"/>
  <c r="C7" i="58" s="1"/>
  <c r="C7" i="31"/>
  <c r="C7" i="59" s="1"/>
  <c r="B7" i="31"/>
  <c r="B7" i="59" s="1"/>
  <c r="C7" i="1"/>
  <c r="C7" i="55" s="1"/>
  <c r="K42" i="25"/>
  <c r="L42" i="25"/>
  <c r="H42" i="25"/>
  <c r="C64" i="55" l="1"/>
  <c r="C67" i="55" s="1"/>
  <c r="C78" i="55" s="1"/>
  <c r="C34" i="55"/>
  <c r="C37" i="55" s="1"/>
  <c r="C48" i="55" s="1"/>
  <c r="C9" i="55"/>
  <c r="C19" i="55" s="1"/>
  <c r="B64" i="59"/>
  <c r="B67" i="59" s="1"/>
  <c r="B78" i="59" s="1"/>
  <c r="B34" i="59"/>
  <c r="B37" i="59" s="1"/>
  <c r="B48" i="59" s="1"/>
  <c r="B8" i="59"/>
  <c r="B19" i="59" s="1"/>
  <c r="F34" i="59"/>
  <c r="F37" i="59" s="1"/>
  <c r="F48" i="59" s="1"/>
  <c r="F64" i="59"/>
  <c r="F67" i="59" s="1"/>
  <c r="F78" i="59" s="1"/>
  <c r="F8" i="59"/>
  <c r="F19" i="59" s="1"/>
  <c r="C34" i="59"/>
  <c r="C37" i="59" s="1"/>
  <c r="C48" i="59" s="1"/>
  <c r="C64" i="59"/>
  <c r="C67" i="59" s="1"/>
  <c r="C78" i="59" s="1"/>
  <c r="C8" i="59"/>
  <c r="C19" i="59" s="1"/>
  <c r="F64" i="58"/>
  <c r="F67" i="58" s="1"/>
  <c r="F78" i="58" s="1"/>
  <c r="F34" i="58"/>
  <c r="F37" i="58" s="1"/>
  <c r="F48" i="58" s="1"/>
  <c r="F9" i="58"/>
  <c r="F19" i="58" s="1"/>
  <c r="C34" i="58"/>
  <c r="C37" i="58" s="1"/>
  <c r="C48" i="58" s="1"/>
  <c r="C64" i="58"/>
  <c r="C67" i="58" s="1"/>
  <c r="C78" i="58" s="1"/>
  <c r="C9" i="58"/>
  <c r="C19" i="58" s="1"/>
  <c r="F64" i="55"/>
  <c r="F67" i="55" s="1"/>
  <c r="F78" i="55" s="1"/>
  <c r="F34" i="55"/>
  <c r="F37" i="55" s="1"/>
  <c r="F48" i="55" s="1"/>
  <c r="F9" i="55"/>
  <c r="F19" i="55" s="1"/>
  <c r="B64" i="55"/>
  <c r="B67" i="55" s="1"/>
  <c r="B78" i="55" s="1"/>
  <c r="B34" i="55"/>
  <c r="B37" i="55" s="1"/>
  <c r="B48" i="55" s="1"/>
  <c r="B9" i="55"/>
  <c r="B19" i="55" s="1"/>
  <c r="B34" i="58"/>
  <c r="B37" i="58" s="1"/>
  <c r="B48" i="58" s="1"/>
  <c r="B64" i="58"/>
  <c r="B67" i="58" s="1"/>
  <c r="B78" i="58" s="1"/>
  <c r="B9" i="58"/>
  <c r="B19" i="58" s="1"/>
  <c r="AC51" i="36"/>
  <c r="C39" i="30"/>
  <c r="C40" i="30" s="1"/>
  <c r="C56" i="30" s="1"/>
  <c r="C72" i="30"/>
  <c r="C73" i="30" s="1"/>
  <c r="C89" i="30" s="1"/>
  <c r="C8" i="30"/>
  <c r="C24" i="30" s="1"/>
  <c r="B20" i="30"/>
  <c r="B76" i="30"/>
  <c r="B85" i="30" s="1"/>
  <c r="B43" i="30"/>
  <c r="B52" i="30" s="1"/>
  <c r="C39" i="1"/>
  <c r="C40" i="1" s="1"/>
  <c r="C56" i="1" s="1"/>
  <c r="C8" i="1"/>
  <c r="C24" i="1" s="1"/>
  <c r="C72" i="1"/>
  <c r="C73" i="1" s="1"/>
  <c r="C89" i="1" s="1"/>
  <c r="D7" i="30"/>
  <c r="D7" i="58" s="1"/>
  <c r="D7" i="1"/>
  <c r="D7" i="55" s="1"/>
  <c r="D7" i="31"/>
  <c r="D7" i="59" s="1"/>
  <c r="G179" i="25"/>
  <c r="B43" i="1"/>
  <c r="B52" i="1" s="1"/>
  <c r="B20" i="1"/>
  <c r="B76" i="1"/>
  <c r="B85" i="1" s="1"/>
  <c r="C19" i="30"/>
  <c r="C19" i="31"/>
  <c r="C19" i="1"/>
  <c r="E44" i="25"/>
  <c r="F39" i="25" s="1"/>
  <c r="AC42" i="25"/>
  <c r="B72" i="31"/>
  <c r="B73" i="31" s="1"/>
  <c r="B89" i="31" s="1"/>
  <c r="B39" i="31"/>
  <c r="B40" i="31" s="1"/>
  <c r="B56" i="31" s="1"/>
  <c r="B8" i="31"/>
  <c r="B24" i="31" s="1"/>
  <c r="B39" i="30"/>
  <c r="B40" i="30" s="1"/>
  <c r="B56" i="30" s="1"/>
  <c r="B72" i="30"/>
  <c r="B73" i="30" s="1"/>
  <c r="B89" i="30" s="1"/>
  <c r="B8" i="30"/>
  <c r="B24" i="30" s="1"/>
  <c r="B43" i="31"/>
  <c r="B52" i="31" s="1"/>
  <c r="B76" i="31"/>
  <c r="B85" i="31" s="1"/>
  <c r="B20" i="31"/>
  <c r="G7" i="30"/>
  <c r="G7" i="58" s="1"/>
  <c r="G7" i="1"/>
  <c r="G7" i="55" s="1"/>
  <c r="G7" i="31"/>
  <c r="G7" i="59" s="1"/>
  <c r="J179" i="25"/>
  <c r="K179" i="25"/>
  <c r="C8" i="31"/>
  <c r="C24" i="31" s="1"/>
  <c r="C72" i="31"/>
  <c r="C73" i="31" s="1"/>
  <c r="C89" i="31" s="1"/>
  <c r="C39" i="31"/>
  <c r="C40" i="31" s="1"/>
  <c r="C56" i="31" s="1"/>
  <c r="C11" i="1"/>
  <c r="C11" i="31"/>
  <c r="C11" i="30"/>
  <c r="F183" i="25"/>
  <c r="B72" i="1"/>
  <c r="B73" i="1" s="1"/>
  <c r="B89" i="1" s="1"/>
  <c r="B8" i="1"/>
  <c r="B39" i="1"/>
  <c r="B40" i="1" s="1"/>
  <c r="B56" i="1" s="1"/>
  <c r="F39" i="31"/>
  <c r="F40" i="31" s="1"/>
  <c r="F56" i="31" s="1"/>
  <c r="F8" i="31"/>
  <c r="F24" i="31" s="1"/>
  <c r="F72" i="31"/>
  <c r="F73" i="31" s="1"/>
  <c r="F89" i="31" s="1"/>
  <c r="F39" i="30"/>
  <c r="F40" i="30" s="1"/>
  <c r="F56" i="30" s="1"/>
  <c r="F8" i="30"/>
  <c r="F24" i="30" s="1"/>
  <c r="F72" i="30"/>
  <c r="F73" i="30" s="1"/>
  <c r="F89" i="30" s="1"/>
  <c r="F8" i="1"/>
  <c r="F24" i="1" s="1"/>
  <c r="F39" i="1"/>
  <c r="F40" i="1" s="1"/>
  <c r="F56" i="1" s="1"/>
  <c r="F72" i="1"/>
  <c r="F73" i="1" s="1"/>
  <c r="F89" i="1" s="1"/>
  <c r="G64" i="58" l="1"/>
  <c r="G67" i="58" s="1"/>
  <c r="G78" i="58" s="1"/>
  <c r="G34" i="58"/>
  <c r="G37" i="58" s="1"/>
  <c r="G48" i="58" s="1"/>
  <c r="G9" i="58"/>
  <c r="G19" i="58" s="1"/>
  <c r="D34" i="59"/>
  <c r="D37" i="59" s="1"/>
  <c r="D48" i="59" s="1"/>
  <c r="D64" i="59"/>
  <c r="D67" i="59" s="1"/>
  <c r="D78" i="59" s="1"/>
  <c r="D8" i="59"/>
  <c r="D19" i="59" s="1"/>
  <c r="D64" i="55"/>
  <c r="D67" i="55" s="1"/>
  <c r="D78" i="55" s="1"/>
  <c r="D34" i="55"/>
  <c r="D37" i="55" s="1"/>
  <c r="D48" i="55" s="1"/>
  <c r="D9" i="55"/>
  <c r="D19" i="55" s="1"/>
  <c r="G64" i="55"/>
  <c r="G67" i="55" s="1"/>
  <c r="G78" i="55" s="1"/>
  <c r="G34" i="55"/>
  <c r="G37" i="55" s="1"/>
  <c r="G48" i="55" s="1"/>
  <c r="G9" i="55"/>
  <c r="G19" i="55" s="1"/>
  <c r="D34" i="58"/>
  <c r="D37" i="58" s="1"/>
  <c r="D48" i="58" s="1"/>
  <c r="D64" i="58"/>
  <c r="D67" i="58" s="1"/>
  <c r="D78" i="58" s="1"/>
  <c r="D9" i="58"/>
  <c r="D19" i="58" s="1"/>
  <c r="G64" i="59"/>
  <c r="G67" i="59" s="1"/>
  <c r="G78" i="59" s="1"/>
  <c r="G34" i="59"/>
  <c r="G37" i="59" s="1"/>
  <c r="G48" i="59" s="1"/>
  <c r="G8" i="59"/>
  <c r="G19" i="59" s="1"/>
  <c r="B25" i="1"/>
  <c r="B12" i="55"/>
  <c r="B57" i="1"/>
  <c r="B40" i="55"/>
  <c r="B90" i="31"/>
  <c r="B70" i="59"/>
  <c r="B90" i="30"/>
  <c r="B70" i="58"/>
  <c r="B25" i="31"/>
  <c r="B11" i="59"/>
  <c r="B57" i="30"/>
  <c r="B40" i="58"/>
  <c r="B57" i="31"/>
  <c r="B40" i="59"/>
  <c r="B90" i="1"/>
  <c r="B70" i="55"/>
  <c r="B25" i="30"/>
  <c r="B12" i="58"/>
  <c r="AC53" i="36"/>
  <c r="AD51" i="36"/>
  <c r="B22" i="30"/>
  <c r="B54" i="30"/>
  <c r="B22" i="31"/>
  <c r="B22" i="1"/>
  <c r="B24" i="1"/>
  <c r="B87" i="1"/>
  <c r="B54" i="1"/>
  <c r="C76" i="1"/>
  <c r="C85" i="1" s="1"/>
  <c r="C70" i="55" s="1"/>
  <c r="C43" i="1"/>
  <c r="C52" i="1" s="1"/>
  <c r="C40" i="55" s="1"/>
  <c r="C20" i="1"/>
  <c r="I7" i="1"/>
  <c r="I7" i="55" s="1"/>
  <c r="I7" i="30"/>
  <c r="I7" i="58" s="1"/>
  <c r="I7" i="31"/>
  <c r="I7" i="59" s="1"/>
  <c r="L179" i="25"/>
  <c r="N179" i="25"/>
  <c r="G72" i="30"/>
  <c r="G73" i="30" s="1"/>
  <c r="G89" i="30" s="1"/>
  <c r="G39" i="30"/>
  <c r="G40" i="30" s="1"/>
  <c r="G56" i="30" s="1"/>
  <c r="G8" i="30"/>
  <c r="G24" i="30" s="1"/>
  <c r="B54" i="31"/>
  <c r="D8" i="31"/>
  <c r="D24" i="31" s="1"/>
  <c r="D39" i="31"/>
  <c r="D40" i="31" s="1"/>
  <c r="D56" i="31" s="1"/>
  <c r="D72" i="31"/>
  <c r="D73" i="31" s="1"/>
  <c r="D89" i="31" s="1"/>
  <c r="D11" i="1"/>
  <c r="D11" i="31"/>
  <c r="D11" i="30"/>
  <c r="G183" i="25"/>
  <c r="H7" i="30"/>
  <c r="H7" i="58" s="1"/>
  <c r="H7" i="1"/>
  <c r="H7" i="55" s="1"/>
  <c r="H7" i="31"/>
  <c r="H7" i="59" s="1"/>
  <c r="B87" i="30"/>
  <c r="B87" i="31"/>
  <c r="D72" i="1"/>
  <c r="D73" i="1" s="1"/>
  <c r="D89" i="1" s="1"/>
  <c r="D8" i="1"/>
  <c r="D24" i="1" s="1"/>
  <c r="D39" i="1"/>
  <c r="D40" i="1" s="1"/>
  <c r="D56" i="1" s="1"/>
  <c r="C20" i="30"/>
  <c r="C12" i="58" s="1"/>
  <c r="C76" i="30"/>
  <c r="C85" i="30" s="1"/>
  <c r="C70" i="58" s="1"/>
  <c r="C43" i="30"/>
  <c r="C52" i="30" s="1"/>
  <c r="C40" i="58" s="1"/>
  <c r="G72" i="31"/>
  <c r="G73" i="31" s="1"/>
  <c r="G89" i="31" s="1"/>
  <c r="G39" i="31"/>
  <c r="G40" i="31" s="1"/>
  <c r="G56" i="31" s="1"/>
  <c r="G8" i="31"/>
  <c r="G24" i="31" s="1"/>
  <c r="D72" i="30"/>
  <c r="D73" i="30" s="1"/>
  <c r="D89" i="30" s="1"/>
  <c r="D8" i="30"/>
  <c r="D24" i="30" s="1"/>
  <c r="D39" i="30"/>
  <c r="D40" i="30" s="1"/>
  <c r="D56" i="30" s="1"/>
  <c r="C43" i="31"/>
  <c r="C52" i="31" s="1"/>
  <c r="C40" i="59" s="1"/>
  <c r="C20" i="31"/>
  <c r="C11" i="59" s="1"/>
  <c r="C76" i="31"/>
  <c r="C85" i="31" s="1"/>
  <c r="C70" i="59" s="1"/>
  <c r="G8" i="1"/>
  <c r="G24" i="1" s="1"/>
  <c r="G72" i="1"/>
  <c r="G73" i="1" s="1"/>
  <c r="G89" i="1" s="1"/>
  <c r="G39" i="1"/>
  <c r="G40" i="1" s="1"/>
  <c r="G56" i="1" s="1"/>
  <c r="F41" i="25"/>
  <c r="E7" i="30"/>
  <c r="E7" i="58" s="1"/>
  <c r="E7" i="1"/>
  <c r="E7" i="55" s="1"/>
  <c r="E7" i="31"/>
  <c r="E7" i="59" s="1"/>
  <c r="E64" i="55" l="1"/>
  <c r="E67" i="55" s="1"/>
  <c r="E78" i="55" s="1"/>
  <c r="E34" i="55"/>
  <c r="E37" i="55" s="1"/>
  <c r="E48" i="55" s="1"/>
  <c r="E9" i="55"/>
  <c r="E19" i="55" s="1"/>
  <c r="E34" i="58"/>
  <c r="E37" i="58" s="1"/>
  <c r="E48" i="58" s="1"/>
  <c r="E64" i="58"/>
  <c r="E67" i="58" s="1"/>
  <c r="E78" i="58" s="1"/>
  <c r="E9" i="58"/>
  <c r="E19" i="58" s="1"/>
  <c r="H64" i="58"/>
  <c r="H67" i="58" s="1"/>
  <c r="H78" i="58" s="1"/>
  <c r="H34" i="58"/>
  <c r="H37" i="58" s="1"/>
  <c r="H48" i="58" s="1"/>
  <c r="H9" i="58"/>
  <c r="H19" i="58" s="1"/>
  <c r="H64" i="55"/>
  <c r="H67" i="55" s="1"/>
  <c r="H78" i="55" s="1"/>
  <c r="H34" i="55"/>
  <c r="H37" i="55" s="1"/>
  <c r="H48" i="55" s="1"/>
  <c r="H9" i="55"/>
  <c r="H19" i="55" s="1"/>
  <c r="I64" i="59"/>
  <c r="I67" i="59" s="1"/>
  <c r="I78" i="59" s="1"/>
  <c r="I34" i="59"/>
  <c r="I37" i="59" s="1"/>
  <c r="I48" i="59" s="1"/>
  <c r="I8" i="59"/>
  <c r="I19" i="59" s="1"/>
  <c r="I34" i="58"/>
  <c r="I37" i="58" s="1"/>
  <c r="I48" i="58" s="1"/>
  <c r="I64" i="58"/>
  <c r="I67" i="58" s="1"/>
  <c r="I78" i="58" s="1"/>
  <c r="I9" i="58"/>
  <c r="I19" i="58" s="1"/>
  <c r="E64" i="59"/>
  <c r="E67" i="59" s="1"/>
  <c r="E78" i="59" s="1"/>
  <c r="E34" i="59"/>
  <c r="E37" i="59" s="1"/>
  <c r="E48" i="59" s="1"/>
  <c r="E8" i="59"/>
  <c r="E19" i="59" s="1"/>
  <c r="H64" i="59"/>
  <c r="H67" i="59" s="1"/>
  <c r="H78" i="59" s="1"/>
  <c r="H34" i="59"/>
  <c r="H37" i="59" s="1"/>
  <c r="H48" i="59" s="1"/>
  <c r="H8" i="59"/>
  <c r="H19" i="59" s="1"/>
  <c r="I34" i="55"/>
  <c r="I37" i="55" s="1"/>
  <c r="I48" i="55" s="1"/>
  <c r="I64" i="55"/>
  <c r="I67" i="55" s="1"/>
  <c r="I78" i="55" s="1"/>
  <c r="I9" i="55"/>
  <c r="I19" i="55" s="1"/>
  <c r="C25" i="1"/>
  <c r="C12" i="55"/>
  <c r="C22" i="30"/>
  <c r="C25" i="30"/>
  <c r="C54" i="30"/>
  <c r="C57" i="30"/>
  <c r="C87" i="30"/>
  <c r="C90" i="30"/>
  <c r="AA41" i="39"/>
  <c r="AA41" i="37"/>
  <c r="AA41" i="38"/>
  <c r="AD53" i="36"/>
  <c r="AC54" i="36"/>
  <c r="C87" i="31"/>
  <c r="C90" i="31"/>
  <c r="C54" i="31"/>
  <c r="C57" i="31"/>
  <c r="C22" i="31"/>
  <c r="C25" i="31"/>
  <c r="C54" i="1"/>
  <c r="C57" i="1"/>
  <c r="C22" i="1"/>
  <c r="C87" i="1"/>
  <c r="C90" i="1"/>
  <c r="D76" i="1"/>
  <c r="D85" i="1" s="1"/>
  <c r="D70" i="55" s="1"/>
  <c r="D43" i="1"/>
  <c r="D52" i="1" s="1"/>
  <c r="I72" i="31"/>
  <c r="I73" i="31" s="1"/>
  <c r="I89" i="31" s="1"/>
  <c r="I39" i="31"/>
  <c r="I40" i="31" s="1"/>
  <c r="I56" i="31" s="1"/>
  <c r="I8" i="31"/>
  <c r="I24" i="31" s="1"/>
  <c r="E72" i="31"/>
  <c r="E73" i="31" s="1"/>
  <c r="E89" i="31" s="1"/>
  <c r="E8" i="31"/>
  <c r="E24" i="31" s="1"/>
  <c r="E39" i="31"/>
  <c r="E40" i="31" s="1"/>
  <c r="E56" i="31" s="1"/>
  <c r="H8" i="31"/>
  <c r="H24" i="31" s="1"/>
  <c r="H39" i="31"/>
  <c r="H40" i="31" s="1"/>
  <c r="H56" i="31" s="1"/>
  <c r="H72" i="31"/>
  <c r="H73" i="31" s="1"/>
  <c r="H89" i="31" s="1"/>
  <c r="E11" i="30"/>
  <c r="E11" i="1"/>
  <c r="E11" i="31"/>
  <c r="H183" i="25"/>
  <c r="I39" i="30"/>
  <c r="I40" i="30" s="1"/>
  <c r="I56" i="30" s="1"/>
  <c r="I8" i="30"/>
  <c r="I24" i="30" s="1"/>
  <c r="I72" i="30"/>
  <c r="I73" i="30" s="1"/>
  <c r="I89" i="30" s="1"/>
  <c r="F43" i="25"/>
  <c r="E8" i="1"/>
  <c r="E24" i="1" s="1"/>
  <c r="E39" i="1"/>
  <c r="E40" i="1" s="1"/>
  <c r="E56" i="1" s="1"/>
  <c r="E72" i="1"/>
  <c r="E73" i="1" s="1"/>
  <c r="E89" i="1" s="1"/>
  <c r="H8" i="1"/>
  <c r="H24" i="1" s="1"/>
  <c r="H72" i="1"/>
  <c r="H73" i="1" s="1"/>
  <c r="H89" i="1" s="1"/>
  <c r="H39" i="1"/>
  <c r="H40" i="1" s="1"/>
  <c r="H56" i="1" s="1"/>
  <c r="D43" i="30"/>
  <c r="D52" i="30" s="1"/>
  <c r="D40" i="58" s="1"/>
  <c r="D76" i="30"/>
  <c r="D85" i="30" s="1"/>
  <c r="D70" i="58" s="1"/>
  <c r="L7" i="1"/>
  <c r="L7" i="55" s="1"/>
  <c r="L7" i="31"/>
  <c r="L7" i="59" s="1"/>
  <c r="O179" i="25"/>
  <c r="L7" i="30"/>
  <c r="L7" i="58" s="1"/>
  <c r="I39" i="1"/>
  <c r="I40" i="1" s="1"/>
  <c r="I56" i="1" s="1"/>
  <c r="I8" i="1"/>
  <c r="I24" i="1" s="1"/>
  <c r="I72" i="1"/>
  <c r="I73" i="1" s="1"/>
  <c r="I89" i="1" s="1"/>
  <c r="E8" i="30"/>
  <c r="E24" i="30" s="1"/>
  <c r="E72" i="30"/>
  <c r="E73" i="30" s="1"/>
  <c r="E89" i="30" s="1"/>
  <c r="E39" i="30"/>
  <c r="E40" i="30" s="1"/>
  <c r="E56" i="30" s="1"/>
  <c r="H8" i="30"/>
  <c r="H24" i="30" s="1"/>
  <c r="H72" i="30"/>
  <c r="H73" i="30" s="1"/>
  <c r="H89" i="30" s="1"/>
  <c r="H39" i="30"/>
  <c r="H40" i="30" s="1"/>
  <c r="H56" i="30" s="1"/>
  <c r="D76" i="31"/>
  <c r="D85" i="31" s="1"/>
  <c r="D70" i="59" s="1"/>
  <c r="D43" i="31"/>
  <c r="D52" i="31" s="1"/>
  <c r="D40" i="59" s="1"/>
  <c r="J7" i="30"/>
  <c r="J7" i="58" s="1"/>
  <c r="M179" i="25"/>
  <c r="J7" i="31"/>
  <c r="J7" i="59" s="1"/>
  <c r="J7" i="1"/>
  <c r="J7" i="55" s="1"/>
  <c r="J34" i="59" l="1"/>
  <c r="J37" i="59" s="1"/>
  <c r="J48" i="59" s="1"/>
  <c r="J64" i="59"/>
  <c r="J67" i="59" s="1"/>
  <c r="J78" i="59" s="1"/>
  <c r="J8" i="59"/>
  <c r="J19" i="59" s="1"/>
  <c r="J64" i="58"/>
  <c r="J67" i="58" s="1"/>
  <c r="J78" i="58" s="1"/>
  <c r="J34" i="58"/>
  <c r="J37" i="58" s="1"/>
  <c r="J48" i="58" s="1"/>
  <c r="J9" i="58"/>
  <c r="J19" i="58" s="1"/>
  <c r="L64" i="58"/>
  <c r="L67" i="58" s="1"/>
  <c r="L78" i="58" s="1"/>
  <c r="L34" i="58"/>
  <c r="L37" i="58" s="1"/>
  <c r="L48" i="58" s="1"/>
  <c r="L9" i="58"/>
  <c r="L19" i="58" s="1"/>
  <c r="L34" i="59"/>
  <c r="L37" i="59" s="1"/>
  <c r="L48" i="59" s="1"/>
  <c r="L64" i="59"/>
  <c r="L67" i="59" s="1"/>
  <c r="L78" i="59" s="1"/>
  <c r="L8" i="59"/>
  <c r="L19" i="59" s="1"/>
  <c r="J64" i="55"/>
  <c r="J67" i="55" s="1"/>
  <c r="J78" i="55" s="1"/>
  <c r="J34" i="55"/>
  <c r="J37" i="55" s="1"/>
  <c r="J48" i="55" s="1"/>
  <c r="J9" i="55"/>
  <c r="J19" i="55" s="1"/>
  <c r="L64" i="55"/>
  <c r="L67" i="55" s="1"/>
  <c r="L78" i="55" s="1"/>
  <c r="L34" i="55"/>
  <c r="L37" i="55" s="1"/>
  <c r="L48" i="55" s="1"/>
  <c r="L9" i="55"/>
  <c r="L19" i="55" s="1"/>
  <c r="D57" i="1"/>
  <c r="D40" i="55"/>
  <c r="D87" i="30"/>
  <c r="D90" i="30"/>
  <c r="D54" i="30"/>
  <c r="D57" i="30"/>
  <c r="D87" i="31"/>
  <c r="D90" i="31"/>
  <c r="D54" i="31"/>
  <c r="D57" i="31"/>
  <c r="D54" i="1"/>
  <c r="D87" i="1"/>
  <c r="D90" i="1"/>
  <c r="J8" i="1"/>
  <c r="J24" i="1" s="1"/>
  <c r="J72" i="1"/>
  <c r="J73" i="1" s="1"/>
  <c r="J89" i="1" s="1"/>
  <c r="J39" i="1"/>
  <c r="J40" i="1" s="1"/>
  <c r="J56" i="1" s="1"/>
  <c r="J72" i="31"/>
  <c r="J73" i="31" s="1"/>
  <c r="J89" i="31" s="1"/>
  <c r="J39" i="31"/>
  <c r="J40" i="31" s="1"/>
  <c r="J56" i="31" s="1"/>
  <c r="J8" i="31"/>
  <c r="J24" i="31" s="1"/>
  <c r="K7" i="31"/>
  <c r="K7" i="59" s="1"/>
  <c r="K7" i="1"/>
  <c r="K7" i="55" s="1"/>
  <c r="K7" i="30"/>
  <c r="K7" i="58" s="1"/>
  <c r="M7" i="1"/>
  <c r="M7" i="55" s="1"/>
  <c r="M7" i="30"/>
  <c r="M7" i="58" s="1"/>
  <c r="P179" i="25"/>
  <c r="M7" i="31"/>
  <c r="M7" i="59" s="1"/>
  <c r="Q179" i="25"/>
  <c r="D19" i="1"/>
  <c r="D20" i="1" s="1"/>
  <c r="D12" i="55" s="1"/>
  <c r="D19" i="31"/>
  <c r="D20" i="31" s="1"/>
  <c r="D11" i="59" s="1"/>
  <c r="D19" i="30"/>
  <c r="D20" i="30" s="1"/>
  <c r="D12" i="58" s="1"/>
  <c r="F44" i="25"/>
  <c r="G39" i="25" s="1"/>
  <c r="F11" i="31"/>
  <c r="F11" i="1"/>
  <c r="F11" i="30"/>
  <c r="I183" i="25"/>
  <c r="J39" i="30"/>
  <c r="J40" i="30" s="1"/>
  <c r="J56" i="30" s="1"/>
  <c r="J8" i="30"/>
  <c r="J24" i="30" s="1"/>
  <c r="J72" i="30"/>
  <c r="J73" i="30" s="1"/>
  <c r="J89" i="30" s="1"/>
  <c r="L8" i="31"/>
  <c r="L24" i="31" s="1"/>
  <c r="L39" i="31"/>
  <c r="L40" i="31" s="1"/>
  <c r="L56" i="31" s="1"/>
  <c r="L72" i="31"/>
  <c r="L73" i="31" s="1"/>
  <c r="L89" i="31" s="1"/>
  <c r="E43" i="31"/>
  <c r="E52" i="31" s="1"/>
  <c r="E40" i="59" s="1"/>
  <c r="E76" i="31"/>
  <c r="E85" i="31" s="1"/>
  <c r="E70" i="59" s="1"/>
  <c r="L8" i="1"/>
  <c r="L24" i="1" s="1"/>
  <c r="L72" i="1"/>
  <c r="L73" i="1" s="1"/>
  <c r="L89" i="1" s="1"/>
  <c r="L39" i="1"/>
  <c r="L40" i="1" s="1"/>
  <c r="L56" i="1" s="1"/>
  <c r="E43" i="1"/>
  <c r="E52" i="1" s="1"/>
  <c r="E40" i="55" s="1"/>
  <c r="E76" i="1"/>
  <c r="E85" i="1" s="1"/>
  <c r="E70" i="55" s="1"/>
  <c r="L72" i="30"/>
  <c r="L73" i="30" s="1"/>
  <c r="L89" i="30" s="1"/>
  <c r="L39" i="30"/>
  <c r="L40" i="30" s="1"/>
  <c r="L56" i="30" s="1"/>
  <c r="L8" i="30"/>
  <c r="L24" i="30" s="1"/>
  <c r="E43" i="30"/>
  <c r="E52" i="30" s="1"/>
  <c r="E40" i="58" s="1"/>
  <c r="E76" i="30"/>
  <c r="E85" i="30" s="1"/>
  <c r="E70" i="58" s="1"/>
  <c r="M64" i="58" l="1"/>
  <c r="M67" i="58" s="1"/>
  <c r="M78" i="58" s="1"/>
  <c r="M34" i="58"/>
  <c r="M37" i="58" s="1"/>
  <c r="M48" i="58" s="1"/>
  <c r="M9" i="58"/>
  <c r="M19" i="58" s="1"/>
  <c r="K64" i="58"/>
  <c r="K67" i="58" s="1"/>
  <c r="K78" i="58" s="1"/>
  <c r="K34" i="58"/>
  <c r="K37" i="58" s="1"/>
  <c r="K48" i="58" s="1"/>
  <c r="K9" i="58"/>
  <c r="K19" i="58" s="1"/>
  <c r="M64" i="55"/>
  <c r="M67" i="55" s="1"/>
  <c r="M78" i="55" s="1"/>
  <c r="M34" i="55"/>
  <c r="M37" i="55" s="1"/>
  <c r="M48" i="55" s="1"/>
  <c r="M9" i="55"/>
  <c r="M19" i="55" s="1"/>
  <c r="K64" i="55"/>
  <c r="K67" i="55" s="1"/>
  <c r="K78" i="55" s="1"/>
  <c r="K34" i="55"/>
  <c r="K37" i="55" s="1"/>
  <c r="K48" i="55" s="1"/>
  <c r="K9" i="55"/>
  <c r="K19" i="55" s="1"/>
  <c r="M64" i="59"/>
  <c r="M67" i="59" s="1"/>
  <c r="M78" i="59" s="1"/>
  <c r="M34" i="59"/>
  <c r="M37" i="59" s="1"/>
  <c r="M48" i="59" s="1"/>
  <c r="M8" i="59"/>
  <c r="M19" i="59" s="1"/>
  <c r="K64" i="59"/>
  <c r="K67" i="59" s="1"/>
  <c r="K78" i="59" s="1"/>
  <c r="K34" i="59"/>
  <c r="K37" i="59" s="1"/>
  <c r="K48" i="59" s="1"/>
  <c r="K8" i="59"/>
  <c r="K19" i="59" s="1"/>
  <c r="D22" i="30"/>
  <c r="D25" i="30"/>
  <c r="E87" i="30"/>
  <c r="E90" i="30"/>
  <c r="E54" i="30"/>
  <c r="E57" i="30"/>
  <c r="E87" i="31"/>
  <c r="E90" i="31"/>
  <c r="E54" i="31"/>
  <c r="E57" i="31"/>
  <c r="D22" i="31"/>
  <c r="D25" i="31"/>
  <c r="E87" i="1"/>
  <c r="E90" i="1"/>
  <c r="E54" i="1"/>
  <c r="E57" i="1"/>
  <c r="D22" i="1"/>
  <c r="D25" i="1"/>
  <c r="G11" i="31"/>
  <c r="G11" i="30"/>
  <c r="G11" i="1"/>
  <c r="J183" i="25"/>
  <c r="M72" i="30"/>
  <c r="M73" i="30" s="1"/>
  <c r="M89" i="30" s="1"/>
  <c r="M39" i="30"/>
  <c r="M40" i="30" s="1"/>
  <c r="M56" i="30" s="1"/>
  <c r="M8" i="30"/>
  <c r="M24" i="30" s="1"/>
  <c r="K8" i="31"/>
  <c r="K24" i="31" s="1"/>
  <c r="K39" i="31"/>
  <c r="K40" i="31" s="1"/>
  <c r="K56" i="31" s="1"/>
  <c r="K72" i="31"/>
  <c r="K73" i="31" s="1"/>
  <c r="K89" i="31" s="1"/>
  <c r="F76" i="31"/>
  <c r="F85" i="31" s="1"/>
  <c r="F70" i="59" s="1"/>
  <c r="F43" i="31"/>
  <c r="F52" i="31" s="1"/>
  <c r="F40" i="59" s="1"/>
  <c r="N7" i="30"/>
  <c r="N7" i="58" s="1"/>
  <c r="N7" i="1"/>
  <c r="N7" i="55" s="1"/>
  <c r="N7" i="31"/>
  <c r="N7" i="59" s="1"/>
  <c r="F76" i="30"/>
  <c r="F85" i="30" s="1"/>
  <c r="F70" i="58" s="1"/>
  <c r="F43" i="30"/>
  <c r="F52" i="30" s="1"/>
  <c r="F40" i="58" s="1"/>
  <c r="G41" i="25"/>
  <c r="O7" i="1"/>
  <c r="O7" i="55" s="1"/>
  <c r="O7" i="30"/>
  <c r="O7" i="58" s="1"/>
  <c r="O7" i="31"/>
  <c r="O7" i="59" s="1"/>
  <c r="R179" i="25"/>
  <c r="M8" i="1"/>
  <c r="M24" i="1" s="1"/>
  <c r="M39" i="1"/>
  <c r="M40" i="1" s="1"/>
  <c r="M56" i="1" s="1"/>
  <c r="M72" i="1"/>
  <c r="M73" i="1" s="1"/>
  <c r="M89" i="1" s="1"/>
  <c r="K8" i="1"/>
  <c r="K24" i="1" s="1"/>
  <c r="K72" i="1"/>
  <c r="K73" i="1" s="1"/>
  <c r="K89" i="1" s="1"/>
  <c r="K39" i="1"/>
  <c r="K40" i="1" s="1"/>
  <c r="K56" i="1" s="1"/>
  <c r="F43" i="1"/>
  <c r="F52" i="1" s="1"/>
  <c r="F40" i="55" s="1"/>
  <c r="F76" i="1"/>
  <c r="F85" i="1" s="1"/>
  <c r="F70" i="55" s="1"/>
  <c r="M72" i="31"/>
  <c r="M73" i="31" s="1"/>
  <c r="M89" i="31" s="1"/>
  <c r="M39" i="31"/>
  <c r="M40" i="31" s="1"/>
  <c r="M56" i="31" s="1"/>
  <c r="M8" i="31"/>
  <c r="M24" i="31" s="1"/>
  <c r="K8" i="30"/>
  <c r="K24" i="30" s="1"/>
  <c r="K39" i="30"/>
  <c r="K40" i="30" s="1"/>
  <c r="K56" i="30" s="1"/>
  <c r="K72" i="30"/>
  <c r="K73" i="30" s="1"/>
  <c r="K89" i="30" s="1"/>
  <c r="N64" i="58" l="1"/>
  <c r="N67" i="58" s="1"/>
  <c r="N78" i="58" s="1"/>
  <c r="N34" i="58"/>
  <c r="N37" i="58" s="1"/>
  <c r="N48" i="58" s="1"/>
  <c r="N9" i="58"/>
  <c r="N19" i="58" s="1"/>
  <c r="O34" i="55"/>
  <c r="O37" i="55" s="1"/>
  <c r="O48" i="55" s="1"/>
  <c r="O64" i="55"/>
  <c r="O67" i="55" s="1"/>
  <c r="O78" i="55" s="1"/>
  <c r="O9" i="55"/>
  <c r="O19" i="55" s="1"/>
  <c r="O34" i="59"/>
  <c r="O37" i="59" s="1"/>
  <c r="O48" i="59" s="1"/>
  <c r="O64" i="59"/>
  <c r="O67" i="59" s="1"/>
  <c r="O78" i="59" s="1"/>
  <c r="O8" i="59"/>
  <c r="O19" i="59" s="1"/>
  <c r="N34" i="59"/>
  <c r="N37" i="59" s="1"/>
  <c r="N48" i="59" s="1"/>
  <c r="N64" i="59"/>
  <c r="N67" i="59" s="1"/>
  <c r="N78" i="59" s="1"/>
  <c r="N8" i="59"/>
  <c r="N19" i="59" s="1"/>
  <c r="O34" i="58"/>
  <c r="O37" i="58" s="1"/>
  <c r="O48" i="58" s="1"/>
  <c r="O64" i="58"/>
  <c r="O67" i="58" s="1"/>
  <c r="O78" i="58" s="1"/>
  <c r="O9" i="58"/>
  <c r="O19" i="58" s="1"/>
  <c r="N64" i="55"/>
  <c r="N67" i="55" s="1"/>
  <c r="N78" i="55" s="1"/>
  <c r="N34" i="55"/>
  <c r="N37" i="55" s="1"/>
  <c r="N48" i="55" s="1"/>
  <c r="N9" i="55"/>
  <c r="N19" i="55" s="1"/>
  <c r="F54" i="30"/>
  <c r="F57" i="30"/>
  <c r="F87" i="30"/>
  <c r="F90" i="30"/>
  <c r="F87" i="31"/>
  <c r="F90" i="31"/>
  <c r="F54" i="31"/>
  <c r="F57" i="31"/>
  <c r="F87" i="1"/>
  <c r="F90" i="1"/>
  <c r="F54" i="1"/>
  <c r="F57" i="1"/>
  <c r="O72" i="31"/>
  <c r="O73" i="31" s="1"/>
  <c r="O89" i="31" s="1"/>
  <c r="O39" i="31"/>
  <c r="O40" i="31" s="1"/>
  <c r="O56" i="31" s="1"/>
  <c r="O8" i="31"/>
  <c r="O24" i="31" s="1"/>
  <c r="N72" i="30"/>
  <c r="N73" i="30" s="1"/>
  <c r="N89" i="30" s="1"/>
  <c r="N39" i="30"/>
  <c r="N40" i="30" s="1"/>
  <c r="N56" i="30" s="1"/>
  <c r="N8" i="30"/>
  <c r="N24" i="30" s="1"/>
  <c r="H11" i="30"/>
  <c r="H11" i="1"/>
  <c r="H11" i="31"/>
  <c r="K183" i="25"/>
  <c r="O39" i="30"/>
  <c r="O40" i="30" s="1"/>
  <c r="O56" i="30" s="1"/>
  <c r="O8" i="30"/>
  <c r="O24" i="30" s="1"/>
  <c r="O72" i="30"/>
  <c r="O73" i="30" s="1"/>
  <c r="O89" i="30" s="1"/>
  <c r="G43" i="1"/>
  <c r="G52" i="1" s="1"/>
  <c r="G40" i="55" s="1"/>
  <c r="G76" i="1"/>
  <c r="G85" i="1" s="1"/>
  <c r="G70" i="55" s="1"/>
  <c r="O8" i="1"/>
  <c r="O24" i="1" s="1"/>
  <c r="O39" i="1"/>
  <c r="O40" i="1" s="1"/>
  <c r="O56" i="1" s="1"/>
  <c r="O72" i="1"/>
  <c r="O73" i="1" s="1"/>
  <c r="O89" i="1" s="1"/>
  <c r="N8" i="31"/>
  <c r="N24" i="31" s="1"/>
  <c r="N39" i="31"/>
  <c r="N40" i="31" s="1"/>
  <c r="N56" i="31" s="1"/>
  <c r="N72" i="31"/>
  <c r="N73" i="31" s="1"/>
  <c r="N89" i="31" s="1"/>
  <c r="G76" i="30"/>
  <c r="G85" i="30" s="1"/>
  <c r="G70" i="58" s="1"/>
  <c r="G43" i="30"/>
  <c r="G52" i="30" s="1"/>
  <c r="G40" i="58" s="1"/>
  <c r="P7" i="30"/>
  <c r="P7" i="58" s="1"/>
  <c r="S179" i="25"/>
  <c r="P7" i="1"/>
  <c r="P7" i="55" s="1"/>
  <c r="P7" i="31"/>
  <c r="P7" i="59" s="1"/>
  <c r="T179" i="25"/>
  <c r="G43" i="25"/>
  <c r="N8" i="1"/>
  <c r="N24" i="1" s="1"/>
  <c r="N39" i="1"/>
  <c r="N40" i="1" s="1"/>
  <c r="N56" i="1" s="1"/>
  <c r="N72" i="1"/>
  <c r="N73" i="1" s="1"/>
  <c r="N89" i="1" s="1"/>
  <c r="G43" i="31"/>
  <c r="G52" i="31" s="1"/>
  <c r="G40" i="59" s="1"/>
  <c r="G76" i="31"/>
  <c r="G85" i="31" s="1"/>
  <c r="G70" i="59" s="1"/>
  <c r="P34" i="58" l="1"/>
  <c r="P37" i="58" s="1"/>
  <c r="P48" i="58" s="1"/>
  <c r="P64" i="58"/>
  <c r="P67" i="58" s="1"/>
  <c r="P78" i="58" s="1"/>
  <c r="P9" i="58"/>
  <c r="P19" i="58" s="1"/>
  <c r="P34" i="59"/>
  <c r="P37" i="59" s="1"/>
  <c r="P48" i="59" s="1"/>
  <c r="P64" i="59"/>
  <c r="P67" i="59" s="1"/>
  <c r="P78" i="59" s="1"/>
  <c r="P8" i="59"/>
  <c r="P19" i="59" s="1"/>
  <c r="P64" i="55"/>
  <c r="P67" i="55" s="1"/>
  <c r="P78" i="55" s="1"/>
  <c r="P34" i="55"/>
  <c r="P37" i="55" s="1"/>
  <c r="P48" i="55" s="1"/>
  <c r="P9" i="55"/>
  <c r="P19" i="55" s="1"/>
  <c r="G54" i="30"/>
  <c r="G57" i="30"/>
  <c r="G87" i="30"/>
  <c r="G90" i="30"/>
  <c r="G87" i="31"/>
  <c r="G90" i="31"/>
  <c r="G54" i="31"/>
  <c r="G57" i="31"/>
  <c r="G87" i="1"/>
  <c r="G90" i="1"/>
  <c r="G54" i="1"/>
  <c r="G57" i="1"/>
  <c r="H43" i="31"/>
  <c r="H52" i="31" s="1"/>
  <c r="H40" i="59" s="1"/>
  <c r="H76" i="31"/>
  <c r="H85" i="31" s="1"/>
  <c r="H70" i="59" s="1"/>
  <c r="P39" i="1"/>
  <c r="P40" i="1" s="1"/>
  <c r="P56" i="1" s="1"/>
  <c r="P72" i="1"/>
  <c r="P73" i="1" s="1"/>
  <c r="P89" i="1" s="1"/>
  <c r="P8" i="1"/>
  <c r="P24" i="1" s="1"/>
  <c r="H43" i="1"/>
  <c r="H52" i="1" s="1"/>
  <c r="H40" i="55" s="1"/>
  <c r="H76" i="1"/>
  <c r="H85" i="1" s="1"/>
  <c r="H70" i="55" s="1"/>
  <c r="P72" i="31"/>
  <c r="P73" i="31" s="1"/>
  <c r="P89" i="31" s="1"/>
  <c r="P8" i="31"/>
  <c r="P24" i="31" s="1"/>
  <c r="P39" i="31"/>
  <c r="P40" i="31" s="1"/>
  <c r="P56" i="31" s="1"/>
  <c r="E19" i="30"/>
  <c r="E20" i="30" s="1"/>
  <c r="E12" i="58" s="1"/>
  <c r="E19" i="1"/>
  <c r="E20" i="1" s="1"/>
  <c r="E12" i="55" s="1"/>
  <c r="E19" i="31"/>
  <c r="E20" i="31" s="1"/>
  <c r="E11" i="59" s="1"/>
  <c r="G44" i="25"/>
  <c r="H39" i="25" s="1"/>
  <c r="Q7" i="30"/>
  <c r="Q7" i="58" s="1"/>
  <c r="Q7" i="31"/>
  <c r="Q7" i="59" s="1"/>
  <c r="Q7" i="1"/>
  <c r="Q7" i="55" s="1"/>
  <c r="H76" i="30"/>
  <c r="H85" i="30" s="1"/>
  <c r="H70" i="58" s="1"/>
  <c r="H43" i="30"/>
  <c r="H52" i="30" s="1"/>
  <c r="H40" i="58" s="1"/>
  <c r="R7" i="30"/>
  <c r="R7" i="58" s="1"/>
  <c r="R7" i="1"/>
  <c r="R7" i="55" s="1"/>
  <c r="R7" i="31"/>
  <c r="R7" i="59" s="1"/>
  <c r="U179" i="25"/>
  <c r="P8" i="30"/>
  <c r="P24" i="30" s="1"/>
  <c r="P72" i="30"/>
  <c r="P73" i="30" s="1"/>
  <c r="P89" i="30" s="1"/>
  <c r="P39" i="30"/>
  <c r="P40" i="30" s="1"/>
  <c r="P56" i="30" s="1"/>
  <c r="I11" i="31"/>
  <c r="I11" i="1"/>
  <c r="I11" i="30"/>
  <c r="L183" i="25"/>
  <c r="R64" i="55" l="1"/>
  <c r="R67" i="55" s="1"/>
  <c r="R78" i="55" s="1"/>
  <c r="R34" i="55"/>
  <c r="R37" i="55" s="1"/>
  <c r="R48" i="55" s="1"/>
  <c r="R9" i="55"/>
  <c r="R19" i="55" s="1"/>
  <c r="Q64" i="58"/>
  <c r="Q67" i="58" s="1"/>
  <c r="Q78" i="58" s="1"/>
  <c r="Q34" i="58"/>
  <c r="Q37" i="58" s="1"/>
  <c r="Q48" i="58" s="1"/>
  <c r="Q9" i="58"/>
  <c r="Q19" i="58" s="1"/>
  <c r="R34" i="59"/>
  <c r="R37" i="59" s="1"/>
  <c r="R48" i="59" s="1"/>
  <c r="R64" i="59"/>
  <c r="R67" i="59" s="1"/>
  <c r="R78" i="59" s="1"/>
  <c r="R8" i="59"/>
  <c r="R19" i="59" s="1"/>
  <c r="R64" i="58"/>
  <c r="R67" i="58" s="1"/>
  <c r="R78" i="58" s="1"/>
  <c r="R34" i="58"/>
  <c r="R37" i="58" s="1"/>
  <c r="R48" i="58" s="1"/>
  <c r="R9" i="58"/>
  <c r="R19" i="58" s="1"/>
  <c r="Q64" i="59"/>
  <c r="Q67" i="59" s="1"/>
  <c r="Q78" i="59" s="1"/>
  <c r="Q34" i="59"/>
  <c r="Q37" i="59" s="1"/>
  <c r="Q48" i="59" s="1"/>
  <c r="Q8" i="59"/>
  <c r="Q19" i="59" s="1"/>
  <c r="Q64" i="55"/>
  <c r="Q67" i="55" s="1"/>
  <c r="Q78" i="55" s="1"/>
  <c r="Q34" i="55"/>
  <c r="Q37" i="55" s="1"/>
  <c r="Q48" i="55" s="1"/>
  <c r="Q9" i="55"/>
  <c r="Q19" i="55" s="1"/>
  <c r="H54" i="30"/>
  <c r="H57" i="30"/>
  <c r="E22" i="30"/>
  <c r="E25" i="30"/>
  <c r="H87" i="30"/>
  <c r="H90" i="30"/>
  <c r="H87" i="31"/>
  <c r="H90" i="31"/>
  <c r="H54" i="31"/>
  <c r="H57" i="31"/>
  <c r="E22" i="31"/>
  <c r="E25" i="31"/>
  <c r="H54" i="1"/>
  <c r="H57" i="1"/>
  <c r="E22" i="1"/>
  <c r="E25" i="1"/>
  <c r="H87" i="1"/>
  <c r="H90" i="1"/>
  <c r="R8" i="1"/>
  <c r="R24" i="1" s="1"/>
  <c r="R39" i="1"/>
  <c r="R40" i="1" s="1"/>
  <c r="R56" i="1" s="1"/>
  <c r="R72" i="1"/>
  <c r="R73" i="1" s="1"/>
  <c r="R89" i="1" s="1"/>
  <c r="Q8" i="30"/>
  <c r="Q24" i="30" s="1"/>
  <c r="Q72" i="30"/>
  <c r="Q73" i="30" s="1"/>
  <c r="Q89" i="30" s="1"/>
  <c r="Q39" i="30"/>
  <c r="Q40" i="30" s="1"/>
  <c r="Q56" i="30" s="1"/>
  <c r="I43" i="30"/>
  <c r="I52" i="30" s="1"/>
  <c r="I40" i="58" s="1"/>
  <c r="I76" i="30"/>
  <c r="I85" i="30" s="1"/>
  <c r="I70" i="58" s="1"/>
  <c r="R72" i="30"/>
  <c r="R73" i="30" s="1"/>
  <c r="R89" i="30" s="1"/>
  <c r="R8" i="30"/>
  <c r="R24" i="30" s="1"/>
  <c r="R39" i="30"/>
  <c r="R40" i="30" s="1"/>
  <c r="R56" i="30" s="1"/>
  <c r="H41" i="25"/>
  <c r="I76" i="1"/>
  <c r="I85" i="1" s="1"/>
  <c r="I70" i="55" s="1"/>
  <c r="I43" i="1"/>
  <c r="I52" i="1" s="1"/>
  <c r="I40" i="55" s="1"/>
  <c r="V179" i="25"/>
  <c r="S7" i="31"/>
  <c r="S7" i="59" s="1"/>
  <c r="S7" i="1"/>
  <c r="S7" i="55" s="1"/>
  <c r="S7" i="30"/>
  <c r="S7" i="58" s="1"/>
  <c r="W179" i="25"/>
  <c r="Q72" i="1"/>
  <c r="Q73" i="1" s="1"/>
  <c r="Q89" i="1" s="1"/>
  <c r="Q8" i="1"/>
  <c r="Q24" i="1" s="1"/>
  <c r="Q39" i="1"/>
  <c r="Q40" i="1" s="1"/>
  <c r="Q56" i="1" s="1"/>
  <c r="J11" i="31"/>
  <c r="J11" i="1"/>
  <c r="J11" i="30"/>
  <c r="M183" i="25"/>
  <c r="I76" i="31"/>
  <c r="I85" i="31" s="1"/>
  <c r="I70" i="59" s="1"/>
  <c r="I43" i="31"/>
  <c r="I52" i="31" s="1"/>
  <c r="I40" i="59" s="1"/>
  <c r="R8" i="31"/>
  <c r="R24" i="31" s="1"/>
  <c r="R39" i="31"/>
  <c r="R40" i="31" s="1"/>
  <c r="R56" i="31" s="1"/>
  <c r="R72" i="31"/>
  <c r="R73" i="31" s="1"/>
  <c r="R89" i="31" s="1"/>
  <c r="Q72" i="31"/>
  <c r="Q73" i="31" s="1"/>
  <c r="Q89" i="31" s="1"/>
  <c r="Q39" i="31"/>
  <c r="Q40" i="31" s="1"/>
  <c r="Q56" i="31" s="1"/>
  <c r="Q8" i="31"/>
  <c r="Q24" i="31" s="1"/>
  <c r="S34" i="58" l="1"/>
  <c r="S37" i="58" s="1"/>
  <c r="S48" i="58" s="1"/>
  <c r="S64" i="58"/>
  <c r="S67" i="58" s="1"/>
  <c r="S78" i="58" s="1"/>
  <c r="S9" i="58"/>
  <c r="S19" i="58" s="1"/>
  <c r="S64" i="55"/>
  <c r="S67" i="55" s="1"/>
  <c r="S78" i="55" s="1"/>
  <c r="S34" i="55"/>
  <c r="S37" i="55" s="1"/>
  <c r="S48" i="55" s="1"/>
  <c r="S9" i="55"/>
  <c r="S19" i="55" s="1"/>
  <c r="S64" i="59"/>
  <c r="S67" i="59" s="1"/>
  <c r="S78" i="59" s="1"/>
  <c r="S34" i="59"/>
  <c r="S37" i="59" s="1"/>
  <c r="S48" i="59" s="1"/>
  <c r="S8" i="59"/>
  <c r="S19" i="59" s="1"/>
  <c r="I87" i="30"/>
  <c r="I90" i="30"/>
  <c r="I54" i="30"/>
  <c r="I57" i="30"/>
  <c r="I87" i="31"/>
  <c r="I90" i="31"/>
  <c r="I54" i="31"/>
  <c r="I57" i="31"/>
  <c r="I54" i="1"/>
  <c r="I57" i="1"/>
  <c r="I87" i="1"/>
  <c r="I90" i="1"/>
  <c r="J43" i="31"/>
  <c r="J52" i="31" s="1"/>
  <c r="J40" i="59" s="1"/>
  <c r="J76" i="31"/>
  <c r="J85" i="31" s="1"/>
  <c r="J70" i="59" s="1"/>
  <c r="S72" i="1"/>
  <c r="S73" i="1" s="1"/>
  <c r="S89" i="1" s="1"/>
  <c r="S8" i="1"/>
  <c r="S24" i="1" s="1"/>
  <c r="S39" i="1"/>
  <c r="S40" i="1" s="1"/>
  <c r="S56" i="1" s="1"/>
  <c r="K11" i="30"/>
  <c r="K11" i="1"/>
  <c r="K11" i="31"/>
  <c r="N183" i="25"/>
  <c r="S72" i="31"/>
  <c r="S73" i="31" s="1"/>
  <c r="S89" i="31" s="1"/>
  <c r="S8" i="31"/>
  <c r="S24" i="31" s="1"/>
  <c r="S39" i="31"/>
  <c r="S40" i="31" s="1"/>
  <c r="S56" i="31" s="1"/>
  <c r="J76" i="30"/>
  <c r="J85" i="30" s="1"/>
  <c r="J70" i="58" s="1"/>
  <c r="J43" i="30"/>
  <c r="J52" i="30" s="1"/>
  <c r="J40" i="58" s="1"/>
  <c r="U7" i="30"/>
  <c r="U7" i="58" s="1"/>
  <c r="U7" i="1"/>
  <c r="U7" i="55" s="1"/>
  <c r="U7" i="31"/>
  <c r="U7" i="59" s="1"/>
  <c r="X179" i="25"/>
  <c r="T7" i="31"/>
  <c r="T7" i="59" s="1"/>
  <c r="T7" i="30"/>
  <c r="T7" i="58" s="1"/>
  <c r="T7" i="1"/>
  <c r="T7" i="55" s="1"/>
  <c r="J76" i="1"/>
  <c r="J85" i="1" s="1"/>
  <c r="J70" i="55" s="1"/>
  <c r="J43" i="1"/>
  <c r="J52" i="1" s="1"/>
  <c r="J40" i="55" s="1"/>
  <c r="S72" i="30"/>
  <c r="S73" i="30" s="1"/>
  <c r="S89" i="30" s="1"/>
  <c r="S39" i="30"/>
  <c r="S40" i="30" s="1"/>
  <c r="S56" i="30" s="1"/>
  <c r="S8" i="30"/>
  <c r="S24" i="30" s="1"/>
  <c r="H43" i="25"/>
  <c r="T64" i="55" l="1"/>
  <c r="T67" i="55" s="1"/>
  <c r="T78" i="55" s="1"/>
  <c r="T34" i="55"/>
  <c r="T37" i="55" s="1"/>
  <c r="T48" i="55" s="1"/>
  <c r="T9" i="55"/>
  <c r="T19" i="55" s="1"/>
  <c r="U64" i="58"/>
  <c r="U67" i="58" s="1"/>
  <c r="U78" i="58" s="1"/>
  <c r="U34" i="58"/>
  <c r="U37" i="58" s="1"/>
  <c r="U48" i="58" s="1"/>
  <c r="U9" i="58"/>
  <c r="U19" i="58" s="1"/>
  <c r="U34" i="55"/>
  <c r="U37" i="55" s="1"/>
  <c r="U48" i="55" s="1"/>
  <c r="U64" i="55"/>
  <c r="U67" i="55" s="1"/>
  <c r="U78" i="55" s="1"/>
  <c r="U9" i="55"/>
  <c r="U19" i="55" s="1"/>
  <c r="T64" i="59"/>
  <c r="T67" i="59" s="1"/>
  <c r="T78" i="59" s="1"/>
  <c r="T34" i="59"/>
  <c r="T37" i="59" s="1"/>
  <c r="T48" i="59" s="1"/>
  <c r="T8" i="59"/>
  <c r="T19" i="59" s="1"/>
  <c r="T64" i="58"/>
  <c r="T67" i="58" s="1"/>
  <c r="T78" i="58" s="1"/>
  <c r="T34" i="58"/>
  <c r="T37" i="58" s="1"/>
  <c r="T48" i="58" s="1"/>
  <c r="T9" i="58"/>
  <c r="T19" i="58" s="1"/>
  <c r="U64" i="59"/>
  <c r="U67" i="59" s="1"/>
  <c r="U78" i="59" s="1"/>
  <c r="U34" i="59"/>
  <c r="U37" i="59" s="1"/>
  <c r="U48" i="59" s="1"/>
  <c r="U8" i="59"/>
  <c r="U19" i="59" s="1"/>
  <c r="J54" i="30"/>
  <c r="J57" i="30"/>
  <c r="J87" i="30"/>
  <c r="J90" i="30"/>
  <c r="J87" i="31"/>
  <c r="J90" i="31"/>
  <c r="J54" i="31"/>
  <c r="J57" i="31"/>
  <c r="J54" i="1"/>
  <c r="J57" i="1"/>
  <c r="J87" i="1"/>
  <c r="J90" i="1"/>
  <c r="T8" i="30"/>
  <c r="T24" i="30" s="1"/>
  <c r="T72" i="30"/>
  <c r="T73" i="30" s="1"/>
  <c r="T89" i="30" s="1"/>
  <c r="T39" i="30"/>
  <c r="T40" i="30" s="1"/>
  <c r="T56" i="30" s="1"/>
  <c r="U72" i="1"/>
  <c r="U73" i="1" s="1"/>
  <c r="U89" i="1" s="1"/>
  <c r="U39" i="1"/>
  <c r="U40" i="1" s="1"/>
  <c r="U56" i="1" s="1"/>
  <c r="U8" i="1"/>
  <c r="U24" i="1" s="1"/>
  <c r="K43" i="1"/>
  <c r="K52" i="1" s="1"/>
  <c r="K40" i="55" s="1"/>
  <c r="K76" i="1"/>
  <c r="K85" i="1" s="1"/>
  <c r="K70" i="55" s="1"/>
  <c r="T39" i="31"/>
  <c r="T40" i="31" s="1"/>
  <c r="T56" i="31" s="1"/>
  <c r="T72" i="31"/>
  <c r="T73" i="31" s="1"/>
  <c r="T89" i="31" s="1"/>
  <c r="T8" i="31"/>
  <c r="T24" i="31" s="1"/>
  <c r="U39" i="30"/>
  <c r="U40" i="30" s="1"/>
  <c r="U56" i="30" s="1"/>
  <c r="U8" i="30"/>
  <c r="U24" i="30" s="1"/>
  <c r="U72" i="30"/>
  <c r="U73" i="30" s="1"/>
  <c r="U89" i="30" s="1"/>
  <c r="K76" i="30"/>
  <c r="K85" i="30" s="1"/>
  <c r="K70" i="58" s="1"/>
  <c r="K43" i="30"/>
  <c r="K52" i="30" s="1"/>
  <c r="K40" i="58" s="1"/>
  <c r="F19" i="31"/>
  <c r="F20" i="31" s="1"/>
  <c r="F11" i="59" s="1"/>
  <c r="F19" i="1"/>
  <c r="F20" i="1" s="1"/>
  <c r="F12" i="55" s="1"/>
  <c r="F19" i="30"/>
  <c r="F20" i="30" s="1"/>
  <c r="F12" i="58" s="1"/>
  <c r="H44" i="25"/>
  <c r="I39" i="25" s="1"/>
  <c r="V7" i="30"/>
  <c r="V7" i="58" s="1"/>
  <c r="V7" i="1"/>
  <c r="V7" i="55" s="1"/>
  <c r="V7" i="31"/>
  <c r="V7" i="59" s="1"/>
  <c r="Z179" i="25"/>
  <c r="Y179" i="25"/>
  <c r="L11" i="31"/>
  <c r="L11" i="30"/>
  <c r="L11" i="1"/>
  <c r="O183" i="25"/>
  <c r="T39" i="1"/>
  <c r="T40" i="1" s="1"/>
  <c r="T56" i="1" s="1"/>
  <c r="T8" i="1"/>
  <c r="T24" i="1" s="1"/>
  <c r="T72" i="1"/>
  <c r="T73" i="1" s="1"/>
  <c r="T89" i="1" s="1"/>
  <c r="U39" i="31"/>
  <c r="U40" i="31" s="1"/>
  <c r="U56" i="31" s="1"/>
  <c r="U8" i="31"/>
  <c r="U24" i="31" s="1"/>
  <c r="U72" i="31"/>
  <c r="U73" i="31" s="1"/>
  <c r="U89" i="31" s="1"/>
  <c r="K43" i="31"/>
  <c r="K52" i="31" s="1"/>
  <c r="K40" i="59" s="1"/>
  <c r="K76" i="31"/>
  <c r="K85" i="31" s="1"/>
  <c r="K70" i="59" s="1"/>
  <c r="V34" i="59" l="1"/>
  <c r="V37" i="59" s="1"/>
  <c r="V48" i="59" s="1"/>
  <c r="V64" i="59"/>
  <c r="V67" i="59" s="1"/>
  <c r="V78" i="59" s="1"/>
  <c r="V8" i="59"/>
  <c r="V19" i="59" s="1"/>
  <c r="V64" i="55"/>
  <c r="V67" i="55" s="1"/>
  <c r="V78" i="55" s="1"/>
  <c r="V34" i="55"/>
  <c r="V37" i="55" s="1"/>
  <c r="V48" i="55" s="1"/>
  <c r="V9" i="55"/>
  <c r="V19" i="55" s="1"/>
  <c r="V64" i="58"/>
  <c r="V67" i="58" s="1"/>
  <c r="V78" i="58" s="1"/>
  <c r="V34" i="58"/>
  <c r="V37" i="58" s="1"/>
  <c r="V48" i="58" s="1"/>
  <c r="V9" i="58"/>
  <c r="V19" i="58" s="1"/>
  <c r="F22" i="30"/>
  <c r="F25" i="30"/>
  <c r="K87" i="30"/>
  <c r="K90" i="30"/>
  <c r="K54" i="30"/>
  <c r="K57" i="30"/>
  <c r="K87" i="31"/>
  <c r="K90" i="31"/>
  <c r="K54" i="31"/>
  <c r="K57" i="31"/>
  <c r="F22" i="31"/>
  <c r="F25" i="31"/>
  <c r="F22" i="1"/>
  <c r="F25" i="1"/>
  <c r="K54" i="1"/>
  <c r="K57" i="1"/>
  <c r="K87" i="1"/>
  <c r="K90" i="1"/>
  <c r="L43" i="30"/>
  <c r="L52" i="30" s="1"/>
  <c r="L40" i="58" s="1"/>
  <c r="L76" i="30"/>
  <c r="L85" i="30" s="1"/>
  <c r="L70" i="58" s="1"/>
  <c r="I41" i="25"/>
  <c r="L76" i="31"/>
  <c r="L85" i="31" s="1"/>
  <c r="L70" i="59" s="1"/>
  <c r="L43" i="31"/>
  <c r="L52" i="31" s="1"/>
  <c r="L40" i="59" s="1"/>
  <c r="V72" i="31"/>
  <c r="V73" i="31" s="1"/>
  <c r="V89" i="31" s="1"/>
  <c r="V39" i="31"/>
  <c r="V40" i="31" s="1"/>
  <c r="V56" i="31" s="1"/>
  <c r="V8" i="31"/>
  <c r="V24" i="31" s="1"/>
  <c r="M11" i="31"/>
  <c r="M11" i="30"/>
  <c r="M11" i="1"/>
  <c r="P183" i="25"/>
  <c r="V8" i="1"/>
  <c r="V24" i="1" s="1"/>
  <c r="V39" i="1"/>
  <c r="V40" i="1" s="1"/>
  <c r="V56" i="1" s="1"/>
  <c r="V72" i="1"/>
  <c r="V73" i="1" s="1"/>
  <c r="V89" i="1" s="1"/>
  <c r="L43" i="1"/>
  <c r="L52" i="1" s="1"/>
  <c r="L40" i="55" s="1"/>
  <c r="L76" i="1"/>
  <c r="L85" i="1" s="1"/>
  <c r="L70" i="55" s="1"/>
  <c r="W7" i="30"/>
  <c r="W7" i="58" s="1"/>
  <c r="W7" i="1"/>
  <c r="W7" i="55" s="1"/>
  <c r="W7" i="31"/>
  <c r="W7" i="59" s="1"/>
  <c r="V39" i="30"/>
  <c r="V40" i="30" s="1"/>
  <c r="V56" i="30" s="1"/>
  <c r="V72" i="30"/>
  <c r="V73" i="30" s="1"/>
  <c r="V89" i="30" s="1"/>
  <c r="V8" i="30"/>
  <c r="V24" i="30" s="1"/>
  <c r="X7" i="1"/>
  <c r="X7" i="55" s="1"/>
  <c r="X7" i="31"/>
  <c r="X7" i="59" s="1"/>
  <c r="X7" i="30"/>
  <c r="X7" i="58" s="1"/>
  <c r="AA179" i="25"/>
  <c r="X64" i="59" l="1"/>
  <c r="X67" i="59" s="1"/>
  <c r="X78" i="59" s="1"/>
  <c r="X34" i="59"/>
  <c r="X37" i="59" s="1"/>
  <c r="X48" i="59" s="1"/>
  <c r="X8" i="59"/>
  <c r="X19" i="59" s="1"/>
  <c r="X64" i="58"/>
  <c r="X67" i="58" s="1"/>
  <c r="X78" i="58" s="1"/>
  <c r="X34" i="58"/>
  <c r="X37" i="58" s="1"/>
  <c r="X48" i="58" s="1"/>
  <c r="X9" i="58"/>
  <c r="X19" i="58" s="1"/>
  <c r="W64" i="55"/>
  <c r="W67" i="55" s="1"/>
  <c r="W78" i="55" s="1"/>
  <c r="W34" i="55"/>
  <c r="W37" i="55" s="1"/>
  <c r="W48" i="55" s="1"/>
  <c r="W9" i="55"/>
  <c r="W19" i="55" s="1"/>
  <c r="W64" i="59"/>
  <c r="W67" i="59" s="1"/>
  <c r="W78" i="59" s="1"/>
  <c r="W34" i="59"/>
  <c r="W37" i="59" s="1"/>
  <c r="W48" i="59" s="1"/>
  <c r="W8" i="59"/>
  <c r="W19" i="59" s="1"/>
  <c r="X64" i="55"/>
  <c r="X67" i="55" s="1"/>
  <c r="X78" i="55" s="1"/>
  <c r="X34" i="55"/>
  <c r="X37" i="55" s="1"/>
  <c r="X48" i="55" s="1"/>
  <c r="X9" i="55"/>
  <c r="X19" i="55" s="1"/>
  <c r="W34" i="58"/>
  <c r="W37" i="58" s="1"/>
  <c r="W48" i="58" s="1"/>
  <c r="W64" i="58"/>
  <c r="W67" i="58" s="1"/>
  <c r="W78" i="58" s="1"/>
  <c r="W9" i="58"/>
  <c r="W19" i="58" s="1"/>
  <c r="L87" i="30"/>
  <c r="L90" i="30"/>
  <c r="L54" i="30"/>
  <c r="L57" i="30"/>
  <c r="L87" i="31"/>
  <c r="L90" i="31"/>
  <c r="L54" i="31"/>
  <c r="L57" i="31"/>
  <c r="L87" i="1"/>
  <c r="L90" i="1"/>
  <c r="L54" i="1"/>
  <c r="L57" i="1"/>
  <c r="M43" i="30"/>
  <c r="M52" i="30" s="1"/>
  <c r="M40" i="58" s="1"/>
  <c r="M76" i="30"/>
  <c r="M85" i="30" s="1"/>
  <c r="M70" i="58" s="1"/>
  <c r="I43" i="25"/>
  <c r="AB179" i="25"/>
  <c r="Y7" i="30"/>
  <c r="Y7" i="58" s="1"/>
  <c r="Y7" i="1"/>
  <c r="Y7" i="55" s="1"/>
  <c r="Y7" i="31"/>
  <c r="Y7" i="59" s="1"/>
  <c r="W39" i="31"/>
  <c r="W40" i="31" s="1"/>
  <c r="W56" i="31" s="1"/>
  <c r="W72" i="31"/>
  <c r="W73" i="31" s="1"/>
  <c r="W89" i="31" s="1"/>
  <c r="W8" i="31"/>
  <c r="W24" i="31" s="1"/>
  <c r="M76" i="31"/>
  <c r="M85" i="31" s="1"/>
  <c r="M70" i="59" s="1"/>
  <c r="M43" i="31"/>
  <c r="M52" i="31" s="1"/>
  <c r="M40" i="59" s="1"/>
  <c r="X39" i="1"/>
  <c r="X40" i="1" s="1"/>
  <c r="X56" i="1" s="1"/>
  <c r="X72" i="1"/>
  <c r="X73" i="1" s="1"/>
  <c r="X89" i="1" s="1"/>
  <c r="X8" i="1"/>
  <c r="X24" i="1" s="1"/>
  <c r="X39" i="30"/>
  <c r="X40" i="30" s="1"/>
  <c r="X56" i="30" s="1"/>
  <c r="X72" i="30"/>
  <c r="X73" i="30" s="1"/>
  <c r="X89" i="30" s="1"/>
  <c r="X8" i="30"/>
  <c r="X24" i="30" s="1"/>
  <c r="W39" i="1"/>
  <c r="W40" i="1" s="1"/>
  <c r="W56" i="1" s="1"/>
  <c r="W72" i="1"/>
  <c r="W73" i="1" s="1"/>
  <c r="W89" i="1" s="1"/>
  <c r="W8" i="1"/>
  <c r="W24" i="1" s="1"/>
  <c r="N11" i="30"/>
  <c r="N11" i="31"/>
  <c r="N11" i="1"/>
  <c r="Q183" i="25"/>
  <c r="X8" i="31"/>
  <c r="X24" i="31" s="1"/>
  <c r="X72" i="31"/>
  <c r="X73" i="31" s="1"/>
  <c r="X89" i="31" s="1"/>
  <c r="X39" i="31"/>
  <c r="X40" i="31" s="1"/>
  <c r="X56" i="31" s="1"/>
  <c r="W72" i="30"/>
  <c r="W73" i="30" s="1"/>
  <c r="W89" i="30" s="1"/>
  <c r="W39" i="30"/>
  <c r="W40" i="30" s="1"/>
  <c r="W56" i="30" s="1"/>
  <c r="W8" i="30"/>
  <c r="W24" i="30" s="1"/>
  <c r="M43" i="1"/>
  <c r="M52" i="1" s="1"/>
  <c r="M40" i="55" s="1"/>
  <c r="M76" i="1"/>
  <c r="M85" i="1" s="1"/>
  <c r="M70" i="55" s="1"/>
  <c r="Y64" i="59" l="1"/>
  <c r="Y67" i="59" s="1"/>
  <c r="Y78" i="59" s="1"/>
  <c r="Y34" i="59"/>
  <c r="Y37" i="59" s="1"/>
  <c r="Y48" i="59" s="1"/>
  <c r="Y8" i="59"/>
  <c r="Y19" i="59" s="1"/>
  <c r="Y64" i="55"/>
  <c r="Y67" i="55" s="1"/>
  <c r="Y78" i="55" s="1"/>
  <c r="Y34" i="55"/>
  <c r="Y37" i="55" s="1"/>
  <c r="Y48" i="55" s="1"/>
  <c r="Y9" i="55"/>
  <c r="Y19" i="55" s="1"/>
  <c r="Y64" i="58"/>
  <c r="Y67" i="58" s="1"/>
  <c r="Y78" i="58" s="1"/>
  <c r="Y34" i="58"/>
  <c r="Y37" i="58" s="1"/>
  <c r="Y48" i="58" s="1"/>
  <c r="Y9" i="58"/>
  <c r="Y19" i="58" s="1"/>
  <c r="M87" i="30"/>
  <c r="M90" i="30"/>
  <c r="M54" i="30"/>
  <c r="M57" i="30"/>
  <c r="M87" i="31"/>
  <c r="M90" i="31"/>
  <c r="M54" i="31"/>
  <c r="M57" i="31"/>
  <c r="M54" i="1"/>
  <c r="M57" i="1"/>
  <c r="M87" i="1"/>
  <c r="M90" i="1"/>
  <c r="O11" i="31"/>
  <c r="O11" i="30"/>
  <c r="R183" i="25"/>
  <c r="O11" i="1"/>
  <c r="Y72" i="31"/>
  <c r="Y73" i="31" s="1"/>
  <c r="Y89" i="31" s="1"/>
  <c r="Y39" i="31"/>
  <c r="Y40" i="31" s="1"/>
  <c r="Y56" i="31" s="1"/>
  <c r="Y8" i="31"/>
  <c r="Y24" i="31" s="1"/>
  <c r="N43" i="1"/>
  <c r="N52" i="1" s="1"/>
  <c r="N40" i="55" s="1"/>
  <c r="N76" i="1"/>
  <c r="N85" i="1" s="1"/>
  <c r="N70" i="55" s="1"/>
  <c r="Y72" i="1"/>
  <c r="Y73" i="1" s="1"/>
  <c r="Y89" i="1" s="1"/>
  <c r="Y39" i="1"/>
  <c r="Y40" i="1" s="1"/>
  <c r="Y56" i="1" s="1"/>
  <c r="Y8" i="1"/>
  <c r="Y24" i="1" s="1"/>
  <c r="G19" i="31"/>
  <c r="G20" i="31" s="1"/>
  <c r="G11" i="59" s="1"/>
  <c r="G19" i="1"/>
  <c r="G20" i="1" s="1"/>
  <c r="G12" i="55" s="1"/>
  <c r="G19" i="30"/>
  <c r="G20" i="30" s="1"/>
  <c r="G12" i="58" s="1"/>
  <c r="I44" i="25"/>
  <c r="J39" i="25" s="1"/>
  <c r="N43" i="31"/>
  <c r="N52" i="31" s="1"/>
  <c r="N40" i="59" s="1"/>
  <c r="N76" i="31"/>
  <c r="N85" i="31" s="1"/>
  <c r="N70" i="59" s="1"/>
  <c r="Y72" i="30"/>
  <c r="Y73" i="30" s="1"/>
  <c r="Y89" i="30" s="1"/>
  <c r="Y39" i="30"/>
  <c r="Y40" i="30" s="1"/>
  <c r="Y56" i="30" s="1"/>
  <c r="Y8" i="30"/>
  <c r="Y24" i="30" s="1"/>
  <c r="N43" i="30"/>
  <c r="N52" i="30" s="1"/>
  <c r="N40" i="58" s="1"/>
  <c r="N76" i="30"/>
  <c r="N85" i="30" s="1"/>
  <c r="N70" i="58" s="1"/>
  <c r="Z7" i="31"/>
  <c r="Z7" i="59" s="1"/>
  <c r="Z7" i="30"/>
  <c r="Z7" i="58" s="1"/>
  <c r="Z7" i="1"/>
  <c r="Z7" i="55" s="1"/>
  <c r="Z64" i="55" l="1"/>
  <c r="Z67" i="55" s="1"/>
  <c r="Z78" i="55" s="1"/>
  <c r="AA78" i="55" s="1"/>
  <c r="C58" i="14" s="1"/>
  <c r="Z34" i="55"/>
  <c r="Z37" i="55" s="1"/>
  <c r="Z48" i="55" s="1"/>
  <c r="AA48" i="55" s="1"/>
  <c r="C57" i="14" s="1"/>
  <c r="Z9" i="55"/>
  <c r="Z19" i="55" s="1"/>
  <c r="AA19" i="55" s="1"/>
  <c r="C56" i="14" s="1"/>
  <c r="Z64" i="58"/>
  <c r="Z67" i="58" s="1"/>
  <c r="Z78" i="58" s="1"/>
  <c r="AA78" i="58" s="1"/>
  <c r="M58" i="14" s="1"/>
  <c r="Z34" i="58"/>
  <c r="Z37" i="58" s="1"/>
  <c r="Z48" i="58" s="1"/>
  <c r="AA48" i="58" s="1"/>
  <c r="M57" i="14" s="1"/>
  <c r="Z9" i="58"/>
  <c r="Z19" i="58" s="1"/>
  <c r="AA19" i="58" s="1"/>
  <c r="M56" i="14" s="1"/>
  <c r="Z34" i="59"/>
  <c r="Z37" i="59" s="1"/>
  <c r="Z48" i="59" s="1"/>
  <c r="AA48" i="59" s="1"/>
  <c r="H57" i="14" s="1"/>
  <c r="Z64" i="59"/>
  <c r="Z67" i="59" s="1"/>
  <c r="Z78" i="59" s="1"/>
  <c r="AA78" i="59" s="1"/>
  <c r="H58" i="14" s="1"/>
  <c r="Z8" i="59"/>
  <c r="Z19" i="59" s="1"/>
  <c r="AA19" i="59" s="1"/>
  <c r="H56" i="14" s="1"/>
  <c r="N87" i="30"/>
  <c r="N90" i="30"/>
  <c r="G22" i="30"/>
  <c r="G25" i="30"/>
  <c r="N54" i="30"/>
  <c r="N57" i="30"/>
  <c r="N87" i="31"/>
  <c r="N90" i="31"/>
  <c r="N54" i="31"/>
  <c r="N57" i="31"/>
  <c r="G22" i="31"/>
  <c r="G25" i="31"/>
  <c r="N87" i="1"/>
  <c r="N90" i="1"/>
  <c r="G22" i="1"/>
  <c r="G25" i="1"/>
  <c r="N54" i="1"/>
  <c r="N57" i="1"/>
  <c r="Z8" i="1"/>
  <c r="Z24" i="1" s="1"/>
  <c r="AA24" i="1" s="1"/>
  <c r="Z72" i="1"/>
  <c r="Z73" i="1" s="1"/>
  <c r="Z89" i="1" s="1"/>
  <c r="AA89" i="1" s="1"/>
  <c r="Z39" i="1"/>
  <c r="Z40" i="1" s="1"/>
  <c r="Z56" i="1" s="1"/>
  <c r="AA56" i="1" s="1"/>
  <c r="Z39" i="31"/>
  <c r="Z40" i="31" s="1"/>
  <c r="Z56" i="31" s="1"/>
  <c r="AA56" i="31" s="1"/>
  <c r="Z8" i="31"/>
  <c r="Z24" i="31" s="1"/>
  <c r="AA24" i="31" s="1"/>
  <c r="Z72" i="31"/>
  <c r="Z73" i="31" s="1"/>
  <c r="Z89" i="31" s="1"/>
  <c r="AA89" i="31" s="1"/>
  <c r="P11" i="31"/>
  <c r="P11" i="1"/>
  <c r="S183" i="25"/>
  <c r="P11" i="30"/>
  <c r="J41" i="25"/>
  <c r="J43" i="25" s="1"/>
  <c r="J44" i="25" s="1"/>
  <c r="K39" i="25" s="1"/>
  <c r="O76" i="30"/>
  <c r="O85" i="30" s="1"/>
  <c r="O70" i="58" s="1"/>
  <c r="O43" i="30"/>
  <c r="O52" i="30" s="1"/>
  <c r="O40" i="58" s="1"/>
  <c r="O43" i="31"/>
  <c r="O52" i="31" s="1"/>
  <c r="O40" i="59" s="1"/>
  <c r="O76" i="31"/>
  <c r="O85" i="31" s="1"/>
  <c r="O70" i="59" s="1"/>
  <c r="Z8" i="30"/>
  <c r="Z24" i="30" s="1"/>
  <c r="AA24" i="30" s="1"/>
  <c r="Z39" i="30"/>
  <c r="Z40" i="30" s="1"/>
  <c r="Z56" i="30" s="1"/>
  <c r="AA56" i="30" s="1"/>
  <c r="Z72" i="30"/>
  <c r="Z73" i="30" s="1"/>
  <c r="Z89" i="30" s="1"/>
  <c r="AA89" i="30" s="1"/>
  <c r="O76" i="1"/>
  <c r="O85" i="1" s="1"/>
  <c r="O70" i="55" s="1"/>
  <c r="O43" i="1"/>
  <c r="O52" i="1" s="1"/>
  <c r="O40" i="55" s="1"/>
  <c r="O54" i="30" l="1"/>
  <c r="O57" i="30"/>
  <c r="O87" i="30"/>
  <c r="O90" i="30"/>
  <c r="O87" i="31"/>
  <c r="O90" i="31"/>
  <c r="O54" i="31"/>
  <c r="O57" i="31"/>
  <c r="O54" i="1"/>
  <c r="O57" i="1"/>
  <c r="O87" i="1"/>
  <c r="O90" i="1"/>
  <c r="K41" i="25"/>
  <c r="K43" i="25" s="1"/>
  <c r="K44" i="25" s="1"/>
  <c r="L39" i="25" s="1"/>
  <c r="P43" i="31"/>
  <c r="P52" i="31" s="1"/>
  <c r="P40" i="59" s="1"/>
  <c r="P76" i="31"/>
  <c r="P85" i="31" s="1"/>
  <c r="P70" i="59" s="1"/>
  <c r="P43" i="30"/>
  <c r="P52" i="30" s="1"/>
  <c r="P40" i="58" s="1"/>
  <c r="P76" i="30"/>
  <c r="P85" i="30" s="1"/>
  <c r="P70" i="58" s="1"/>
  <c r="H19" i="1"/>
  <c r="H20" i="1" s="1"/>
  <c r="H12" i="55" s="1"/>
  <c r="H19" i="30"/>
  <c r="H20" i="30" s="1"/>
  <c r="H12" i="58" s="1"/>
  <c r="H19" i="31"/>
  <c r="H20" i="31" s="1"/>
  <c r="H11" i="59" s="1"/>
  <c r="Q11" i="31"/>
  <c r="Q11" i="1"/>
  <c r="Q11" i="30"/>
  <c r="T183" i="25"/>
  <c r="P43" i="1"/>
  <c r="P52" i="1" s="1"/>
  <c r="P40" i="55" s="1"/>
  <c r="P76" i="1"/>
  <c r="P85" i="1" s="1"/>
  <c r="P70" i="55" s="1"/>
  <c r="H22" i="30" l="1"/>
  <c r="H25" i="30"/>
  <c r="P87" i="30"/>
  <c r="P90" i="30"/>
  <c r="P54" i="30"/>
  <c r="P57" i="30"/>
  <c r="P87" i="31"/>
  <c r="P90" i="31"/>
  <c r="P54" i="31"/>
  <c r="P57" i="31"/>
  <c r="H22" i="31"/>
  <c r="H25" i="31"/>
  <c r="P87" i="1"/>
  <c r="P90" i="1"/>
  <c r="H22" i="1"/>
  <c r="H25" i="1"/>
  <c r="P54" i="1"/>
  <c r="P57" i="1"/>
  <c r="Q43" i="1"/>
  <c r="Q52" i="1" s="1"/>
  <c r="Q40" i="55" s="1"/>
  <c r="Q76" i="1"/>
  <c r="Q85" i="1" s="1"/>
  <c r="Q70" i="55" s="1"/>
  <c r="Q76" i="31"/>
  <c r="Q85" i="31" s="1"/>
  <c r="Q70" i="59" s="1"/>
  <c r="Q43" i="31"/>
  <c r="Q52" i="31" s="1"/>
  <c r="Q40" i="59" s="1"/>
  <c r="L41" i="25"/>
  <c r="L43" i="25" s="1"/>
  <c r="Q76" i="30"/>
  <c r="Q85" i="30" s="1"/>
  <c r="Q70" i="58" s="1"/>
  <c r="Q43" i="30"/>
  <c r="Q52" i="30" s="1"/>
  <c r="Q40" i="58" s="1"/>
  <c r="R11" i="31"/>
  <c r="R11" i="30"/>
  <c r="U183" i="25"/>
  <c r="R11" i="1"/>
  <c r="I19" i="1"/>
  <c r="I20" i="1" s="1"/>
  <c r="I12" i="55" s="1"/>
  <c r="I19" i="30"/>
  <c r="I20" i="30" s="1"/>
  <c r="I12" i="58" s="1"/>
  <c r="I19" i="31"/>
  <c r="I20" i="31" s="1"/>
  <c r="I11" i="59" s="1"/>
  <c r="Q87" i="30" l="1"/>
  <c r="Q90" i="30"/>
  <c r="I22" i="30"/>
  <c r="I25" i="30"/>
  <c r="Q54" i="30"/>
  <c r="Q57" i="30"/>
  <c r="Q87" i="31"/>
  <c r="Q90" i="31"/>
  <c r="Q54" i="31"/>
  <c r="Q57" i="31"/>
  <c r="I22" i="31"/>
  <c r="I25" i="31"/>
  <c r="Q54" i="1"/>
  <c r="Q57" i="1"/>
  <c r="I22" i="1"/>
  <c r="I25" i="1"/>
  <c r="Q87" i="1"/>
  <c r="Q90" i="1"/>
  <c r="R43" i="1"/>
  <c r="R52" i="1" s="1"/>
  <c r="R40" i="55" s="1"/>
  <c r="R76" i="1"/>
  <c r="R85" i="1" s="1"/>
  <c r="R70" i="55" s="1"/>
  <c r="S11" i="31"/>
  <c r="S11" i="1"/>
  <c r="S11" i="30"/>
  <c r="V183" i="25"/>
  <c r="R43" i="30"/>
  <c r="R52" i="30" s="1"/>
  <c r="R40" i="58" s="1"/>
  <c r="R76" i="30"/>
  <c r="R85" i="30" s="1"/>
  <c r="R70" i="58" s="1"/>
  <c r="J19" i="1"/>
  <c r="J20" i="1" s="1"/>
  <c r="J12" i="55" s="1"/>
  <c r="J19" i="31"/>
  <c r="J20" i="31" s="1"/>
  <c r="J11" i="59" s="1"/>
  <c r="J19" i="30"/>
  <c r="J20" i="30" s="1"/>
  <c r="J12" i="58" s="1"/>
  <c r="R43" i="31"/>
  <c r="R52" i="31" s="1"/>
  <c r="R40" i="59" s="1"/>
  <c r="R76" i="31"/>
  <c r="R85" i="31" s="1"/>
  <c r="R70" i="59" s="1"/>
  <c r="L44" i="25"/>
  <c r="M39" i="25" s="1"/>
  <c r="R87" i="30" l="1"/>
  <c r="R90" i="30"/>
  <c r="J22" i="30"/>
  <c r="J25" i="30"/>
  <c r="R54" i="30"/>
  <c r="R57" i="30"/>
  <c r="R87" i="31"/>
  <c r="R90" i="31"/>
  <c r="R54" i="31"/>
  <c r="R57" i="31"/>
  <c r="J22" i="31"/>
  <c r="J25" i="31"/>
  <c r="J22" i="1"/>
  <c r="J25" i="1"/>
  <c r="R54" i="1"/>
  <c r="R57" i="1"/>
  <c r="R87" i="1"/>
  <c r="R90" i="1"/>
  <c r="S76" i="31"/>
  <c r="S85" i="31" s="1"/>
  <c r="S70" i="59" s="1"/>
  <c r="S43" i="31"/>
  <c r="S52" i="31" s="1"/>
  <c r="S40" i="59" s="1"/>
  <c r="T11" i="1"/>
  <c r="T11" i="31"/>
  <c r="T11" i="30"/>
  <c r="W183" i="25"/>
  <c r="S43" i="30"/>
  <c r="S52" i="30" s="1"/>
  <c r="S40" i="58" s="1"/>
  <c r="S76" i="30"/>
  <c r="S85" i="30" s="1"/>
  <c r="S70" i="58" s="1"/>
  <c r="M41" i="25"/>
  <c r="M43" i="25" s="1"/>
  <c r="M44" i="25" s="1"/>
  <c r="N39" i="25" s="1"/>
  <c r="S43" i="1"/>
  <c r="S52" i="1" s="1"/>
  <c r="S40" i="55" s="1"/>
  <c r="S76" i="1"/>
  <c r="S85" i="1" s="1"/>
  <c r="S70" i="55" s="1"/>
  <c r="S87" i="30" l="1"/>
  <c r="S90" i="30"/>
  <c r="S54" i="30"/>
  <c r="S57" i="30"/>
  <c r="S87" i="31"/>
  <c r="S90" i="31"/>
  <c r="S54" i="31"/>
  <c r="S57" i="31"/>
  <c r="S87" i="1"/>
  <c r="S90" i="1"/>
  <c r="S54" i="1"/>
  <c r="S57" i="1"/>
  <c r="N41" i="25"/>
  <c r="N43" i="25" s="1"/>
  <c r="N44" i="25" s="1"/>
  <c r="O39" i="25" s="1"/>
  <c r="T76" i="1"/>
  <c r="T85" i="1" s="1"/>
  <c r="T70" i="55" s="1"/>
  <c r="T43" i="1"/>
  <c r="T52" i="1" s="1"/>
  <c r="T40" i="55" s="1"/>
  <c r="T76" i="31"/>
  <c r="T85" i="31" s="1"/>
  <c r="T70" i="59" s="1"/>
  <c r="T43" i="31"/>
  <c r="T52" i="31" s="1"/>
  <c r="T40" i="59" s="1"/>
  <c r="K19" i="31"/>
  <c r="K20" i="31" s="1"/>
  <c r="K11" i="59" s="1"/>
  <c r="K19" i="1"/>
  <c r="K20" i="1" s="1"/>
  <c r="K12" i="55" s="1"/>
  <c r="K19" i="30"/>
  <c r="K20" i="30" s="1"/>
  <c r="K12" i="58" s="1"/>
  <c r="U11" i="31"/>
  <c r="U11" i="1"/>
  <c r="U11" i="30"/>
  <c r="X183" i="25"/>
  <c r="T76" i="30"/>
  <c r="T85" i="30" s="1"/>
  <c r="T70" i="58" s="1"/>
  <c r="T43" i="30"/>
  <c r="T52" i="30" s="1"/>
  <c r="T40" i="58" s="1"/>
  <c r="T54" i="30" l="1"/>
  <c r="T57" i="30"/>
  <c r="K22" i="30"/>
  <c r="K25" i="30"/>
  <c r="T87" i="30"/>
  <c r="T90" i="30"/>
  <c r="T87" i="31"/>
  <c r="T90" i="31"/>
  <c r="T54" i="31"/>
  <c r="T57" i="31"/>
  <c r="K22" i="31"/>
  <c r="K25" i="31"/>
  <c r="T87" i="1"/>
  <c r="T90" i="1"/>
  <c r="K22" i="1"/>
  <c r="K25" i="1"/>
  <c r="T54" i="1"/>
  <c r="T57" i="1"/>
  <c r="U43" i="30"/>
  <c r="U52" i="30" s="1"/>
  <c r="U40" i="58" s="1"/>
  <c r="U76" i="30"/>
  <c r="U85" i="30" s="1"/>
  <c r="U70" i="58" s="1"/>
  <c r="U76" i="1"/>
  <c r="U85" i="1" s="1"/>
  <c r="U70" i="55" s="1"/>
  <c r="U43" i="1"/>
  <c r="U52" i="1" s="1"/>
  <c r="U40" i="55" s="1"/>
  <c r="U43" i="31"/>
  <c r="U52" i="31" s="1"/>
  <c r="U40" i="59" s="1"/>
  <c r="U76" i="31"/>
  <c r="U85" i="31" s="1"/>
  <c r="U70" i="59" s="1"/>
  <c r="O41" i="25"/>
  <c r="O43" i="25" s="1"/>
  <c r="O44" i="25" s="1"/>
  <c r="P39" i="25" s="1"/>
  <c r="V11" i="31"/>
  <c r="V11" i="30"/>
  <c r="Y183" i="25"/>
  <c r="V11" i="1"/>
  <c r="L19" i="1"/>
  <c r="L20" i="1" s="1"/>
  <c r="L12" i="55" s="1"/>
  <c r="L19" i="30"/>
  <c r="L20" i="30" s="1"/>
  <c r="L12" i="58" s="1"/>
  <c r="L19" i="31"/>
  <c r="L20" i="31" s="1"/>
  <c r="L11" i="59" s="1"/>
  <c r="L22" i="30" l="1"/>
  <c r="L25" i="30"/>
  <c r="U87" i="30"/>
  <c r="U90" i="30"/>
  <c r="U54" i="30"/>
  <c r="U57" i="30"/>
  <c r="U87" i="31"/>
  <c r="U90" i="31"/>
  <c r="U54" i="31"/>
  <c r="U57" i="31"/>
  <c r="L22" i="31"/>
  <c r="L25" i="31"/>
  <c r="U87" i="1"/>
  <c r="U90" i="1"/>
  <c r="L22" i="1"/>
  <c r="L25" i="1"/>
  <c r="U54" i="1"/>
  <c r="U57" i="1"/>
  <c r="P41" i="25"/>
  <c r="P43" i="25" s="1"/>
  <c r="P44" i="25" s="1"/>
  <c r="Q39" i="25" s="1"/>
  <c r="V43" i="30"/>
  <c r="V52" i="30" s="1"/>
  <c r="V40" i="58" s="1"/>
  <c r="V76" i="30"/>
  <c r="V85" i="30" s="1"/>
  <c r="V70" i="58" s="1"/>
  <c r="V76" i="31"/>
  <c r="V85" i="31" s="1"/>
  <c r="V70" i="59" s="1"/>
  <c r="V43" i="31"/>
  <c r="V52" i="31" s="1"/>
  <c r="V40" i="59" s="1"/>
  <c r="V43" i="1"/>
  <c r="V52" i="1" s="1"/>
  <c r="V40" i="55" s="1"/>
  <c r="V76" i="1"/>
  <c r="V85" i="1" s="1"/>
  <c r="V70" i="55" s="1"/>
  <c r="M19" i="31"/>
  <c r="M20" i="31" s="1"/>
  <c r="M11" i="59" s="1"/>
  <c r="M19" i="30"/>
  <c r="M20" i="30" s="1"/>
  <c r="M12" i="58" s="1"/>
  <c r="M19" i="1"/>
  <c r="M20" i="1" s="1"/>
  <c r="M12" i="55" s="1"/>
  <c r="W11" i="31"/>
  <c r="W11" i="30"/>
  <c r="W11" i="1"/>
  <c r="Z183" i="25"/>
  <c r="M22" i="30" l="1"/>
  <c r="M25" i="30"/>
  <c r="V87" i="30"/>
  <c r="V90" i="30"/>
  <c r="V54" i="30"/>
  <c r="V57" i="30"/>
  <c r="V87" i="31"/>
  <c r="V90" i="31"/>
  <c r="V54" i="31"/>
  <c r="V57" i="31"/>
  <c r="M22" i="31"/>
  <c r="M25" i="31"/>
  <c r="V87" i="1"/>
  <c r="V90" i="1"/>
  <c r="M22" i="1"/>
  <c r="M25" i="1"/>
  <c r="V54" i="1"/>
  <c r="V57" i="1"/>
  <c r="Q41" i="25"/>
  <c r="Q43" i="25" s="1"/>
  <c r="Q44" i="25" s="1"/>
  <c r="R39" i="25" s="1"/>
  <c r="W43" i="30"/>
  <c r="W52" i="30" s="1"/>
  <c r="W40" i="58" s="1"/>
  <c r="W76" i="30"/>
  <c r="W85" i="30" s="1"/>
  <c r="W70" i="58" s="1"/>
  <c r="W76" i="31"/>
  <c r="W85" i="31" s="1"/>
  <c r="W70" i="59" s="1"/>
  <c r="W43" i="31"/>
  <c r="W52" i="31" s="1"/>
  <c r="W40" i="59" s="1"/>
  <c r="X11" i="30"/>
  <c r="X11" i="31"/>
  <c r="X11" i="1"/>
  <c r="AA183" i="25"/>
  <c r="W43" i="1"/>
  <c r="W52" i="1" s="1"/>
  <c r="W40" i="55" s="1"/>
  <c r="W76" i="1"/>
  <c r="W85" i="1" s="1"/>
  <c r="W70" i="55" s="1"/>
  <c r="N19" i="1"/>
  <c r="N20" i="1" s="1"/>
  <c r="N12" i="55" s="1"/>
  <c r="N19" i="31"/>
  <c r="N20" i="31" s="1"/>
  <c r="N11" i="59" s="1"/>
  <c r="N19" i="30"/>
  <c r="N20" i="30" s="1"/>
  <c r="N12" i="58" s="1"/>
  <c r="W87" i="30" l="1"/>
  <c r="W90" i="30"/>
  <c r="N22" i="30"/>
  <c r="N25" i="30"/>
  <c r="W54" i="30"/>
  <c r="W57" i="30"/>
  <c r="W87" i="31"/>
  <c r="W90" i="31"/>
  <c r="W54" i="31"/>
  <c r="W57" i="31"/>
  <c r="N22" i="31"/>
  <c r="N25" i="31"/>
  <c r="N22" i="1"/>
  <c r="N25" i="1"/>
  <c r="W87" i="1"/>
  <c r="W90" i="1"/>
  <c r="W54" i="1"/>
  <c r="W57" i="1"/>
  <c r="X43" i="30"/>
  <c r="X52" i="30" s="1"/>
  <c r="X40" i="58" s="1"/>
  <c r="X76" i="30"/>
  <c r="X85" i="30" s="1"/>
  <c r="X70" i="58" s="1"/>
  <c r="Y11" i="1"/>
  <c r="Y11" i="30"/>
  <c r="AB183" i="25"/>
  <c r="Y11" i="31"/>
  <c r="R41" i="25"/>
  <c r="R43" i="25" s="1"/>
  <c r="R44" i="25" s="1"/>
  <c r="S39" i="25" s="1"/>
  <c r="X76" i="1"/>
  <c r="X85" i="1" s="1"/>
  <c r="X70" i="55" s="1"/>
  <c r="X43" i="1"/>
  <c r="X52" i="1" s="1"/>
  <c r="X40" i="55" s="1"/>
  <c r="O19" i="31"/>
  <c r="O20" i="31" s="1"/>
  <c r="O11" i="59" s="1"/>
  <c r="O19" i="1"/>
  <c r="O20" i="1" s="1"/>
  <c r="O12" i="55" s="1"/>
  <c r="O19" i="30"/>
  <c r="O20" i="30" s="1"/>
  <c r="O12" i="58" s="1"/>
  <c r="X76" i="31"/>
  <c r="X85" i="31" s="1"/>
  <c r="X70" i="59" s="1"/>
  <c r="X43" i="31"/>
  <c r="X52" i="31" s="1"/>
  <c r="X40" i="59" s="1"/>
  <c r="O22" i="30" l="1"/>
  <c r="O25" i="30"/>
  <c r="X54" i="30"/>
  <c r="X57" i="30"/>
  <c r="X87" i="30"/>
  <c r="X90" i="30"/>
  <c r="X87" i="31"/>
  <c r="X90" i="31"/>
  <c r="X54" i="31"/>
  <c r="X57" i="31"/>
  <c r="O22" i="31"/>
  <c r="O25" i="31"/>
  <c r="X87" i="1"/>
  <c r="X90" i="1"/>
  <c r="O22" i="1"/>
  <c r="O25" i="1"/>
  <c r="X54" i="1"/>
  <c r="X57" i="1"/>
  <c r="P19" i="1"/>
  <c r="P20" i="1" s="1"/>
  <c r="P12" i="55" s="1"/>
  <c r="P19" i="31"/>
  <c r="P20" i="31" s="1"/>
  <c r="P11" i="59" s="1"/>
  <c r="P19" i="30"/>
  <c r="P20" i="30" s="1"/>
  <c r="P12" i="58" s="1"/>
  <c r="Y76" i="30"/>
  <c r="Y85" i="30" s="1"/>
  <c r="Y70" i="58" s="1"/>
  <c r="Y43" i="30"/>
  <c r="Y52" i="30" s="1"/>
  <c r="Y40" i="58" s="1"/>
  <c r="Y76" i="1"/>
  <c r="Y85" i="1" s="1"/>
  <c r="Y70" i="55" s="1"/>
  <c r="Y43" i="1"/>
  <c r="Y52" i="1" s="1"/>
  <c r="Y40" i="55" s="1"/>
  <c r="Y43" i="31"/>
  <c r="Y52" i="31" s="1"/>
  <c r="Y40" i="59" s="1"/>
  <c r="Y76" i="31"/>
  <c r="Y85" i="31" s="1"/>
  <c r="Y70" i="59" s="1"/>
  <c r="S41" i="25"/>
  <c r="S43" i="25" s="1"/>
  <c r="S44" i="25" s="1"/>
  <c r="T39" i="25" s="1"/>
  <c r="Z11" i="30"/>
  <c r="Z11" i="1"/>
  <c r="Z11" i="31"/>
  <c r="Y54" i="30" l="1"/>
  <c r="Y57" i="30"/>
  <c r="Y87" i="30"/>
  <c r="Y90" i="30"/>
  <c r="P22" i="30"/>
  <c r="P25" i="30"/>
  <c r="Y87" i="31"/>
  <c r="Y90" i="31"/>
  <c r="Y54" i="31"/>
  <c r="Y57" i="31"/>
  <c r="P22" i="31"/>
  <c r="P25" i="31"/>
  <c r="Y54" i="1"/>
  <c r="Y57" i="1"/>
  <c r="Y87" i="1"/>
  <c r="Y90" i="1"/>
  <c r="P22" i="1"/>
  <c r="P25" i="1"/>
  <c r="T41" i="25"/>
  <c r="T43" i="25" s="1"/>
  <c r="T44" i="25" s="1"/>
  <c r="U39" i="25" s="1"/>
  <c r="Z76" i="31"/>
  <c r="Z85" i="31" s="1"/>
  <c r="Z70" i="59" s="1"/>
  <c r="Z43" i="31"/>
  <c r="Z52" i="31" s="1"/>
  <c r="Z40" i="59" s="1"/>
  <c r="Z76" i="1"/>
  <c r="Z85" i="1" s="1"/>
  <c r="Z70" i="55" s="1"/>
  <c r="Z43" i="1"/>
  <c r="Z52" i="1" s="1"/>
  <c r="Z40" i="55" s="1"/>
  <c r="Z43" i="30"/>
  <c r="Z52" i="30" s="1"/>
  <c r="Z40" i="58" s="1"/>
  <c r="Z76" i="30"/>
  <c r="Z85" i="30" s="1"/>
  <c r="Z70" i="58" s="1"/>
  <c r="Q19" i="31"/>
  <c r="Q20" i="31" s="1"/>
  <c r="Q11" i="59" s="1"/>
  <c r="Q19" i="1"/>
  <c r="Q20" i="1" s="1"/>
  <c r="Q12" i="55" s="1"/>
  <c r="Q19" i="30"/>
  <c r="Q20" i="30" s="1"/>
  <c r="Q12" i="58" s="1"/>
  <c r="Z87" i="30" l="1"/>
  <c r="B92" i="30" s="1"/>
  <c r="Z90" i="30"/>
  <c r="AA90" i="30" s="1"/>
  <c r="Q22" i="30"/>
  <c r="Q25" i="30"/>
  <c r="Z54" i="30"/>
  <c r="B59" i="30" s="1"/>
  <c r="Z57" i="30"/>
  <c r="AA57" i="30" s="1"/>
  <c r="Z87" i="31"/>
  <c r="B92" i="31" s="1"/>
  <c r="Z90" i="31"/>
  <c r="AA90" i="31" s="1"/>
  <c r="Z54" i="31"/>
  <c r="B59" i="31" s="1"/>
  <c r="Z57" i="31"/>
  <c r="AA57" i="31" s="1"/>
  <c r="Q22" i="31"/>
  <c r="Q25" i="31"/>
  <c r="Z87" i="1"/>
  <c r="B94" i="1" s="1"/>
  <c r="Z90" i="1"/>
  <c r="AA90" i="1" s="1"/>
  <c r="Q22" i="1"/>
  <c r="Q25" i="1"/>
  <c r="Z54" i="1"/>
  <c r="B61" i="1" s="1"/>
  <c r="Z57" i="1"/>
  <c r="AA57" i="1" s="1"/>
  <c r="R19" i="1"/>
  <c r="R20" i="1" s="1"/>
  <c r="R12" i="55" s="1"/>
  <c r="R19" i="30"/>
  <c r="R20" i="30" s="1"/>
  <c r="R12" i="58" s="1"/>
  <c r="R19" i="31"/>
  <c r="R20" i="31" s="1"/>
  <c r="R11" i="59" s="1"/>
  <c r="U41" i="25"/>
  <c r="U43" i="25" s="1"/>
  <c r="U44" i="25" s="1"/>
  <c r="V39" i="25" s="1"/>
  <c r="B94" i="30" l="1"/>
  <c r="B61" i="31"/>
  <c r="B61" i="30"/>
  <c r="B92" i="1"/>
  <c r="B59" i="1"/>
  <c r="B94" i="31"/>
  <c r="R22" i="30"/>
  <c r="R25" i="30"/>
  <c r="R22" i="31"/>
  <c r="R25" i="31"/>
  <c r="R22" i="1"/>
  <c r="R25" i="1"/>
  <c r="V41" i="25"/>
  <c r="V43" i="25" s="1"/>
  <c r="V44" i="25" s="1"/>
  <c r="W39" i="25" s="1"/>
  <c r="S19" i="31"/>
  <c r="S20" i="31" s="1"/>
  <c r="S11" i="59" s="1"/>
  <c r="S19" i="30"/>
  <c r="S20" i="30" s="1"/>
  <c r="S12" i="58" s="1"/>
  <c r="S19" i="1"/>
  <c r="S20" i="1" s="1"/>
  <c r="S12" i="55" s="1"/>
  <c r="S22" i="30" l="1"/>
  <c r="S25" i="30"/>
  <c r="S22" i="31"/>
  <c r="S25" i="31"/>
  <c r="S22" i="1"/>
  <c r="S25" i="1"/>
  <c r="W41" i="25"/>
  <c r="W43" i="25" s="1"/>
  <c r="T19" i="31"/>
  <c r="T20" i="31" s="1"/>
  <c r="T11" i="59" s="1"/>
  <c r="T19" i="1"/>
  <c r="T20" i="1" s="1"/>
  <c r="T12" i="55" s="1"/>
  <c r="T19" i="30"/>
  <c r="T20" i="30" s="1"/>
  <c r="T12" i="58" s="1"/>
  <c r="T22" i="30" l="1"/>
  <c r="T25" i="30"/>
  <c r="T22" i="31"/>
  <c r="T25" i="31"/>
  <c r="T22" i="1"/>
  <c r="T25" i="1"/>
  <c r="U19" i="31"/>
  <c r="U20" i="31" s="1"/>
  <c r="U11" i="59" s="1"/>
  <c r="U19" i="30"/>
  <c r="U20" i="30" s="1"/>
  <c r="U12" i="58" s="1"/>
  <c r="U19" i="1"/>
  <c r="U20" i="1" s="1"/>
  <c r="U12" i="55" s="1"/>
  <c r="W44" i="25"/>
  <c r="X39" i="25" s="1"/>
  <c r="U22" i="30" l="1"/>
  <c r="U25" i="30"/>
  <c r="U22" i="31"/>
  <c r="U25" i="31"/>
  <c r="U22" i="1"/>
  <c r="U25" i="1"/>
  <c r="X41" i="25"/>
  <c r="X43" i="25" s="1"/>
  <c r="X44" i="25" s="1"/>
  <c r="Y39" i="25" s="1"/>
  <c r="Y41" i="25" l="1"/>
  <c r="Y43" i="25" s="1"/>
  <c r="Y44" i="25" s="1"/>
  <c r="Z39" i="25" s="1"/>
  <c r="V19" i="31"/>
  <c r="V20" i="31" s="1"/>
  <c r="V11" i="59" s="1"/>
  <c r="V19" i="1"/>
  <c r="V20" i="1" s="1"/>
  <c r="V12" i="55" s="1"/>
  <c r="V19" i="30"/>
  <c r="V20" i="30" s="1"/>
  <c r="V12" i="58" s="1"/>
  <c r="V22" i="30" l="1"/>
  <c r="V25" i="30"/>
  <c r="V22" i="31"/>
  <c r="V25" i="31"/>
  <c r="V22" i="1"/>
  <c r="V25" i="1"/>
  <c r="Z41" i="25"/>
  <c r="Z43" i="25" s="1"/>
  <c r="Z44" i="25" s="1"/>
  <c r="AA39" i="25" s="1"/>
  <c r="W19" i="1"/>
  <c r="W20" i="1" s="1"/>
  <c r="W12" i="55" s="1"/>
  <c r="W19" i="31"/>
  <c r="W20" i="31" s="1"/>
  <c r="W11" i="59" s="1"/>
  <c r="W19" i="30"/>
  <c r="W20" i="30" s="1"/>
  <c r="W12" i="58" s="1"/>
  <c r="W22" i="30" l="1"/>
  <c r="W25" i="30"/>
  <c r="W22" i="31"/>
  <c r="W25" i="31"/>
  <c r="W22" i="1"/>
  <c r="W25" i="1"/>
  <c r="AA41" i="25"/>
  <c r="AA43" i="25" s="1"/>
  <c r="AA44" i="25" s="1"/>
  <c r="AB39" i="25" s="1"/>
  <c r="X19" i="30"/>
  <c r="X20" i="30" s="1"/>
  <c r="X12" i="58" s="1"/>
  <c r="X19" i="1"/>
  <c r="X20" i="1" s="1"/>
  <c r="X12" i="55" s="1"/>
  <c r="X19" i="31"/>
  <c r="X20" i="31" s="1"/>
  <c r="X11" i="59" s="1"/>
  <c r="X22" i="30" l="1"/>
  <c r="X25" i="30"/>
  <c r="X22" i="31"/>
  <c r="X25" i="31"/>
  <c r="X22" i="1"/>
  <c r="X25" i="1"/>
  <c r="AB41" i="25"/>
  <c r="Y19" i="1"/>
  <c r="Y20" i="1" s="1"/>
  <c r="Y12" i="55" s="1"/>
  <c r="Y19" i="31"/>
  <c r="Y20" i="31" s="1"/>
  <c r="Y11" i="59" s="1"/>
  <c r="Y19" i="30"/>
  <c r="Y20" i="30" s="1"/>
  <c r="Y12" i="58" s="1"/>
  <c r="Y22" i="30" l="1"/>
  <c r="Y25" i="30"/>
  <c r="Y22" i="31"/>
  <c r="Y25" i="31"/>
  <c r="Y22" i="1"/>
  <c r="Y25" i="1"/>
  <c r="AB43" i="25"/>
  <c r="AC41" i="25"/>
  <c r="Z19" i="1" l="1"/>
  <c r="Z20" i="1" s="1"/>
  <c r="Z12" i="55" s="1"/>
  <c r="Z19" i="31"/>
  <c r="Z20" i="31" s="1"/>
  <c r="Z11" i="59" s="1"/>
  <c r="Z19" i="30"/>
  <c r="Z20" i="30" s="1"/>
  <c r="Z12" i="58" s="1"/>
  <c r="AC43" i="25"/>
  <c r="AB44" i="25"/>
  <c r="Z22" i="30" l="1"/>
  <c r="B29" i="30" s="1"/>
  <c r="Z25" i="30"/>
  <c r="AA25" i="30" s="1"/>
  <c r="Z22" i="31"/>
  <c r="B27" i="31" s="1"/>
  <c r="Z25" i="31"/>
  <c r="AA25" i="31" s="1"/>
  <c r="Z22" i="1"/>
  <c r="B29" i="1" s="1"/>
  <c r="Z25" i="1"/>
  <c r="AA25" i="1" s="1"/>
  <c r="B29" i="31"/>
  <c r="B27" i="30" l="1"/>
  <c r="B27" i="1"/>
  <c r="C6" i="45"/>
  <c r="C136" i="32" l="1"/>
  <c r="C168" i="32" s="1"/>
  <c r="C126" i="32" l="1"/>
  <c r="C158" i="32" s="1"/>
  <c r="D158" i="32" s="1"/>
  <c r="D186" i="32" s="1"/>
  <c r="B11" i="33" l="1"/>
  <c r="B11" i="34"/>
  <c r="B11" i="35"/>
  <c r="E186" i="32"/>
  <c r="B16" i="35" l="1"/>
  <c r="B12" i="59" s="1"/>
  <c r="B68" i="35"/>
  <c r="B73" i="35" s="1"/>
  <c r="B71" i="59" s="1"/>
  <c r="B39" i="35"/>
  <c r="B44" i="35" s="1"/>
  <c r="B41" i="59" s="1"/>
  <c r="B40" i="34"/>
  <c r="B45" i="34" s="1"/>
  <c r="B41" i="58" s="1"/>
  <c r="B16" i="34"/>
  <c r="B13" i="58" s="1"/>
  <c r="B69" i="34"/>
  <c r="B74" i="34" s="1"/>
  <c r="B71" i="58" s="1"/>
  <c r="C11" i="33"/>
  <c r="C11" i="35"/>
  <c r="C11" i="34"/>
  <c r="F186" i="32"/>
  <c r="B68" i="33"/>
  <c r="B73" i="33" s="1"/>
  <c r="B71" i="55" s="1"/>
  <c r="B16" i="33"/>
  <c r="B13" i="55" s="1"/>
  <c r="B39" i="33"/>
  <c r="B44" i="33" s="1"/>
  <c r="B41" i="55" s="1"/>
  <c r="B21" i="33" l="1"/>
  <c r="B18" i="33"/>
  <c r="B75" i="33"/>
  <c r="B78" i="33"/>
  <c r="C16" i="33"/>
  <c r="C13" i="55" s="1"/>
  <c r="C39" i="33"/>
  <c r="C44" i="33" s="1"/>
  <c r="C41" i="55" s="1"/>
  <c r="C68" i="33"/>
  <c r="C73" i="33" s="1"/>
  <c r="C71" i="55" s="1"/>
  <c r="B49" i="35"/>
  <c r="B46" i="35"/>
  <c r="C68" i="35"/>
  <c r="C73" i="35" s="1"/>
  <c r="C71" i="59" s="1"/>
  <c r="C16" i="35"/>
  <c r="C12" i="59" s="1"/>
  <c r="C39" i="35"/>
  <c r="C44" i="35" s="1"/>
  <c r="C41" i="59" s="1"/>
  <c r="B76" i="34"/>
  <c r="B79" i="34"/>
  <c r="B75" i="35"/>
  <c r="B78" i="35"/>
  <c r="B50" i="34"/>
  <c r="B47" i="34"/>
  <c r="D11" i="34"/>
  <c r="D11" i="35"/>
  <c r="G186" i="32"/>
  <c r="D11" i="33"/>
  <c r="B49" i="33"/>
  <c r="B46" i="33"/>
  <c r="C69" i="34"/>
  <c r="C74" i="34" s="1"/>
  <c r="C71" i="58" s="1"/>
  <c r="C40" i="34"/>
  <c r="C45" i="34" s="1"/>
  <c r="C41" i="58" s="1"/>
  <c r="C16" i="34"/>
  <c r="C13" i="58" s="1"/>
  <c r="B18" i="34"/>
  <c r="B21" i="34"/>
  <c r="B21" i="35"/>
  <c r="B18" i="35"/>
  <c r="C18" i="34" l="1"/>
  <c r="C21" i="34"/>
  <c r="D40" i="34"/>
  <c r="D45" i="34" s="1"/>
  <c r="D41" i="58" s="1"/>
  <c r="D16" i="34"/>
  <c r="D13" i="58" s="1"/>
  <c r="D69" i="34"/>
  <c r="D74" i="34" s="1"/>
  <c r="D71" i="58" s="1"/>
  <c r="C18" i="35"/>
  <c r="C21" i="35"/>
  <c r="C75" i="33"/>
  <c r="C78" i="33"/>
  <c r="D68" i="35"/>
  <c r="D73" i="35" s="1"/>
  <c r="D71" i="59" s="1"/>
  <c r="D39" i="35"/>
  <c r="D44" i="35" s="1"/>
  <c r="D41" i="59" s="1"/>
  <c r="D16" i="35"/>
  <c r="D12" i="59" s="1"/>
  <c r="C46" i="35"/>
  <c r="C49" i="35"/>
  <c r="C47" i="34"/>
  <c r="C50" i="34"/>
  <c r="C75" i="35"/>
  <c r="C78" i="35"/>
  <c r="C49" i="33"/>
  <c r="C46" i="33"/>
  <c r="D39" i="33"/>
  <c r="D44" i="33" s="1"/>
  <c r="D41" i="55" s="1"/>
  <c r="D68" i="33"/>
  <c r="D73" i="33" s="1"/>
  <c r="D71" i="55" s="1"/>
  <c r="D16" i="33"/>
  <c r="D13" i="55" s="1"/>
  <c r="C79" i="34"/>
  <c r="C76" i="34"/>
  <c r="E11" i="35"/>
  <c r="E11" i="33"/>
  <c r="E11" i="34"/>
  <c r="H186" i="32"/>
  <c r="C18" i="33"/>
  <c r="C21" i="33"/>
  <c r="E39" i="33" l="1"/>
  <c r="E44" i="33" s="1"/>
  <c r="E41" i="55" s="1"/>
  <c r="E16" i="33"/>
  <c r="E13" i="55" s="1"/>
  <c r="E68" i="33"/>
  <c r="E73" i="33" s="1"/>
  <c r="E71" i="55" s="1"/>
  <c r="D21" i="35"/>
  <c r="D18" i="35"/>
  <c r="D79" i="34"/>
  <c r="D76" i="34"/>
  <c r="D78" i="35"/>
  <c r="D75" i="35"/>
  <c r="D21" i="34"/>
  <c r="D18" i="34"/>
  <c r="E39" i="35"/>
  <c r="E44" i="35" s="1"/>
  <c r="E41" i="59" s="1"/>
  <c r="E68" i="35"/>
  <c r="E73" i="35" s="1"/>
  <c r="E71" i="59" s="1"/>
  <c r="E16" i="35"/>
  <c r="E12" i="59" s="1"/>
  <c r="D18" i="33"/>
  <c r="D21" i="33"/>
  <c r="D49" i="35"/>
  <c r="D46" i="35"/>
  <c r="F11" i="34"/>
  <c r="F11" i="35"/>
  <c r="F11" i="33"/>
  <c r="I186" i="32"/>
  <c r="D75" i="33"/>
  <c r="D78" i="33"/>
  <c r="E40" i="34"/>
  <c r="E45" i="34" s="1"/>
  <c r="E41" i="58" s="1"/>
  <c r="E16" i="34"/>
  <c r="E13" i="58" s="1"/>
  <c r="E69" i="34"/>
  <c r="E74" i="34" s="1"/>
  <c r="E71" i="58" s="1"/>
  <c r="D46" i="33"/>
  <c r="D49" i="33"/>
  <c r="D50" i="34"/>
  <c r="D47" i="34"/>
  <c r="F68" i="33" l="1"/>
  <c r="F73" i="33" s="1"/>
  <c r="F71" i="55" s="1"/>
  <c r="F16" i="33"/>
  <c r="F13" i="55" s="1"/>
  <c r="F39" i="33"/>
  <c r="F44" i="33" s="1"/>
  <c r="F41" i="55" s="1"/>
  <c r="E49" i="35"/>
  <c r="E46" i="35"/>
  <c r="E18" i="33"/>
  <c r="E21" i="33"/>
  <c r="E18" i="34"/>
  <c r="E21" i="34"/>
  <c r="E79" i="34"/>
  <c r="E76" i="34"/>
  <c r="F16" i="35"/>
  <c r="F12" i="59" s="1"/>
  <c r="F68" i="35"/>
  <c r="F73" i="35" s="1"/>
  <c r="F71" i="59" s="1"/>
  <c r="F39" i="35"/>
  <c r="F44" i="35" s="1"/>
  <c r="F41" i="59" s="1"/>
  <c r="E46" i="33"/>
  <c r="E49" i="33"/>
  <c r="F16" i="34"/>
  <c r="F13" i="58" s="1"/>
  <c r="F69" i="34"/>
  <c r="F74" i="34" s="1"/>
  <c r="F71" i="58" s="1"/>
  <c r="F40" i="34"/>
  <c r="F45" i="34" s="1"/>
  <c r="F41" i="58" s="1"/>
  <c r="E18" i="35"/>
  <c r="E21" i="35"/>
  <c r="E47" i="34"/>
  <c r="E50" i="34"/>
  <c r="G11" i="34"/>
  <c r="G11" i="33"/>
  <c r="G11" i="35"/>
  <c r="J186" i="32"/>
  <c r="E78" i="35"/>
  <c r="E75" i="35"/>
  <c r="E78" i="33"/>
  <c r="E75" i="33"/>
  <c r="G68" i="33" l="1"/>
  <c r="G73" i="33" s="1"/>
  <c r="G71" i="55" s="1"/>
  <c r="G16" i="33"/>
  <c r="G13" i="55" s="1"/>
  <c r="G39" i="33"/>
  <c r="G44" i="33" s="1"/>
  <c r="G41" i="55" s="1"/>
  <c r="F50" i="34"/>
  <c r="F47" i="34"/>
  <c r="F21" i="35"/>
  <c r="F18" i="35"/>
  <c r="F75" i="33"/>
  <c r="F78" i="33"/>
  <c r="G39" i="35"/>
  <c r="G44" i="35" s="1"/>
  <c r="G41" i="59" s="1"/>
  <c r="G16" i="35"/>
  <c r="G12" i="59" s="1"/>
  <c r="G68" i="35"/>
  <c r="G73" i="35" s="1"/>
  <c r="G71" i="59" s="1"/>
  <c r="G16" i="34"/>
  <c r="G13" i="58" s="1"/>
  <c r="G40" i="34"/>
  <c r="G45" i="34" s="1"/>
  <c r="G41" i="58" s="1"/>
  <c r="G69" i="34"/>
  <c r="G74" i="34" s="1"/>
  <c r="G71" i="58" s="1"/>
  <c r="F79" i="34"/>
  <c r="F76" i="34"/>
  <c r="F75" i="35"/>
  <c r="F78" i="35"/>
  <c r="F18" i="33"/>
  <c r="F21" i="33"/>
  <c r="K186" i="32"/>
  <c r="H11" i="34"/>
  <c r="H11" i="33"/>
  <c r="H11" i="35"/>
  <c r="F21" i="34"/>
  <c r="F18" i="34"/>
  <c r="F49" i="35"/>
  <c r="F46" i="35"/>
  <c r="F49" i="33"/>
  <c r="F46" i="33"/>
  <c r="I11" i="35" l="1"/>
  <c r="I11" i="34"/>
  <c r="L186" i="32"/>
  <c r="I11" i="33"/>
  <c r="G47" i="34"/>
  <c r="G50" i="34"/>
  <c r="G49" i="35"/>
  <c r="G46" i="35"/>
  <c r="G18" i="33"/>
  <c r="G21" i="33"/>
  <c r="G75" i="33"/>
  <c r="G78" i="33"/>
  <c r="H39" i="35"/>
  <c r="H44" i="35" s="1"/>
  <c r="H41" i="59" s="1"/>
  <c r="H68" i="35"/>
  <c r="H73" i="35" s="1"/>
  <c r="H71" i="59" s="1"/>
  <c r="H16" i="35"/>
  <c r="H12" i="59" s="1"/>
  <c r="G21" i="34"/>
  <c r="G18" i="34"/>
  <c r="H16" i="33"/>
  <c r="H13" i="55" s="1"/>
  <c r="H39" i="33"/>
  <c r="H44" i="33" s="1"/>
  <c r="H41" i="55" s="1"/>
  <c r="H68" i="33"/>
  <c r="H73" i="33" s="1"/>
  <c r="H71" i="55" s="1"/>
  <c r="G78" i="35"/>
  <c r="G75" i="35"/>
  <c r="H69" i="34"/>
  <c r="H74" i="34" s="1"/>
  <c r="H71" i="58" s="1"/>
  <c r="H40" i="34"/>
  <c r="H45" i="34" s="1"/>
  <c r="H41" i="58" s="1"/>
  <c r="H16" i="34"/>
  <c r="H13" i="58" s="1"/>
  <c r="G76" i="34"/>
  <c r="G79" i="34"/>
  <c r="G18" i="35"/>
  <c r="G21" i="35"/>
  <c r="G49" i="33"/>
  <c r="G46" i="33"/>
  <c r="H47" i="34" l="1"/>
  <c r="H50" i="34"/>
  <c r="H78" i="35"/>
  <c r="H75" i="35"/>
  <c r="J11" i="35"/>
  <c r="J11" i="34"/>
  <c r="M186" i="32"/>
  <c r="J11" i="33"/>
  <c r="H79" i="34"/>
  <c r="H76" i="34"/>
  <c r="H75" i="33"/>
  <c r="H78" i="33"/>
  <c r="H46" i="35"/>
  <c r="H49" i="35"/>
  <c r="I69" i="34"/>
  <c r="I74" i="34" s="1"/>
  <c r="I71" i="58" s="1"/>
  <c r="I40" i="34"/>
  <c r="I45" i="34" s="1"/>
  <c r="I41" i="58" s="1"/>
  <c r="I16" i="34"/>
  <c r="I13" i="58" s="1"/>
  <c r="H49" i="33"/>
  <c r="H46" i="33"/>
  <c r="I39" i="35"/>
  <c r="I44" i="35" s="1"/>
  <c r="I41" i="59" s="1"/>
  <c r="I68" i="35"/>
  <c r="I73" i="35" s="1"/>
  <c r="I71" i="59" s="1"/>
  <c r="I16" i="35"/>
  <c r="I12" i="59" s="1"/>
  <c r="H21" i="34"/>
  <c r="H18" i="34"/>
  <c r="H18" i="33"/>
  <c r="H21" i="33"/>
  <c r="H18" i="35"/>
  <c r="H21" i="35"/>
  <c r="I68" i="33"/>
  <c r="I73" i="33" s="1"/>
  <c r="I71" i="55" s="1"/>
  <c r="I16" i="33"/>
  <c r="I13" i="55" s="1"/>
  <c r="I39" i="33"/>
  <c r="I44" i="33" s="1"/>
  <c r="I41" i="55" s="1"/>
  <c r="I50" i="34" l="1"/>
  <c r="I47" i="34"/>
  <c r="J16" i="33"/>
  <c r="J13" i="55" s="1"/>
  <c r="J39" i="33"/>
  <c r="J44" i="33" s="1"/>
  <c r="J41" i="55" s="1"/>
  <c r="J68" i="33"/>
  <c r="J73" i="33" s="1"/>
  <c r="J71" i="55" s="1"/>
  <c r="I79" i="34"/>
  <c r="I76" i="34"/>
  <c r="K11" i="35"/>
  <c r="K11" i="33"/>
  <c r="N186" i="32"/>
  <c r="K11" i="34"/>
  <c r="I78" i="35"/>
  <c r="I75" i="35"/>
  <c r="I49" i="33"/>
  <c r="I46" i="33"/>
  <c r="I21" i="33"/>
  <c r="I18" i="33"/>
  <c r="I18" i="35"/>
  <c r="I21" i="35"/>
  <c r="I78" i="33"/>
  <c r="I75" i="33"/>
  <c r="J16" i="34"/>
  <c r="J13" i="58" s="1"/>
  <c r="J40" i="34"/>
  <c r="J45" i="34" s="1"/>
  <c r="J41" i="58" s="1"/>
  <c r="J69" i="34"/>
  <c r="J74" i="34" s="1"/>
  <c r="J71" i="58" s="1"/>
  <c r="I46" i="35"/>
  <c r="I49" i="35"/>
  <c r="I18" i="34"/>
  <c r="I21" i="34"/>
  <c r="J16" i="35"/>
  <c r="J12" i="59" s="1"/>
  <c r="J39" i="35"/>
  <c r="J44" i="35" s="1"/>
  <c r="J41" i="59" s="1"/>
  <c r="J68" i="35"/>
  <c r="J73" i="35" s="1"/>
  <c r="J71" i="59" s="1"/>
  <c r="K16" i="35" l="1"/>
  <c r="K12" i="59" s="1"/>
  <c r="K39" i="35"/>
  <c r="K44" i="35" s="1"/>
  <c r="K41" i="59" s="1"/>
  <c r="K68" i="35"/>
  <c r="K73" i="35" s="1"/>
  <c r="K71" i="59" s="1"/>
  <c r="J49" i="33"/>
  <c r="J46" i="33"/>
  <c r="J76" i="34"/>
  <c r="J79" i="34"/>
  <c r="J47" i="34"/>
  <c r="J50" i="34"/>
  <c r="J46" i="35"/>
  <c r="J49" i="35"/>
  <c r="J75" i="35"/>
  <c r="J78" i="35"/>
  <c r="K16" i="34"/>
  <c r="K13" i="58" s="1"/>
  <c r="K69" i="34"/>
  <c r="K74" i="34" s="1"/>
  <c r="K71" i="58" s="1"/>
  <c r="K40" i="34"/>
  <c r="K45" i="34" s="1"/>
  <c r="K41" i="58" s="1"/>
  <c r="J18" i="33"/>
  <c r="J21" i="33"/>
  <c r="J21" i="34"/>
  <c r="J18" i="34"/>
  <c r="L11" i="35"/>
  <c r="O186" i="32"/>
  <c r="L11" i="33"/>
  <c r="L11" i="34"/>
  <c r="J21" i="35"/>
  <c r="J18" i="35"/>
  <c r="K39" i="33"/>
  <c r="K44" i="33" s="1"/>
  <c r="K41" i="55" s="1"/>
  <c r="K68" i="33"/>
  <c r="K73" i="33" s="1"/>
  <c r="K71" i="55" s="1"/>
  <c r="K16" i="33"/>
  <c r="K13" i="55" s="1"/>
  <c r="J75" i="33"/>
  <c r="J78" i="33"/>
  <c r="K50" i="34" l="1"/>
  <c r="K47" i="34"/>
  <c r="K46" i="33"/>
  <c r="K49" i="33"/>
  <c r="L39" i="33"/>
  <c r="L44" i="33" s="1"/>
  <c r="L41" i="55" s="1"/>
  <c r="L68" i="33"/>
  <c r="L73" i="33" s="1"/>
  <c r="L71" i="55" s="1"/>
  <c r="L16" i="33"/>
  <c r="L13" i="55" s="1"/>
  <c r="K79" i="34"/>
  <c r="K76" i="34"/>
  <c r="K78" i="35"/>
  <c r="K75" i="35"/>
  <c r="L40" i="34"/>
  <c r="L45" i="34" s="1"/>
  <c r="L41" i="58" s="1"/>
  <c r="L16" i="34"/>
  <c r="L13" i="58" s="1"/>
  <c r="L69" i="34"/>
  <c r="L74" i="34" s="1"/>
  <c r="L71" i="58" s="1"/>
  <c r="K21" i="34"/>
  <c r="K18" i="34"/>
  <c r="K49" i="35"/>
  <c r="K46" i="35"/>
  <c r="K78" i="33"/>
  <c r="K75" i="33"/>
  <c r="P186" i="32"/>
  <c r="M11" i="33"/>
  <c r="M11" i="35"/>
  <c r="M11" i="34"/>
  <c r="K18" i="33"/>
  <c r="K21" i="33"/>
  <c r="L68" i="35"/>
  <c r="L73" i="35" s="1"/>
  <c r="L71" i="59" s="1"/>
  <c r="L16" i="35"/>
  <c r="L12" i="59" s="1"/>
  <c r="L39" i="35"/>
  <c r="L44" i="35" s="1"/>
  <c r="L41" i="59" s="1"/>
  <c r="K21" i="35"/>
  <c r="K18" i="35"/>
  <c r="M40" i="34" l="1"/>
  <c r="M45" i="34" s="1"/>
  <c r="M41" i="58" s="1"/>
  <c r="M69" i="34"/>
  <c r="M74" i="34" s="1"/>
  <c r="M71" i="58" s="1"/>
  <c r="M16" i="34"/>
  <c r="M13" i="58" s="1"/>
  <c r="L47" i="34"/>
  <c r="L50" i="34"/>
  <c r="L21" i="35"/>
  <c r="L18" i="35"/>
  <c r="L78" i="33"/>
  <c r="L75" i="33"/>
  <c r="L75" i="35"/>
  <c r="L78" i="35"/>
  <c r="M39" i="35"/>
  <c r="M44" i="35" s="1"/>
  <c r="M41" i="59" s="1"/>
  <c r="M16" i="35"/>
  <c r="M12" i="59" s="1"/>
  <c r="M68" i="35"/>
  <c r="M73" i="35" s="1"/>
  <c r="M71" i="59" s="1"/>
  <c r="L18" i="33"/>
  <c r="L21" i="33"/>
  <c r="M39" i="33"/>
  <c r="M44" i="33" s="1"/>
  <c r="M41" i="55" s="1"/>
  <c r="M16" i="33"/>
  <c r="M13" i="55" s="1"/>
  <c r="M68" i="33"/>
  <c r="M73" i="33" s="1"/>
  <c r="M71" i="55" s="1"/>
  <c r="L79" i="34"/>
  <c r="L76" i="34"/>
  <c r="L49" i="35"/>
  <c r="L46" i="35"/>
  <c r="N11" i="35"/>
  <c r="N11" i="33"/>
  <c r="Q186" i="32"/>
  <c r="N11" i="34"/>
  <c r="L21" i="34"/>
  <c r="L18" i="34"/>
  <c r="L49" i="33"/>
  <c r="L46" i="33"/>
  <c r="N69" i="34" l="1"/>
  <c r="N74" i="34" s="1"/>
  <c r="N71" i="58" s="1"/>
  <c r="N40" i="34"/>
  <c r="N45" i="34" s="1"/>
  <c r="N41" i="58" s="1"/>
  <c r="N16" i="34"/>
  <c r="N13" i="58" s="1"/>
  <c r="M75" i="33"/>
  <c r="M78" i="33"/>
  <c r="M18" i="34"/>
  <c r="M21" i="34"/>
  <c r="N68" i="35"/>
  <c r="N73" i="35" s="1"/>
  <c r="N71" i="59" s="1"/>
  <c r="N39" i="35"/>
  <c r="N44" i="35" s="1"/>
  <c r="N41" i="59" s="1"/>
  <c r="N16" i="35"/>
  <c r="N12" i="59" s="1"/>
  <c r="M49" i="35"/>
  <c r="M46" i="35"/>
  <c r="O11" i="35"/>
  <c r="O11" i="33"/>
  <c r="O11" i="34"/>
  <c r="R186" i="32"/>
  <c r="M21" i="33"/>
  <c r="M18" i="33"/>
  <c r="M78" i="35"/>
  <c r="M75" i="35"/>
  <c r="M79" i="34"/>
  <c r="M76" i="34"/>
  <c r="N16" i="33"/>
  <c r="N13" i="55" s="1"/>
  <c r="N39" i="33"/>
  <c r="N44" i="33" s="1"/>
  <c r="N41" i="55" s="1"/>
  <c r="N68" i="33"/>
  <c r="N73" i="33" s="1"/>
  <c r="N71" i="55" s="1"/>
  <c r="M46" i="33"/>
  <c r="M49" i="33"/>
  <c r="M18" i="35"/>
  <c r="M21" i="35"/>
  <c r="M50" i="34"/>
  <c r="M47" i="34"/>
  <c r="N49" i="33" l="1"/>
  <c r="N46" i="33"/>
  <c r="P11" i="34"/>
  <c r="P11" i="35"/>
  <c r="P11" i="33"/>
  <c r="S186" i="32"/>
  <c r="N78" i="35"/>
  <c r="N75" i="35"/>
  <c r="N21" i="33"/>
  <c r="N18" i="33"/>
  <c r="O16" i="34"/>
  <c r="O13" i="58" s="1"/>
  <c r="O69" i="34"/>
  <c r="O74" i="34" s="1"/>
  <c r="O71" i="58" s="1"/>
  <c r="O40" i="34"/>
  <c r="O45" i="34" s="1"/>
  <c r="O41" i="58" s="1"/>
  <c r="N21" i="34"/>
  <c r="N18" i="34"/>
  <c r="O68" i="33"/>
  <c r="O73" i="33" s="1"/>
  <c r="O71" i="55" s="1"/>
  <c r="O16" i="33"/>
  <c r="O13" i="55" s="1"/>
  <c r="O39" i="33"/>
  <c r="O44" i="33" s="1"/>
  <c r="O41" i="55" s="1"/>
  <c r="N21" i="35"/>
  <c r="N18" i="35"/>
  <c r="N50" i="34"/>
  <c r="N47" i="34"/>
  <c r="N78" i="33"/>
  <c r="N75" i="33"/>
  <c r="O68" i="35"/>
  <c r="O73" i="35" s="1"/>
  <c r="O71" i="59" s="1"/>
  <c r="O16" i="35"/>
  <c r="O12" i="59" s="1"/>
  <c r="O39" i="35"/>
  <c r="O44" i="35" s="1"/>
  <c r="O41" i="59" s="1"/>
  <c r="N46" i="35"/>
  <c r="N49" i="35"/>
  <c r="N79" i="34"/>
  <c r="N76" i="34"/>
  <c r="O78" i="33" l="1"/>
  <c r="O75" i="33"/>
  <c r="O76" i="34"/>
  <c r="O79" i="34"/>
  <c r="P16" i="35"/>
  <c r="P12" i="59" s="1"/>
  <c r="P39" i="35"/>
  <c r="P44" i="35" s="1"/>
  <c r="P41" i="59" s="1"/>
  <c r="P68" i="35"/>
  <c r="P73" i="35" s="1"/>
  <c r="P71" i="59" s="1"/>
  <c r="O49" i="35"/>
  <c r="O46" i="35"/>
  <c r="O21" i="34"/>
  <c r="O18" i="34"/>
  <c r="P16" i="34"/>
  <c r="P13" i="58" s="1"/>
  <c r="P40" i="34"/>
  <c r="P45" i="34" s="1"/>
  <c r="P41" i="58" s="1"/>
  <c r="P69" i="34"/>
  <c r="P74" i="34" s="1"/>
  <c r="P71" i="58" s="1"/>
  <c r="O18" i="35"/>
  <c r="O21" i="35"/>
  <c r="O49" i="33"/>
  <c r="O46" i="33"/>
  <c r="Q11" i="35"/>
  <c r="Q11" i="33"/>
  <c r="Q11" i="34"/>
  <c r="T186" i="32"/>
  <c r="O78" i="35"/>
  <c r="O75" i="35"/>
  <c r="O21" i="33"/>
  <c r="O18" i="33"/>
  <c r="O50" i="34"/>
  <c r="O47" i="34"/>
  <c r="P39" i="33"/>
  <c r="P44" i="33" s="1"/>
  <c r="P41" i="55" s="1"/>
  <c r="P68" i="33"/>
  <c r="P73" i="33" s="1"/>
  <c r="P71" i="55" s="1"/>
  <c r="P16" i="33"/>
  <c r="P13" i="55" s="1"/>
  <c r="P21" i="34" l="1"/>
  <c r="P18" i="34"/>
  <c r="P18" i="33"/>
  <c r="P21" i="33"/>
  <c r="Q16" i="35"/>
  <c r="Q12" i="59" s="1"/>
  <c r="Q68" i="35"/>
  <c r="Q73" i="35" s="1"/>
  <c r="Q71" i="59" s="1"/>
  <c r="Q39" i="35"/>
  <c r="Q44" i="35" s="1"/>
  <c r="Q41" i="59" s="1"/>
  <c r="P75" i="35"/>
  <c r="P78" i="35"/>
  <c r="P75" i="33"/>
  <c r="P78" i="33"/>
  <c r="P79" i="34"/>
  <c r="P76" i="34"/>
  <c r="P49" i="35"/>
  <c r="P46" i="35"/>
  <c r="Q39" i="33"/>
  <c r="Q44" i="33" s="1"/>
  <c r="Q41" i="55" s="1"/>
  <c r="Q68" i="33"/>
  <c r="Q73" i="33" s="1"/>
  <c r="Q71" i="55" s="1"/>
  <c r="Q16" i="33"/>
  <c r="Q13" i="55" s="1"/>
  <c r="R11" i="33"/>
  <c r="R11" i="35"/>
  <c r="R11" i="34"/>
  <c r="U186" i="32"/>
  <c r="P46" i="33"/>
  <c r="P49" i="33"/>
  <c r="Q40" i="34"/>
  <c r="Q45" i="34" s="1"/>
  <c r="Q41" i="58" s="1"/>
  <c r="Q69" i="34"/>
  <c r="Q74" i="34" s="1"/>
  <c r="Q71" i="58" s="1"/>
  <c r="Q16" i="34"/>
  <c r="Q13" i="58" s="1"/>
  <c r="P50" i="34"/>
  <c r="P47" i="34"/>
  <c r="P21" i="35"/>
  <c r="P18" i="35"/>
  <c r="Q21" i="34" l="1"/>
  <c r="Q18" i="34"/>
  <c r="R68" i="33"/>
  <c r="R73" i="33" s="1"/>
  <c r="R71" i="55" s="1"/>
  <c r="R16" i="33"/>
  <c r="R13" i="55" s="1"/>
  <c r="R39" i="33"/>
  <c r="R44" i="33" s="1"/>
  <c r="R41" i="55" s="1"/>
  <c r="Q46" i="35"/>
  <c r="Q49" i="35"/>
  <c r="R16" i="35"/>
  <c r="R12" i="59" s="1"/>
  <c r="R68" i="35"/>
  <c r="R73" i="35" s="1"/>
  <c r="R71" i="59" s="1"/>
  <c r="R39" i="35"/>
  <c r="R44" i="35" s="1"/>
  <c r="R41" i="59" s="1"/>
  <c r="S11" i="35"/>
  <c r="S11" i="34"/>
  <c r="V186" i="32"/>
  <c r="S11" i="33"/>
  <c r="Q18" i="33"/>
  <c r="Q21" i="33"/>
  <c r="Q78" i="35"/>
  <c r="Q75" i="35"/>
  <c r="Q49" i="33"/>
  <c r="Q46" i="33"/>
  <c r="Q76" i="34"/>
  <c r="Q79" i="34"/>
  <c r="Q47" i="34"/>
  <c r="Q50" i="34"/>
  <c r="R40" i="34"/>
  <c r="R45" i="34" s="1"/>
  <c r="R41" i="58" s="1"/>
  <c r="R69" i="34"/>
  <c r="R74" i="34" s="1"/>
  <c r="R71" i="58" s="1"/>
  <c r="R16" i="34"/>
  <c r="R13" i="58" s="1"/>
  <c r="Q75" i="33"/>
  <c r="Q78" i="33"/>
  <c r="Q21" i="35"/>
  <c r="Q18" i="35"/>
  <c r="S40" i="34" l="1"/>
  <c r="S45" i="34" s="1"/>
  <c r="S41" i="58" s="1"/>
  <c r="S16" i="34"/>
  <c r="S13" i="58" s="1"/>
  <c r="S69" i="34"/>
  <c r="S74" i="34" s="1"/>
  <c r="S71" i="58" s="1"/>
  <c r="R21" i="35"/>
  <c r="R18" i="35"/>
  <c r="R18" i="33"/>
  <c r="R21" i="33"/>
  <c r="R21" i="34"/>
  <c r="R18" i="34"/>
  <c r="S39" i="33"/>
  <c r="S44" i="33" s="1"/>
  <c r="S41" i="55" s="1"/>
  <c r="S16" i="33"/>
  <c r="S13" i="55" s="1"/>
  <c r="S68" i="33"/>
  <c r="S73" i="33" s="1"/>
  <c r="S71" i="55" s="1"/>
  <c r="S39" i="35"/>
  <c r="S44" i="35" s="1"/>
  <c r="S41" i="59" s="1"/>
  <c r="S16" i="35"/>
  <c r="S12" i="59" s="1"/>
  <c r="S68" i="35"/>
  <c r="S73" i="35" s="1"/>
  <c r="S71" i="59" s="1"/>
  <c r="R75" i="33"/>
  <c r="R78" i="33"/>
  <c r="R79" i="34"/>
  <c r="R76" i="34"/>
  <c r="R46" i="35"/>
  <c r="R49" i="35"/>
  <c r="R47" i="34"/>
  <c r="R50" i="34"/>
  <c r="T11" i="35"/>
  <c r="T11" i="34"/>
  <c r="W186" i="32"/>
  <c r="T11" i="33"/>
  <c r="R75" i="35"/>
  <c r="R78" i="35"/>
  <c r="R49" i="33"/>
  <c r="R46" i="33"/>
  <c r="T16" i="33" l="1"/>
  <c r="T13" i="55" s="1"/>
  <c r="T39" i="33"/>
  <c r="T44" i="33" s="1"/>
  <c r="T41" i="55" s="1"/>
  <c r="T68" i="33"/>
  <c r="T73" i="33" s="1"/>
  <c r="T71" i="55" s="1"/>
  <c r="S75" i="35"/>
  <c r="S78" i="35"/>
  <c r="S21" i="33"/>
  <c r="S18" i="33"/>
  <c r="S76" i="34"/>
  <c r="S79" i="34"/>
  <c r="S75" i="33"/>
  <c r="S78" i="33"/>
  <c r="S18" i="35"/>
  <c r="S21" i="35"/>
  <c r="S49" i="33"/>
  <c r="S46" i="33"/>
  <c r="S21" i="34"/>
  <c r="S18" i="34"/>
  <c r="T16" i="35"/>
  <c r="T12" i="59" s="1"/>
  <c r="T39" i="35"/>
  <c r="T44" i="35" s="1"/>
  <c r="T41" i="59" s="1"/>
  <c r="T68" i="35"/>
  <c r="T73" i="35" s="1"/>
  <c r="T71" i="59" s="1"/>
  <c r="U11" i="33"/>
  <c r="U11" i="35"/>
  <c r="U11" i="34"/>
  <c r="X186" i="32"/>
  <c r="T40" i="34"/>
  <c r="T45" i="34" s="1"/>
  <c r="T41" i="58" s="1"/>
  <c r="T69" i="34"/>
  <c r="T74" i="34" s="1"/>
  <c r="T71" i="58" s="1"/>
  <c r="T16" i="34"/>
  <c r="T13" i="58" s="1"/>
  <c r="S46" i="35"/>
  <c r="S49" i="35"/>
  <c r="S50" i="34"/>
  <c r="S47" i="34"/>
  <c r="V11" i="34" l="1"/>
  <c r="V11" i="33"/>
  <c r="Y186" i="32"/>
  <c r="V11" i="35"/>
  <c r="T78" i="35"/>
  <c r="T75" i="35"/>
  <c r="T21" i="34"/>
  <c r="T18" i="34"/>
  <c r="U69" i="34"/>
  <c r="U74" i="34" s="1"/>
  <c r="U71" i="58" s="1"/>
  <c r="U40" i="34"/>
  <c r="U45" i="34" s="1"/>
  <c r="U41" i="58" s="1"/>
  <c r="U16" i="34"/>
  <c r="U13" i="58" s="1"/>
  <c r="T49" i="35"/>
  <c r="T46" i="35"/>
  <c r="T75" i="33"/>
  <c r="T78" i="33"/>
  <c r="T76" i="34"/>
  <c r="T79" i="34"/>
  <c r="U39" i="35"/>
  <c r="U44" i="35" s="1"/>
  <c r="U41" i="59" s="1"/>
  <c r="U16" i="35"/>
  <c r="U12" i="59" s="1"/>
  <c r="U68" i="35"/>
  <c r="U73" i="35" s="1"/>
  <c r="U71" i="59" s="1"/>
  <c r="T21" i="35"/>
  <c r="T18" i="35"/>
  <c r="T49" i="33"/>
  <c r="T46" i="33"/>
  <c r="T47" i="34"/>
  <c r="T50" i="34"/>
  <c r="U68" i="33"/>
  <c r="U73" i="33" s="1"/>
  <c r="U71" i="55" s="1"/>
  <c r="U39" i="33"/>
  <c r="U44" i="33" s="1"/>
  <c r="U41" i="55" s="1"/>
  <c r="U16" i="33"/>
  <c r="U13" i="55" s="1"/>
  <c r="T21" i="33"/>
  <c r="T18" i="33"/>
  <c r="V16" i="35" l="1"/>
  <c r="V12" i="59" s="1"/>
  <c r="V68" i="35"/>
  <c r="V73" i="35" s="1"/>
  <c r="V71" i="59" s="1"/>
  <c r="V39" i="35"/>
  <c r="V44" i="35" s="1"/>
  <c r="V41" i="59" s="1"/>
  <c r="U49" i="35"/>
  <c r="U46" i="35"/>
  <c r="U49" i="33"/>
  <c r="U46" i="33"/>
  <c r="U75" i="35"/>
  <c r="U78" i="35"/>
  <c r="U78" i="33"/>
  <c r="U75" i="33"/>
  <c r="U18" i="35"/>
  <c r="U21" i="35"/>
  <c r="U18" i="34"/>
  <c r="U21" i="34"/>
  <c r="W11" i="33"/>
  <c r="Z186" i="32"/>
  <c r="W11" i="35"/>
  <c r="W11" i="34"/>
  <c r="U47" i="34"/>
  <c r="U50" i="34"/>
  <c r="V16" i="33"/>
  <c r="V13" i="55" s="1"/>
  <c r="V39" i="33"/>
  <c r="V44" i="33" s="1"/>
  <c r="V41" i="55" s="1"/>
  <c r="V68" i="33"/>
  <c r="V73" i="33" s="1"/>
  <c r="V71" i="55" s="1"/>
  <c r="U18" i="33"/>
  <c r="U21" i="33"/>
  <c r="U76" i="34"/>
  <c r="U79" i="34"/>
  <c r="V16" i="34"/>
  <c r="V13" i="58" s="1"/>
  <c r="V40" i="34"/>
  <c r="V45" i="34" s="1"/>
  <c r="V41" i="58" s="1"/>
  <c r="V69" i="34"/>
  <c r="V74" i="34" s="1"/>
  <c r="V71" i="58" s="1"/>
  <c r="V78" i="33" l="1"/>
  <c r="V75" i="33"/>
  <c r="V49" i="33"/>
  <c r="V46" i="33"/>
  <c r="W40" i="34"/>
  <c r="W45" i="34" s="1"/>
  <c r="W41" i="58" s="1"/>
  <c r="W69" i="34"/>
  <c r="W74" i="34" s="1"/>
  <c r="W71" i="58" s="1"/>
  <c r="W16" i="34"/>
  <c r="W13" i="58" s="1"/>
  <c r="V49" i="35"/>
  <c r="V46" i="35"/>
  <c r="V47" i="34"/>
  <c r="V50" i="34"/>
  <c r="W16" i="35"/>
  <c r="W12" i="59" s="1"/>
  <c r="W68" i="35"/>
  <c r="W73" i="35" s="1"/>
  <c r="W71" i="59" s="1"/>
  <c r="W39" i="35"/>
  <c r="W44" i="35" s="1"/>
  <c r="W41" i="59" s="1"/>
  <c r="V75" i="35"/>
  <c r="V78" i="35"/>
  <c r="W39" i="33"/>
  <c r="W44" i="33" s="1"/>
  <c r="W41" i="55" s="1"/>
  <c r="W68" i="33"/>
  <c r="W73" i="33" s="1"/>
  <c r="W71" i="55" s="1"/>
  <c r="W16" i="33"/>
  <c r="W13" i="55" s="1"/>
  <c r="V79" i="34"/>
  <c r="V76" i="34"/>
  <c r="V21" i="33"/>
  <c r="V18" i="33"/>
  <c r="V18" i="34"/>
  <c r="V21" i="34"/>
  <c r="X11" i="35"/>
  <c r="X11" i="34"/>
  <c r="X11" i="33"/>
  <c r="AA186" i="32"/>
  <c r="V18" i="35"/>
  <c r="V21" i="35"/>
  <c r="W18" i="35" l="1"/>
  <c r="W21" i="35"/>
  <c r="W78" i="33"/>
  <c r="W75" i="33"/>
  <c r="X68" i="33"/>
  <c r="X73" i="33" s="1"/>
  <c r="X71" i="55" s="1"/>
  <c r="X16" i="33"/>
  <c r="X13" i="55" s="1"/>
  <c r="X39" i="33"/>
  <c r="X44" i="33" s="1"/>
  <c r="X41" i="55" s="1"/>
  <c r="X16" i="34"/>
  <c r="X13" i="58" s="1"/>
  <c r="X69" i="34"/>
  <c r="X74" i="34" s="1"/>
  <c r="X71" i="58" s="1"/>
  <c r="X40" i="34"/>
  <c r="X45" i="34" s="1"/>
  <c r="X41" i="58" s="1"/>
  <c r="W21" i="33"/>
  <c r="W18" i="33"/>
  <c r="W21" i="34"/>
  <c r="W18" i="34"/>
  <c r="X39" i="35"/>
  <c r="X44" i="35" s="1"/>
  <c r="X41" i="59" s="1"/>
  <c r="X16" i="35"/>
  <c r="X12" i="59" s="1"/>
  <c r="X68" i="35"/>
  <c r="X73" i="35" s="1"/>
  <c r="X71" i="59" s="1"/>
  <c r="W46" i="35"/>
  <c r="W49" i="35"/>
  <c r="W76" i="34"/>
  <c r="W79" i="34"/>
  <c r="Y11" i="33"/>
  <c r="AB186" i="32"/>
  <c r="Y11" i="34"/>
  <c r="Y11" i="35"/>
  <c r="W46" i="33"/>
  <c r="W49" i="33"/>
  <c r="W78" i="35"/>
  <c r="W75" i="35"/>
  <c r="W47" i="34"/>
  <c r="W50" i="34"/>
  <c r="Y40" i="34" l="1"/>
  <c r="Y45" i="34" s="1"/>
  <c r="Y41" i="58" s="1"/>
  <c r="Y69" i="34"/>
  <c r="Y74" i="34" s="1"/>
  <c r="Y71" i="58" s="1"/>
  <c r="Y16" i="34"/>
  <c r="Y13" i="58" s="1"/>
  <c r="X21" i="35"/>
  <c r="X18" i="35"/>
  <c r="Z11" i="35"/>
  <c r="Z11" i="34"/>
  <c r="Z11" i="33"/>
  <c r="X49" i="35"/>
  <c r="X46" i="35"/>
  <c r="X49" i="33"/>
  <c r="X46" i="33"/>
  <c r="Y39" i="33"/>
  <c r="Y44" i="33" s="1"/>
  <c r="Y41" i="55" s="1"/>
  <c r="Y68" i="33"/>
  <c r="Y73" i="33" s="1"/>
  <c r="Y71" i="55" s="1"/>
  <c r="Y16" i="33"/>
  <c r="Y13" i="55" s="1"/>
  <c r="X47" i="34"/>
  <c r="X50" i="34"/>
  <c r="X21" i="33"/>
  <c r="X18" i="33"/>
  <c r="X18" i="34"/>
  <c r="X21" i="34"/>
  <c r="Y16" i="35"/>
  <c r="Y12" i="59" s="1"/>
  <c r="Y68" i="35"/>
  <c r="Y73" i="35" s="1"/>
  <c r="Y71" i="59" s="1"/>
  <c r="Y39" i="35"/>
  <c r="Y44" i="35" s="1"/>
  <c r="Y41" i="59" s="1"/>
  <c r="X78" i="35"/>
  <c r="X75" i="35"/>
  <c r="X76" i="34"/>
  <c r="X79" i="34"/>
  <c r="X75" i="33"/>
  <c r="X78" i="33"/>
  <c r="Y46" i="35" l="1"/>
  <c r="Y49" i="35"/>
  <c r="Z16" i="33"/>
  <c r="Z13" i="55" s="1"/>
  <c r="Z68" i="33"/>
  <c r="Z73" i="33" s="1"/>
  <c r="Z71" i="55" s="1"/>
  <c r="Z39" i="33"/>
  <c r="Z44" i="33" s="1"/>
  <c r="Z41" i="55" s="1"/>
  <c r="Y75" i="35"/>
  <c r="Y78" i="35"/>
  <c r="Z16" i="35"/>
  <c r="Z12" i="59" s="1"/>
  <c r="Z68" i="35"/>
  <c r="Z73" i="35" s="1"/>
  <c r="Z71" i="59" s="1"/>
  <c r="Z39" i="35"/>
  <c r="Z44" i="35" s="1"/>
  <c r="Z41" i="59" s="1"/>
  <c r="Y21" i="33"/>
  <c r="Y18" i="33"/>
  <c r="Z69" i="34"/>
  <c r="Z74" i="34" s="1"/>
  <c r="Z71" i="58" s="1"/>
  <c r="Z16" i="34"/>
  <c r="Z13" i="58" s="1"/>
  <c r="Z40" i="34"/>
  <c r="Z45" i="34" s="1"/>
  <c r="Z41" i="58" s="1"/>
  <c r="Y21" i="34"/>
  <c r="Y18" i="34"/>
  <c r="Y21" i="35"/>
  <c r="Y18" i="35"/>
  <c r="Y75" i="33"/>
  <c r="Y78" i="33"/>
  <c r="Y76" i="34"/>
  <c r="Y79" i="34"/>
  <c r="Y49" i="33"/>
  <c r="Y46" i="33"/>
  <c r="Y50" i="34"/>
  <c r="Y47" i="34"/>
  <c r="Z47" i="34" l="1"/>
  <c r="Z50" i="34"/>
  <c r="AA50" i="34" s="1"/>
  <c r="Z21" i="33"/>
  <c r="Z18" i="33"/>
  <c r="Z78" i="33"/>
  <c r="Z75" i="33"/>
  <c r="Z18" i="34"/>
  <c r="Z21" i="34"/>
  <c r="AA21" i="34" s="1"/>
  <c r="Z49" i="35"/>
  <c r="Z46" i="35"/>
  <c r="Z18" i="35"/>
  <c r="Z21" i="35"/>
  <c r="Z79" i="34"/>
  <c r="AA79" i="34" s="1"/>
  <c r="Z76" i="34"/>
  <c r="Z78" i="35"/>
  <c r="Z75" i="35"/>
  <c r="Z49" i="33"/>
  <c r="Z46" i="33"/>
  <c r="B23" i="33" l="1"/>
  <c r="B25" i="33"/>
  <c r="B82" i="35"/>
  <c r="B80" i="35"/>
  <c r="B25" i="35"/>
  <c r="B23" i="35"/>
  <c r="B24" i="34"/>
  <c r="B26" i="34"/>
  <c r="B53" i="33"/>
  <c r="B51" i="33"/>
  <c r="B83" i="34"/>
  <c r="B81" i="34"/>
  <c r="B53" i="35"/>
  <c r="B51" i="35"/>
  <c r="B82" i="33"/>
  <c r="B80" i="33"/>
  <c r="B54" i="34"/>
  <c r="B52" i="34"/>
  <c r="C126" i="36"/>
  <c r="C156" i="36" s="1"/>
  <c r="D156" i="36" s="1"/>
  <c r="D182" i="36" s="1"/>
  <c r="B11" i="39" l="1"/>
  <c r="B11" i="37"/>
  <c r="B11" i="38"/>
  <c r="E182" i="36"/>
  <c r="C119" i="36"/>
  <c r="C149" i="36" s="1"/>
  <c r="D149" i="36" s="1"/>
  <c r="D175" i="36" s="1"/>
  <c r="C162" i="36"/>
  <c r="D162" i="36" s="1"/>
  <c r="B6" i="38" l="1"/>
  <c r="B6" i="39"/>
  <c r="B6" i="37"/>
  <c r="E175" i="36"/>
  <c r="C11" i="39"/>
  <c r="C11" i="37"/>
  <c r="F182" i="36"/>
  <c r="C11" i="38"/>
  <c r="B38" i="38"/>
  <c r="B42" i="38" s="1"/>
  <c r="B15" i="38"/>
  <c r="B66" i="38"/>
  <c r="B70" i="38" s="1"/>
  <c r="B15" i="37"/>
  <c r="B66" i="37"/>
  <c r="B70" i="37" s="1"/>
  <c r="B38" i="37"/>
  <c r="B42" i="37" s="1"/>
  <c r="B15" i="39"/>
  <c r="B38" i="39"/>
  <c r="B42" i="39" s="1"/>
  <c r="B66" i="39"/>
  <c r="B70" i="39" s="1"/>
  <c r="B75" i="39" l="1"/>
  <c r="B72" i="59"/>
  <c r="B74" i="59" s="1"/>
  <c r="B47" i="39"/>
  <c r="B42" i="59"/>
  <c r="B44" i="59" s="1"/>
  <c r="B20" i="37"/>
  <c r="B14" i="55"/>
  <c r="B15" i="55" s="1"/>
  <c r="B20" i="39"/>
  <c r="B13" i="59"/>
  <c r="B15" i="59" s="1"/>
  <c r="B75" i="38"/>
  <c r="B72" i="58"/>
  <c r="B74" i="58" s="1"/>
  <c r="B47" i="37"/>
  <c r="B42" i="55"/>
  <c r="B44" i="55" s="1"/>
  <c r="B20" i="38"/>
  <c r="B14" i="58"/>
  <c r="B15" i="58" s="1"/>
  <c r="B75" i="37"/>
  <c r="B72" i="55"/>
  <c r="B74" i="55" s="1"/>
  <c r="B47" i="38"/>
  <c r="B42" i="58"/>
  <c r="B44" i="58" s="1"/>
  <c r="C15" i="38"/>
  <c r="C66" i="38"/>
  <c r="C70" i="38" s="1"/>
  <c r="C38" i="38"/>
  <c r="C42" i="38" s="1"/>
  <c r="C6" i="39"/>
  <c r="F175" i="36"/>
  <c r="H175" i="36"/>
  <c r="C6" i="38"/>
  <c r="C6" i="37"/>
  <c r="D11" i="37"/>
  <c r="G182" i="36"/>
  <c r="D11" i="38"/>
  <c r="D11" i="39"/>
  <c r="B7" i="37"/>
  <c r="B61" i="37"/>
  <c r="B33" i="37"/>
  <c r="C66" i="37"/>
  <c r="C70" i="37" s="1"/>
  <c r="C38" i="37"/>
  <c r="C42" i="37" s="1"/>
  <c r="C15" i="37"/>
  <c r="B7" i="39"/>
  <c r="B33" i="39"/>
  <c r="B61" i="39"/>
  <c r="C15" i="39"/>
  <c r="C66" i="39"/>
  <c r="C70" i="39" s="1"/>
  <c r="C38" i="39"/>
  <c r="C42" i="39" s="1"/>
  <c r="B7" i="38"/>
  <c r="B61" i="38"/>
  <c r="B33" i="38"/>
  <c r="C47" i="39" l="1"/>
  <c r="C42" i="59"/>
  <c r="C44" i="59" s="1"/>
  <c r="C20" i="39"/>
  <c r="C13" i="59"/>
  <c r="C15" i="59" s="1"/>
  <c r="C20" i="37"/>
  <c r="C14" i="55"/>
  <c r="C15" i="55" s="1"/>
  <c r="C75" i="38"/>
  <c r="C72" i="58"/>
  <c r="C74" i="58" s="1"/>
  <c r="B79" i="55"/>
  <c r="B76" i="55"/>
  <c r="B49" i="55"/>
  <c r="B46" i="55"/>
  <c r="B20" i="59"/>
  <c r="B17" i="59"/>
  <c r="B46" i="59"/>
  <c r="B49" i="59"/>
  <c r="C47" i="37"/>
  <c r="C42" i="55"/>
  <c r="C44" i="55" s="1"/>
  <c r="C20" i="38"/>
  <c r="C14" i="58"/>
  <c r="C15" i="58" s="1"/>
  <c r="C75" i="37"/>
  <c r="C72" i="55"/>
  <c r="C74" i="55" s="1"/>
  <c r="B46" i="58"/>
  <c r="B49" i="58"/>
  <c r="B20" i="58"/>
  <c r="B17" i="58"/>
  <c r="B76" i="58"/>
  <c r="B79" i="58"/>
  <c r="B20" i="55"/>
  <c r="B17" i="55"/>
  <c r="B76" i="59"/>
  <c r="B79" i="59"/>
  <c r="C75" i="39"/>
  <c r="C72" i="59"/>
  <c r="C74" i="59" s="1"/>
  <c r="C47" i="38"/>
  <c r="C42" i="58"/>
  <c r="C44" i="58" s="1"/>
  <c r="D66" i="39"/>
  <c r="D70" i="39" s="1"/>
  <c r="D15" i="39"/>
  <c r="D38" i="39"/>
  <c r="D42" i="39" s="1"/>
  <c r="C61" i="37"/>
  <c r="C7" i="37"/>
  <c r="C33" i="37"/>
  <c r="C33" i="39"/>
  <c r="C7" i="39"/>
  <c r="C61" i="39"/>
  <c r="B34" i="39"/>
  <c r="B17" i="39"/>
  <c r="B62" i="39"/>
  <c r="B19" i="39"/>
  <c r="D15" i="38"/>
  <c r="D66" i="38"/>
  <c r="D70" i="38" s="1"/>
  <c r="D38" i="38"/>
  <c r="D42" i="38" s="1"/>
  <c r="C61" i="38"/>
  <c r="C7" i="38"/>
  <c r="C33" i="38"/>
  <c r="E11" i="37"/>
  <c r="H182" i="36"/>
  <c r="E11" i="38"/>
  <c r="E11" i="39"/>
  <c r="F6" i="37"/>
  <c r="F6" i="39"/>
  <c r="F6" i="38"/>
  <c r="K175" i="36"/>
  <c r="B17" i="38"/>
  <c r="B34" i="38"/>
  <c r="B62" i="38"/>
  <c r="B19" i="38"/>
  <c r="B17" i="37"/>
  <c r="B34" i="37"/>
  <c r="B62" i="37"/>
  <c r="B19" i="37"/>
  <c r="D66" i="37"/>
  <c r="D70" i="37" s="1"/>
  <c r="D38" i="37"/>
  <c r="D42" i="37" s="1"/>
  <c r="D15" i="37"/>
  <c r="D6" i="38"/>
  <c r="D6" i="37"/>
  <c r="D6" i="39"/>
  <c r="G175" i="36"/>
  <c r="I175" i="36"/>
  <c r="D75" i="37" l="1"/>
  <c r="D72" i="55"/>
  <c r="D74" i="55" s="1"/>
  <c r="D47" i="38"/>
  <c r="D42" i="58"/>
  <c r="D44" i="58" s="1"/>
  <c r="C49" i="58"/>
  <c r="C46" i="58"/>
  <c r="C17" i="58"/>
  <c r="C20" i="58"/>
  <c r="C76" i="58"/>
  <c r="C79" i="58"/>
  <c r="C17" i="59"/>
  <c r="C20" i="59"/>
  <c r="D75" i="38"/>
  <c r="D72" i="58"/>
  <c r="D74" i="58" s="1"/>
  <c r="D47" i="39"/>
  <c r="D42" i="59"/>
  <c r="D44" i="59" s="1"/>
  <c r="D20" i="37"/>
  <c r="D14" i="55"/>
  <c r="D15" i="55" s="1"/>
  <c r="D20" i="38"/>
  <c r="D14" i="58"/>
  <c r="D15" i="58" s="1"/>
  <c r="D20" i="39"/>
  <c r="D13" i="59"/>
  <c r="D15" i="59" s="1"/>
  <c r="C79" i="59"/>
  <c r="C76" i="59"/>
  <c r="C76" i="55"/>
  <c r="C79" i="55"/>
  <c r="C46" i="55"/>
  <c r="C49" i="55"/>
  <c r="C20" i="55"/>
  <c r="C17" i="55"/>
  <c r="C49" i="59"/>
  <c r="C46" i="59"/>
  <c r="D47" i="37"/>
  <c r="D42" i="55"/>
  <c r="D44" i="55" s="1"/>
  <c r="D75" i="39"/>
  <c r="D72" i="59"/>
  <c r="D74" i="59" s="1"/>
  <c r="I6" i="38"/>
  <c r="I6" i="39"/>
  <c r="N175" i="36"/>
  <c r="I6" i="37"/>
  <c r="L175" i="36"/>
  <c r="D61" i="37"/>
  <c r="D7" i="37"/>
  <c r="D33" i="37"/>
  <c r="F7" i="37"/>
  <c r="F61" i="37"/>
  <c r="F33" i="37"/>
  <c r="E66" i="37"/>
  <c r="E70" i="37" s="1"/>
  <c r="E38" i="37"/>
  <c r="E42" i="37" s="1"/>
  <c r="E15" i="37"/>
  <c r="B72" i="39"/>
  <c r="B74" i="39"/>
  <c r="C17" i="39"/>
  <c r="C19" i="39"/>
  <c r="C34" i="39"/>
  <c r="C62" i="39"/>
  <c r="D7" i="38"/>
  <c r="D33" i="38"/>
  <c r="D61" i="38"/>
  <c r="E6" i="37"/>
  <c r="E6" i="38"/>
  <c r="E6" i="39"/>
  <c r="B72" i="37"/>
  <c r="B74" i="37"/>
  <c r="B72" i="38"/>
  <c r="B74" i="38"/>
  <c r="F7" i="38"/>
  <c r="F61" i="38"/>
  <c r="F33" i="38"/>
  <c r="E38" i="38"/>
  <c r="E42" i="38" s="1"/>
  <c r="E66" i="38"/>
  <c r="E70" i="38" s="1"/>
  <c r="E15" i="38"/>
  <c r="C17" i="38"/>
  <c r="C34" i="38"/>
  <c r="C62" i="38"/>
  <c r="C19" i="38"/>
  <c r="B46" i="39"/>
  <c r="B44" i="39"/>
  <c r="G6" i="37"/>
  <c r="J175" i="36"/>
  <c r="G6" i="38"/>
  <c r="G6" i="39"/>
  <c r="E15" i="39"/>
  <c r="E66" i="39"/>
  <c r="E70" i="39" s="1"/>
  <c r="E38" i="39"/>
  <c r="E42" i="39" s="1"/>
  <c r="D7" i="39"/>
  <c r="D33" i="39"/>
  <c r="D61" i="39"/>
  <c r="B46" i="37"/>
  <c r="B44" i="37"/>
  <c r="B44" i="38"/>
  <c r="B46" i="38"/>
  <c r="F7" i="39"/>
  <c r="F33" i="39"/>
  <c r="F61" i="39"/>
  <c r="F11" i="37"/>
  <c r="F11" i="39"/>
  <c r="F11" i="38"/>
  <c r="I182" i="36"/>
  <c r="C17" i="37"/>
  <c r="C34" i="37"/>
  <c r="C62" i="37"/>
  <c r="C19" i="37"/>
  <c r="E20" i="39" l="1"/>
  <c r="E13" i="59"/>
  <c r="E15" i="59" s="1"/>
  <c r="E75" i="38"/>
  <c r="E72" i="58"/>
  <c r="E74" i="58" s="1"/>
  <c r="D49" i="58"/>
  <c r="D46" i="58"/>
  <c r="E47" i="38"/>
  <c r="E42" i="58"/>
  <c r="E44" i="58" s="1"/>
  <c r="E20" i="37"/>
  <c r="E14" i="55"/>
  <c r="E15" i="55" s="1"/>
  <c r="D49" i="55"/>
  <c r="D46" i="55"/>
  <c r="D20" i="59"/>
  <c r="D17" i="59"/>
  <c r="D20" i="55"/>
  <c r="D17" i="55"/>
  <c r="D79" i="58"/>
  <c r="D76" i="58"/>
  <c r="E47" i="39"/>
  <c r="E42" i="59"/>
  <c r="E44" i="59" s="1"/>
  <c r="E47" i="37"/>
  <c r="E42" i="55"/>
  <c r="E44" i="55" s="1"/>
  <c r="D79" i="55"/>
  <c r="D76" i="55"/>
  <c r="E75" i="39"/>
  <c r="E72" i="59"/>
  <c r="E74" i="59" s="1"/>
  <c r="E20" i="38"/>
  <c r="E14" i="58"/>
  <c r="E15" i="58" s="1"/>
  <c r="E75" i="37"/>
  <c r="E72" i="55"/>
  <c r="E74" i="55" s="1"/>
  <c r="D79" i="59"/>
  <c r="D76" i="59"/>
  <c r="D20" i="58"/>
  <c r="D17" i="58"/>
  <c r="D49" i="59"/>
  <c r="D46" i="59"/>
  <c r="F66" i="37"/>
  <c r="F70" i="37" s="1"/>
  <c r="F15" i="37"/>
  <c r="F38" i="37"/>
  <c r="F42" i="37" s="1"/>
  <c r="E7" i="37"/>
  <c r="E61" i="37"/>
  <c r="E33" i="37"/>
  <c r="C72" i="39"/>
  <c r="C74" i="39"/>
  <c r="I61" i="37"/>
  <c r="I7" i="37"/>
  <c r="I33" i="37"/>
  <c r="G11" i="37"/>
  <c r="G11" i="38"/>
  <c r="J182" i="36"/>
  <c r="G11" i="39"/>
  <c r="G7" i="37"/>
  <c r="G61" i="37"/>
  <c r="G33" i="37"/>
  <c r="C72" i="38"/>
  <c r="C74" i="38"/>
  <c r="F62" i="38"/>
  <c r="F34" i="38"/>
  <c r="F19" i="38"/>
  <c r="C44" i="39"/>
  <c r="C46" i="39"/>
  <c r="D19" i="37"/>
  <c r="D17" i="37"/>
  <c r="D62" i="37"/>
  <c r="D34" i="37"/>
  <c r="Q175" i="36"/>
  <c r="L6" i="38"/>
  <c r="L6" i="37"/>
  <c r="L6" i="39"/>
  <c r="C72" i="37"/>
  <c r="C74" i="37"/>
  <c r="F66" i="38"/>
  <c r="F70" i="38" s="1"/>
  <c r="F15" i="38"/>
  <c r="F38" i="38"/>
  <c r="F42" i="38" s="1"/>
  <c r="D34" i="39"/>
  <c r="D19" i="39"/>
  <c r="D62" i="39"/>
  <c r="D17" i="39"/>
  <c r="G7" i="39"/>
  <c r="G61" i="39"/>
  <c r="G33" i="39"/>
  <c r="C44" i="38"/>
  <c r="C46" i="38"/>
  <c r="E61" i="39"/>
  <c r="E7" i="39"/>
  <c r="E33" i="39"/>
  <c r="I7" i="39"/>
  <c r="I61" i="39"/>
  <c r="I33" i="39"/>
  <c r="H6" i="38"/>
  <c r="H6" i="39"/>
  <c r="H6" i="37"/>
  <c r="C44" i="37"/>
  <c r="C46" i="37"/>
  <c r="F15" i="39"/>
  <c r="F66" i="39"/>
  <c r="F70" i="39" s="1"/>
  <c r="F38" i="39"/>
  <c r="F42" i="39" s="1"/>
  <c r="F62" i="39"/>
  <c r="F34" i="39"/>
  <c r="F19" i="39"/>
  <c r="G61" i="38"/>
  <c r="G7" i="38"/>
  <c r="G33" i="38"/>
  <c r="E61" i="38"/>
  <c r="E7" i="38"/>
  <c r="E33" i="38"/>
  <c r="D17" i="38"/>
  <c r="D19" i="38"/>
  <c r="D62" i="38"/>
  <c r="D34" i="38"/>
  <c r="F62" i="37"/>
  <c r="F34" i="37"/>
  <c r="F19" i="37"/>
  <c r="F17" i="37"/>
  <c r="J6" i="37"/>
  <c r="J6" i="38"/>
  <c r="M175" i="36"/>
  <c r="O175" i="36"/>
  <c r="J6" i="39"/>
  <c r="I7" i="38"/>
  <c r="I61" i="38"/>
  <c r="I33" i="38"/>
  <c r="F20" i="39" l="1"/>
  <c r="F13" i="59"/>
  <c r="F15" i="59" s="1"/>
  <c r="F47" i="37"/>
  <c r="F42" i="55"/>
  <c r="F44" i="55" s="1"/>
  <c r="F47" i="38"/>
  <c r="F42" i="58"/>
  <c r="F44" i="58" s="1"/>
  <c r="F20" i="37"/>
  <c r="F14" i="55"/>
  <c r="F15" i="55" s="1"/>
  <c r="E79" i="55"/>
  <c r="E76" i="55"/>
  <c r="E79" i="59"/>
  <c r="E76" i="59"/>
  <c r="E49" i="55"/>
  <c r="E46" i="55"/>
  <c r="E49" i="58"/>
  <c r="E46" i="58"/>
  <c r="E20" i="59"/>
  <c r="E17" i="59"/>
  <c r="F47" i="39"/>
  <c r="F42" i="59"/>
  <c r="F44" i="59" s="1"/>
  <c r="F20" i="38"/>
  <c r="F14" i="58"/>
  <c r="F15" i="58" s="1"/>
  <c r="F75" i="37"/>
  <c r="F72" i="55"/>
  <c r="F74" i="55" s="1"/>
  <c r="F75" i="39"/>
  <c r="F72" i="59"/>
  <c r="F74" i="59" s="1"/>
  <c r="F75" i="38"/>
  <c r="F72" i="58"/>
  <c r="F74" i="58" s="1"/>
  <c r="E17" i="58"/>
  <c r="E20" i="58"/>
  <c r="E49" i="59"/>
  <c r="E46" i="59"/>
  <c r="E17" i="55"/>
  <c r="E20" i="55"/>
  <c r="E79" i="58"/>
  <c r="E76" i="58"/>
  <c r="F17" i="38"/>
  <c r="M6" i="39"/>
  <c r="M6" i="38"/>
  <c r="P175" i="36"/>
  <c r="R175" i="36"/>
  <c r="M6" i="37"/>
  <c r="G62" i="38"/>
  <c r="G34" i="38"/>
  <c r="G19" i="38"/>
  <c r="F46" i="39"/>
  <c r="F44" i="39"/>
  <c r="L33" i="38"/>
  <c r="L7" i="38"/>
  <c r="L61" i="38"/>
  <c r="G15" i="37"/>
  <c r="G66" i="37"/>
  <c r="G70" i="37" s="1"/>
  <c r="G38" i="37"/>
  <c r="G42" i="37" s="1"/>
  <c r="E62" i="37"/>
  <c r="E17" i="37"/>
  <c r="E34" i="37"/>
  <c r="E19" i="37"/>
  <c r="K6" i="38"/>
  <c r="K6" i="39"/>
  <c r="K6" i="37"/>
  <c r="D74" i="38"/>
  <c r="D72" i="38"/>
  <c r="E17" i="38"/>
  <c r="E19" i="38"/>
  <c r="E62" i="38"/>
  <c r="E34" i="38"/>
  <c r="F72" i="39"/>
  <c r="F74" i="39"/>
  <c r="H33" i="38"/>
  <c r="H7" i="38"/>
  <c r="H61" i="38"/>
  <c r="T175" i="36"/>
  <c r="O6" i="39"/>
  <c r="O6" i="38"/>
  <c r="O6" i="37"/>
  <c r="G66" i="39"/>
  <c r="G70" i="39" s="1"/>
  <c r="G38" i="39"/>
  <c r="G42" i="39" s="1"/>
  <c r="G15" i="39"/>
  <c r="H7" i="39"/>
  <c r="H61" i="39"/>
  <c r="H33" i="39"/>
  <c r="D44" i="39"/>
  <c r="D46" i="39"/>
  <c r="J61" i="38"/>
  <c r="J7" i="38"/>
  <c r="J33" i="38"/>
  <c r="E17" i="39"/>
  <c r="E34" i="39"/>
  <c r="E62" i="39"/>
  <c r="E19" i="39"/>
  <c r="D72" i="39"/>
  <c r="D74" i="39"/>
  <c r="L61" i="39"/>
  <c r="L7" i="39"/>
  <c r="L33" i="39"/>
  <c r="D46" i="37"/>
  <c r="D44" i="37"/>
  <c r="F44" i="38"/>
  <c r="F46" i="38"/>
  <c r="H11" i="39"/>
  <c r="H11" i="38"/>
  <c r="K182" i="36"/>
  <c r="H11" i="37"/>
  <c r="I34" i="37"/>
  <c r="I62" i="37"/>
  <c r="I19" i="37"/>
  <c r="D46" i="38"/>
  <c r="D44" i="38"/>
  <c r="I34" i="39"/>
  <c r="I62" i="39"/>
  <c r="I19" i="39"/>
  <c r="G34" i="39"/>
  <c r="G62" i="39"/>
  <c r="G17" i="39"/>
  <c r="G19" i="39"/>
  <c r="G34" i="37"/>
  <c r="G62" i="37"/>
  <c r="G19" i="37"/>
  <c r="I34" i="38"/>
  <c r="I62" i="38"/>
  <c r="I19" i="38"/>
  <c r="F44" i="37"/>
  <c r="F46" i="37"/>
  <c r="J33" i="39"/>
  <c r="J7" i="39"/>
  <c r="J61" i="39"/>
  <c r="J7" i="37"/>
  <c r="J61" i="37"/>
  <c r="J33" i="37"/>
  <c r="F74" i="37"/>
  <c r="F72" i="37"/>
  <c r="F17" i="39"/>
  <c r="H33" i="37"/>
  <c r="H61" i="37"/>
  <c r="H7" i="37"/>
  <c r="L7" i="37"/>
  <c r="L33" i="37"/>
  <c r="L61" i="37"/>
  <c r="D74" i="37"/>
  <c r="D72" i="37"/>
  <c r="F74" i="38"/>
  <c r="F72" i="38"/>
  <c r="G15" i="38"/>
  <c r="G66" i="38"/>
  <c r="G70" i="38" s="1"/>
  <c r="G38" i="38"/>
  <c r="G42" i="38" s="1"/>
  <c r="G20" i="39" l="1"/>
  <c r="G13" i="59"/>
  <c r="G15" i="59" s="1"/>
  <c r="G47" i="38"/>
  <c r="G42" i="58"/>
  <c r="G44" i="58" s="1"/>
  <c r="G47" i="39"/>
  <c r="G42" i="59"/>
  <c r="G44" i="59" s="1"/>
  <c r="G47" i="37"/>
  <c r="G42" i="55"/>
  <c r="G44" i="55" s="1"/>
  <c r="F79" i="58"/>
  <c r="F76" i="58"/>
  <c r="F17" i="58"/>
  <c r="F20" i="58"/>
  <c r="G75" i="38"/>
  <c r="G72" i="58"/>
  <c r="G74" i="58" s="1"/>
  <c r="G75" i="39"/>
  <c r="G72" i="59"/>
  <c r="G74" i="59" s="1"/>
  <c r="G75" i="37"/>
  <c r="G72" i="55"/>
  <c r="G74" i="55" s="1"/>
  <c r="F49" i="58"/>
  <c r="F46" i="58"/>
  <c r="F17" i="59"/>
  <c r="F20" i="59"/>
  <c r="G20" i="38"/>
  <c r="G14" i="58"/>
  <c r="G15" i="58" s="1"/>
  <c r="G20" i="37"/>
  <c r="G14" i="55"/>
  <c r="G15" i="55" s="1"/>
  <c r="F79" i="59"/>
  <c r="F76" i="59"/>
  <c r="F79" i="55"/>
  <c r="F76" i="55"/>
  <c r="F49" i="59"/>
  <c r="F46" i="59"/>
  <c r="F20" i="55"/>
  <c r="F17" i="55"/>
  <c r="F49" i="55"/>
  <c r="F46" i="55"/>
  <c r="L34" i="37"/>
  <c r="L62" i="37"/>
  <c r="L19" i="37"/>
  <c r="I46" i="37"/>
  <c r="W175" i="36"/>
  <c r="R6" i="37"/>
  <c r="R6" i="38"/>
  <c r="R6" i="39"/>
  <c r="U175" i="36"/>
  <c r="S175" i="36"/>
  <c r="P6" i="38"/>
  <c r="P6" i="37"/>
  <c r="P6" i="39"/>
  <c r="J34" i="37"/>
  <c r="J62" i="37"/>
  <c r="J19" i="37"/>
  <c r="I74" i="38"/>
  <c r="H34" i="39"/>
  <c r="H62" i="39"/>
  <c r="H19" i="39"/>
  <c r="K33" i="39"/>
  <c r="K61" i="39"/>
  <c r="K7" i="39"/>
  <c r="G46" i="38"/>
  <c r="G44" i="38"/>
  <c r="N6" i="38"/>
  <c r="N6" i="37"/>
  <c r="N6" i="39"/>
  <c r="I46" i="38"/>
  <c r="G46" i="37"/>
  <c r="G44" i="37"/>
  <c r="G44" i="39"/>
  <c r="G46" i="39"/>
  <c r="I46" i="39"/>
  <c r="I11" i="38"/>
  <c r="L182" i="36"/>
  <c r="I11" i="37"/>
  <c r="I11" i="39"/>
  <c r="L34" i="39"/>
  <c r="L62" i="39"/>
  <c r="L19" i="39"/>
  <c r="O33" i="38"/>
  <c r="O7" i="38"/>
  <c r="O61" i="38"/>
  <c r="H34" i="38"/>
  <c r="H62" i="38"/>
  <c r="H19" i="38"/>
  <c r="E44" i="38"/>
  <c r="E46" i="38"/>
  <c r="K7" i="38"/>
  <c r="K33" i="38"/>
  <c r="K61" i="38"/>
  <c r="E74" i="37"/>
  <c r="E72" i="37"/>
  <c r="G74" i="38"/>
  <c r="G72" i="38"/>
  <c r="M33" i="38"/>
  <c r="M7" i="38"/>
  <c r="M61" i="38"/>
  <c r="H66" i="39"/>
  <c r="H70" i="39" s="1"/>
  <c r="H38" i="39"/>
  <c r="H42" i="39" s="1"/>
  <c r="H15" i="39"/>
  <c r="E44" i="39"/>
  <c r="E46" i="39"/>
  <c r="K7" i="37"/>
  <c r="K33" i="37"/>
  <c r="K61" i="37"/>
  <c r="E44" i="37"/>
  <c r="E46" i="37"/>
  <c r="H34" i="37"/>
  <c r="H62" i="37"/>
  <c r="H19" i="37"/>
  <c r="G74" i="37"/>
  <c r="G72" i="37"/>
  <c r="G72" i="39"/>
  <c r="G74" i="39"/>
  <c r="I74" i="39"/>
  <c r="H66" i="37"/>
  <c r="H70" i="37" s="1"/>
  <c r="H38" i="37"/>
  <c r="H42" i="37" s="1"/>
  <c r="H15" i="37"/>
  <c r="O61" i="37"/>
  <c r="O7" i="37"/>
  <c r="O33" i="37"/>
  <c r="J62" i="39"/>
  <c r="J34" i="39"/>
  <c r="J19" i="39"/>
  <c r="G17" i="37"/>
  <c r="I74" i="37"/>
  <c r="H66" i="38"/>
  <c r="H70" i="38" s="1"/>
  <c r="H38" i="38"/>
  <c r="H42" i="38" s="1"/>
  <c r="H15" i="38"/>
  <c r="E74" i="39"/>
  <c r="E72" i="39"/>
  <c r="J62" i="38"/>
  <c r="J34" i="38"/>
  <c r="J19" i="38"/>
  <c r="O7" i="39"/>
  <c r="O61" i="39"/>
  <c r="O33" i="39"/>
  <c r="E72" i="38"/>
  <c r="E74" i="38"/>
  <c r="L34" i="38"/>
  <c r="L62" i="38"/>
  <c r="L19" i="38"/>
  <c r="G17" i="38"/>
  <c r="M7" i="37"/>
  <c r="M61" i="37"/>
  <c r="M33" i="37"/>
  <c r="M61" i="39"/>
  <c r="M7" i="39"/>
  <c r="M33" i="39"/>
  <c r="H20" i="37" l="1"/>
  <c r="H14" i="55"/>
  <c r="H15" i="55" s="1"/>
  <c r="H75" i="39"/>
  <c r="H72" i="59"/>
  <c r="H74" i="59" s="1"/>
  <c r="H20" i="38"/>
  <c r="H14" i="58"/>
  <c r="H15" i="58" s="1"/>
  <c r="H47" i="37"/>
  <c r="H42" i="55"/>
  <c r="H44" i="55" s="1"/>
  <c r="G20" i="55"/>
  <c r="G17" i="55"/>
  <c r="G79" i="55"/>
  <c r="G76" i="55"/>
  <c r="G79" i="58"/>
  <c r="G76" i="58"/>
  <c r="G49" i="55"/>
  <c r="G46" i="55"/>
  <c r="G49" i="58"/>
  <c r="G46" i="58"/>
  <c r="H47" i="38"/>
  <c r="H42" i="58"/>
  <c r="H44" i="58" s="1"/>
  <c r="H75" i="37"/>
  <c r="H72" i="55"/>
  <c r="H74" i="55" s="1"/>
  <c r="H20" i="39"/>
  <c r="H13" i="59"/>
  <c r="H15" i="59" s="1"/>
  <c r="H75" i="38"/>
  <c r="H72" i="58"/>
  <c r="H74" i="58" s="1"/>
  <c r="H47" i="39"/>
  <c r="H42" i="59"/>
  <c r="H44" i="59" s="1"/>
  <c r="G17" i="58"/>
  <c r="G20" i="58"/>
  <c r="G79" i="59"/>
  <c r="G76" i="59"/>
  <c r="G49" i="59"/>
  <c r="G46" i="59"/>
  <c r="G17" i="59"/>
  <c r="G20" i="59"/>
  <c r="H17" i="39"/>
  <c r="L46" i="38"/>
  <c r="J46" i="38"/>
  <c r="H72" i="37"/>
  <c r="H74" i="37"/>
  <c r="K62" i="39"/>
  <c r="K34" i="39"/>
  <c r="K19" i="39"/>
  <c r="R61" i="37"/>
  <c r="R7" i="37"/>
  <c r="R33" i="37"/>
  <c r="K34" i="38"/>
  <c r="K62" i="38"/>
  <c r="K19" i="38"/>
  <c r="O62" i="38"/>
  <c r="O34" i="38"/>
  <c r="O19" i="38"/>
  <c r="L74" i="39"/>
  <c r="J11" i="39"/>
  <c r="J11" i="38"/>
  <c r="J11" i="37"/>
  <c r="M182" i="36"/>
  <c r="P7" i="39"/>
  <c r="P61" i="39"/>
  <c r="P33" i="39"/>
  <c r="Z175" i="36"/>
  <c r="U6" i="37"/>
  <c r="U6" i="38"/>
  <c r="U6" i="39"/>
  <c r="K34" i="37"/>
  <c r="K62" i="37"/>
  <c r="K19" i="37"/>
  <c r="H74" i="38"/>
  <c r="H72" i="38"/>
  <c r="L46" i="39"/>
  <c r="I38" i="38"/>
  <c r="I42" i="38" s="1"/>
  <c r="I42" i="58" s="1"/>
  <c r="I44" i="58" s="1"/>
  <c r="I15" i="38"/>
  <c r="I14" i="58" s="1"/>
  <c r="I15" i="58" s="1"/>
  <c r="I66" i="38"/>
  <c r="I70" i="38" s="1"/>
  <c r="I72" i="58" s="1"/>
  <c r="I74" i="58" s="1"/>
  <c r="H44" i="39"/>
  <c r="H46" i="39"/>
  <c r="P61" i="37"/>
  <c r="P33" i="37"/>
  <c r="P7" i="37"/>
  <c r="R7" i="39"/>
  <c r="R33" i="39"/>
  <c r="R61" i="39"/>
  <c r="L74" i="37"/>
  <c r="J46" i="39"/>
  <c r="H17" i="38"/>
  <c r="I15" i="37"/>
  <c r="I14" i="55" s="1"/>
  <c r="I15" i="55" s="1"/>
  <c r="I66" i="37"/>
  <c r="I70" i="37" s="1"/>
  <c r="I72" i="55" s="1"/>
  <c r="I74" i="55" s="1"/>
  <c r="I38" i="37"/>
  <c r="I42" i="37" s="1"/>
  <c r="I42" i="55" s="1"/>
  <c r="I44" i="55" s="1"/>
  <c r="N7" i="37"/>
  <c r="N61" i="37"/>
  <c r="N33" i="37"/>
  <c r="J46" i="37"/>
  <c r="Q6" i="39"/>
  <c r="Q6" i="38"/>
  <c r="Q6" i="37"/>
  <c r="O62" i="39"/>
  <c r="O34" i="39"/>
  <c r="O19" i="39"/>
  <c r="J74" i="38"/>
  <c r="J74" i="39"/>
  <c r="H44" i="37"/>
  <c r="H46" i="37"/>
  <c r="M62" i="38"/>
  <c r="M34" i="38"/>
  <c r="M19" i="38"/>
  <c r="N7" i="38"/>
  <c r="N61" i="38"/>
  <c r="N33" i="38"/>
  <c r="H72" i="39"/>
  <c r="H74" i="39"/>
  <c r="S6" i="37"/>
  <c r="X175" i="36"/>
  <c r="V175" i="36"/>
  <c r="S6" i="39"/>
  <c r="S6" i="38"/>
  <c r="M34" i="39"/>
  <c r="M62" i="39"/>
  <c r="M19" i="39"/>
  <c r="M34" i="37"/>
  <c r="M62" i="37"/>
  <c r="M19" i="37"/>
  <c r="L74" i="38"/>
  <c r="O34" i="37"/>
  <c r="O62" i="37"/>
  <c r="O19" i="37"/>
  <c r="H17" i="37"/>
  <c r="H44" i="38"/>
  <c r="H46" i="38"/>
  <c r="I38" i="39"/>
  <c r="I42" i="39" s="1"/>
  <c r="I42" i="59" s="1"/>
  <c r="I44" i="59" s="1"/>
  <c r="I15" i="39"/>
  <c r="I13" i="59" s="1"/>
  <c r="I15" i="59" s="1"/>
  <c r="I66" i="39"/>
  <c r="I70" i="39" s="1"/>
  <c r="I72" i="59" s="1"/>
  <c r="I74" i="59" s="1"/>
  <c r="N61" i="39"/>
  <c r="N33" i="39"/>
  <c r="N7" i="39"/>
  <c r="J74" i="37"/>
  <c r="P61" i="38"/>
  <c r="P7" i="38"/>
  <c r="P33" i="38"/>
  <c r="R7" i="38"/>
  <c r="R33" i="38"/>
  <c r="R61" i="38"/>
  <c r="L46" i="37"/>
  <c r="I79" i="59" l="1"/>
  <c r="I76" i="59"/>
  <c r="I79" i="55"/>
  <c r="I76" i="55"/>
  <c r="H79" i="58"/>
  <c r="H76" i="58"/>
  <c r="H17" i="55"/>
  <c r="H20" i="55"/>
  <c r="I17" i="55"/>
  <c r="I20" i="55"/>
  <c r="I79" i="58"/>
  <c r="I76" i="58"/>
  <c r="H79" i="55"/>
  <c r="H76" i="55"/>
  <c r="H17" i="58"/>
  <c r="H20" i="58"/>
  <c r="I20" i="59"/>
  <c r="I17" i="59"/>
  <c r="I49" i="59"/>
  <c r="I46" i="59"/>
  <c r="I17" i="58"/>
  <c r="I20" i="58"/>
  <c r="H46" i="59"/>
  <c r="H49" i="59"/>
  <c r="H79" i="59"/>
  <c r="H76" i="59"/>
  <c r="I49" i="55"/>
  <c r="I46" i="55"/>
  <c r="I49" i="58"/>
  <c r="I46" i="58"/>
  <c r="H17" i="59"/>
  <c r="H20" i="59"/>
  <c r="H49" i="58"/>
  <c r="H46" i="58"/>
  <c r="H46" i="55"/>
  <c r="H49" i="55"/>
  <c r="M74" i="38"/>
  <c r="N34" i="39"/>
  <c r="N62" i="39"/>
  <c r="N19" i="39"/>
  <c r="I75" i="37"/>
  <c r="I72" i="37"/>
  <c r="I20" i="38"/>
  <c r="I17" i="38"/>
  <c r="K74" i="37"/>
  <c r="J15" i="39"/>
  <c r="J13" i="59" s="1"/>
  <c r="J15" i="59" s="1"/>
  <c r="J66" i="39"/>
  <c r="J70" i="39" s="1"/>
  <c r="J72" i="59" s="1"/>
  <c r="J74" i="59" s="1"/>
  <c r="J38" i="39"/>
  <c r="J42" i="39" s="1"/>
  <c r="J42" i="59" s="1"/>
  <c r="J44" i="59" s="1"/>
  <c r="M74" i="37"/>
  <c r="M74" i="39"/>
  <c r="O46" i="39"/>
  <c r="R62" i="38"/>
  <c r="R34" i="38"/>
  <c r="R19" i="38"/>
  <c r="M46" i="37"/>
  <c r="M46" i="39"/>
  <c r="AA175" i="36"/>
  <c r="Y175" i="36"/>
  <c r="V6" i="39"/>
  <c r="V6" i="37"/>
  <c r="V6" i="38"/>
  <c r="O74" i="39"/>
  <c r="N34" i="37"/>
  <c r="N62" i="37"/>
  <c r="N19" i="37"/>
  <c r="P34" i="37"/>
  <c r="P62" i="37"/>
  <c r="P19" i="37"/>
  <c r="U33" i="39"/>
  <c r="U7" i="39"/>
  <c r="U61" i="39"/>
  <c r="J66" i="37"/>
  <c r="J70" i="37" s="1"/>
  <c r="J72" i="55" s="1"/>
  <c r="J74" i="55" s="1"/>
  <c r="J38" i="37"/>
  <c r="J42" i="37" s="1"/>
  <c r="J42" i="55" s="1"/>
  <c r="J44" i="55" s="1"/>
  <c r="J15" i="37"/>
  <c r="J14" i="55" s="1"/>
  <c r="J15" i="55" s="1"/>
  <c r="O74" i="38"/>
  <c r="K46" i="38"/>
  <c r="P34" i="38"/>
  <c r="P62" i="38"/>
  <c r="P19" i="38"/>
  <c r="I20" i="39"/>
  <c r="I17" i="39"/>
  <c r="O46" i="37"/>
  <c r="S33" i="39"/>
  <c r="S7" i="39"/>
  <c r="S61" i="39"/>
  <c r="N34" i="38"/>
  <c r="N62" i="38"/>
  <c r="N19" i="38"/>
  <c r="Q33" i="38"/>
  <c r="Q61" i="38"/>
  <c r="Q7" i="38"/>
  <c r="U33" i="37"/>
  <c r="U7" i="37"/>
  <c r="U61" i="37"/>
  <c r="P34" i="39"/>
  <c r="P62" i="39"/>
  <c r="P19" i="39"/>
  <c r="R34" i="37"/>
  <c r="R62" i="37"/>
  <c r="R19" i="37"/>
  <c r="K46" i="39"/>
  <c r="I47" i="39"/>
  <c r="I44" i="39"/>
  <c r="T6" i="38"/>
  <c r="T6" i="39"/>
  <c r="T6" i="37"/>
  <c r="Q61" i="39"/>
  <c r="Q33" i="39"/>
  <c r="Q7" i="39"/>
  <c r="I20" i="37"/>
  <c r="I17" i="37"/>
  <c r="R62" i="39"/>
  <c r="R34" i="39"/>
  <c r="R19" i="39"/>
  <c r="I47" i="38"/>
  <c r="I44" i="38"/>
  <c r="K46" i="37"/>
  <c r="X6" i="38"/>
  <c r="X6" i="39"/>
  <c r="X6" i="37"/>
  <c r="K11" i="38"/>
  <c r="N182" i="36"/>
  <c r="K11" i="37"/>
  <c r="K11" i="39"/>
  <c r="O46" i="38"/>
  <c r="K74" i="38"/>
  <c r="K74" i="39"/>
  <c r="I75" i="39"/>
  <c r="I72" i="39"/>
  <c r="O74" i="37"/>
  <c r="S33" i="38"/>
  <c r="S7" i="38"/>
  <c r="S61" i="38"/>
  <c r="S33" i="37"/>
  <c r="S7" i="37"/>
  <c r="S61" i="37"/>
  <c r="M46" i="38"/>
  <c r="Q7" i="37"/>
  <c r="Q33" i="37"/>
  <c r="Q61" i="37"/>
  <c r="I47" i="37"/>
  <c r="I44" i="37"/>
  <c r="I75" i="38"/>
  <c r="I72" i="38"/>
  <c r="U7" i="38"/>
  <c r="U33" i="38"/>
  <c r="U61" i="38"/>
  <c r="J66" i="38"/>
  <c r="J70" i="38" s="1"/>
  <c r="J72" i="58" s="1"/>
  <c r="J74" i="58" s="1"/>
  <c r="J38" i="38"/>
  <c r="J42" i="38" s="1"/>
  <c r="J42" i="58" s="1"/>
  <c r="J44" i="58" s="1"/>
  <c r="J15" i="38"/>
  <c r="J14" i="58" s="1"/>
  <c r="J15" i="58" s="1"/>
  <c r="J49" i="58" l="1"/>
  <c r="J46" i="58"/>
  <c r="J49" i="55"/>
  <c r="J46" i="55"/>
  <c r="J79" i="58"/>
  <c r="J76" i="58"/>
  <c r="J79" i="55"/>
  <c r="J76" i="55"/>
  <c r="J49" i="59"/>
  <c r="J46" i="59"/>
  <c r="J79" i="59"/>
  <c r="J76" i="59"/>
  <c r="J17" i="58"/>
  <c r="J20" i="58"/>
  <c r="J17" i="55"/>
  <c r="J20" i="55"/>
  <c r="J20" i="59"/>
  <c r="J17" i="59"/>
  <c r="U34" i="38"/>
  <c r="U62" i="38"/>
  <c r="U19" i="38"/>
  <c r="X7" i="38"/>
  <c r="X33" i="38"/>
  <c r="X61" i="38"/>
  <c r="R74" i="39"/>
  <c r="P46" i="39"/>
  <c r="S34" i="39"/>
  <c r="S62" i="39"/>
  <c r="S19" i="39"/>
  <c r="P74" i="38"/>
  <c r="J75" i="37"/>
  <c r="J72" i="37"/>
  <c r="V7" i="39"/>
  <c r="V61" i="39"/>
  <c r="V33" i="39"/>
  <c r="N74" i="39"/>
  <c r="J75" i="38"/>
  <c r="J72" i="38"/>
  <c r="K38" i="38"/>
  <c r="K42" i="38" s="1"/>
  <c r="K42" i="58" s="1"/>
  <c r="K44" i="58" s="1"/>
  <c r="K66" i="38"/>
  <c r="K70" i="38" s="1"/>
  <c r="K72" i="58" s="1"/>
  <c r="K74" i="58" s="1"/>
  <c r="K15" i="38"/>
  <c r="K14" i="58" s="1"/>
  <c r="K15" i="58" s="1"/>
  <c r="N74" i="38"/>
  <c r="P46" i="38"/>
  <c r="W6" i="37"/>
  <c r="W6" i="39"/>
  <c r="W6" i="38"/>
  <c r="R46" i="38"/>
  <c r="J47" i="39"/>
  <c r="J44" i="39"/>
  <c r="N46" i="39"/>
  <c r="T33" i="38"/>
  <c r="T7" i="38"/>
  <c r="T61" i="38"/>
  <c r="Q34" i="38"/>
  <c r="Q62" i="38"/>
  <c r="Q19" i="38"/>
  <c r="S34" i="38"/>
  <c r="S62" i="38"/>
  <c r="S19" i="38"/>
  <c r="K38" i="39"/>
  <c r="K42" i="39" s="1"/>
  <c r="K42" i="59" s="1"/>
  <c r="K44" i="59" s="1"/>
  <c r="K66" i="39"/>
  <c r="K70" i="39" s="1"/>
  <c r="K72" i="59" s="1"/>
  <c r="K74" i="59" s="1"/>
  <c r="K15" i="39"/>
  <c r="K13" i="59" s="1"/>
  <c r="K15" i="59" s="1"/>
  <c r="X61" i="37"/>
  <c r="X7" i="37"/>
  <c r="X33" i="37"/>
  <c r="T33" i="37"/>
  <c r="T61" i="37"/>
  <c r="T7" i="37"/>
  <c r="U34" i="37"/>
  <c r="U62" i="37"/>
  <c r="U19" i="37"/>
  <c r="N46" i="38"/>
  <c r="J20" i="37"/>
  <c r="J17" i="37"/>
  <c r="U34" i="39"/>
  <c r="U62" i="39"/>
  <c r="U19" i="39"/>
  <c r="P74" i="37"/>
  <c r="N74" i="37"/>
  <c r="V61" i="38"/>
  <c r="V33" i="38"/>
  <c r="V7" i="38"/>
  <c r="AB175" i="36"/>
  <c r="Y6" i="37"/>
  <c r="Y6" i="39"/>
  <c r="Y6" i="38"/>
  <c r="R74" i="38"/>
  <c r="J75" i="39"/>
  <c r="J72" i="39"/>
  <c r="J47" i="38"/>
  <c r="J44" i="38"/>
  <c r="L11" i="38"/>
  <c r="L11" i="39"/>
  <c r="O182" i="36"/>
  <c r="L11" i="37"/>
  <c r="R46" i="37"/>
  <c r="J20" i="38"/>
  <c r="J17" i="38"/>
  <c r="Q34" i="37"/>
  <c r="Q62" i="37"/>
  <c r="Q19" i="37"/>
  <c r="S62" i="37"/>
  <c r="S34" i="37"/>
  <c r="S19" i="37"/>
  <c r="K38" i="37"/>
  <c r="K42" i="37" s="1"/>
  <c r="K42" i="55" s="1"/>
  <c r="K44" i="55" s="1"/>
  <c r="K66" i="37"/>
  <c r="K70" i="37" s="1"/>
  <c r="K72" i="55" s="1"/>
  <c r="K74" i="55" s="1"/>
  <c r="K15" i="37"/>
  <c r="K14" i="55" s="1"/>
  <c r="K15" i="55" s="1"/>
  <c r="X7" i="39"/>
  <c r="X61" i="39"/>
  <c r="X33" i="39"/>
  <c r="R46" i="39"/>
  <c r="Q62" i="39"/>
  <c r="Q34" i="39"/>
  <c r="Q19" i="39"/>
  <c r="T7" i="39"/>
  <c r="T61" i="39"/>
  <c r="T33" i="39"/>
  <c r="R74" i="37"/>
  <c r="P74" i="39"/>
  <c r="J47" i="37"/>
  <c r="J44" i="37"/>
  <c r="P46" i="37"/>
  <c r="N46" i="37"/>
  <c r="V33" i="37"/>
  <c r="V61" i="37"/>
  <c r="V7" i="37"/>
  <c r="J20" i="39"/>
  <c r="J17" i="39"/>
  <c r="K46" i="59" l="1"/>
  <c r="K49" i="59"/>
  <c r="K76" i="58"/>
  <c r="K79" i="58"/>
  <c r="K76" i="55"/>
  <c r="K79" i="55"/>
  <c r="K17" i="59"/>
  <c r="K20" i="59"/>
  <c r="K20" i="55"/>
  <c r="K17" i="55"/>
  <c r="K49" i="58"/>
  <c r="K46" i="58"/>
  <c r="K46" i="55"/>
  <c r="K49" i="55"/>
  <c r="K76" i="59"/>
  <c r="K79" i="59"/>
  <c r="K17" i="58"/>
  <c r="K20" i="58"/>
  <c r="T34" i="39"/>
  <c r="T62" i="39"/>
  <c r="T19" i="39"/>
  <c r="Y33" i="39"/>
  <c r="Y7" i="39"/>
  <c r="Y61" i="39"/>
  <c r="U74" i="39"/>
  <c r="K20" i="39"/>
  <c r="K17" i="39"/>
  <c r="W33" i="38"/>
  <c r="W7" i="38"/>
  <c r="W61" i="38"/>
  <c r="S46" i="39"/>
  <c r="V62" i="37"/>
  <c r="V34" i="37"/>
  <c r="V19" i="37"/>
  <c r="X34" i="39"/>
  <c r="X62" i="39"/>
  <c r="X19" i="39"/>
  <c r="L38" i="37"/>
  <c r="L42" i="37" s="1"/>
  <c r="L42" i="55" s="1"/>
  <c r="L44" i="55" s="1"/>
  <c r="L15" i="37"/>
  <c r="L14" i="55" s="1"/>
  <c r="L15" i="55" s="1"/>
  <c r="L66" i="37"/>
  <c r="L70" i="37" s="1"/>
  <c r="L72" i="55" s="1"/>
  <c r="L74" i="55" s="1"/>
  <c r="Y33" i="37"/>
  <c r="Y7" i="37"/>
  <c r="Y61" i="37"/>
  <c r="U46" i="39"/>
  <c r="U46" i="37"/>
  <c r="K75" i="39"/>
  <c r="K72" i="39"/>
  <c r="S74" i="38"/>
  <c r="Q74" i="38"/>
  <c r="W61" i="39"/>
  <c r="W7" i="39"/>
  <c r="W33" i="39"/>
  <c r="K47" i="38"/>
  <c r="K44" i="38"/>
  <c r="Q74" i="39"/>
  <c r="S74" i="37"/>
  <c r="T34" i="38"/>
  <c r="T62" i="38"/>
  <c r="T19" i="38"/>
  <c r="K75" i="38"/>
  <c r="K72" i="38"/>
  <c r="V62" i="39"/>
  <c r="V34" i="39"/>
  <c r="V19" i="39"/>
  <c r="K20" i="37"/>
  <c r="K17" i="37"/>
  <c r="M11" i="39"/>
  <c r="P182" i="36"/>
  <c r="M11" i="38"/>
  <c r="M11" i="37"/>
  <c r="Z6" i="38"/>
  <c r="Z6" i="39"/>
  <c r="Z6" i="37"/>
  <c r="AC175" i="36"/>
  <c r="T62" i="37"/>
  <c r="T34" i="37"/>
  <c r="T19" i="37"/>
  <c r="X34" i="37"/>
  <c r="X62" i="37"/>
  <c r="X19" i="37"/>
  <c r="K47" i="39"/>
  <c r="K44" i="39"/>
  <c r="S46" i="38"/>
  <c r="Q46" i="38"/>
  <c r="W61" i="37"/>
  <c r="W7" i="37"/>
  <c r="W33" i="37"/>
  <c r="U74" i="38"/>
  <c r="K47" i="37"/>
  <c r="K44" i="37"/>
  <c r="Q46" i="37"/>
  <c r="L66" i="38"/>
  <c r="L70" i="38" s="1"/>
  <c r="L72" i="58" s="1"/>
  <c r="L74" i="58" s="1"/>
  <c r="L38" i="38"/>
  <c r="L42" i="38" s="1"/>
  <c r="L42" i="58" s="1"/>
  <c r="L44" i="58" s="1"/>
  <c r="L15" i="38"/>
  <c r="L14" i="58" s="1"/>
  <c r="L15" i="58" s="1"/>
  <c r="U74" i="37"/>
  <c r="Q46" i="39"/>
  <c r="K75" i="37"/>
  <c r="K72" i="37"/>
  <c r="S46" i="37"/>
  <c r="Q74" i="37"/>
  <c r="L66" i="39"/>
  <c r="L70" i="39" s="1"/>
  <c r="L72" i="59" s="1"/>
  <c r="L74" i="59" s="1"/>
  <c r="L38" i="39"/>
  <c r="L42" i="39" s="1"/>
  <c r="L42" i="59" s="1"/>
  <c r="L44" i="59" s="1"/>
  <c r="L15" i="39"/>
  <c r="L13" i="59" s="1"/>
  <c r="L15" i="59" s="1"/>
  <c r="Y33" i="38"/>
  <c r="Y7" i="38"/>
  <c r="Y61" i="38"/>
  <c r="V62" i="38"/>
  <c r="V34" i="38"/>
  <c r="V19" i="38"/>
  <c r="K20" i="38"/>
  <c r="K17" i="38"/>
  <c r="S74" i="39"/>
  <c r="X34" i="38"/>
  <c r="X62" i="38"/>
  <c r="X19" i="38"/>
  <c r="U46" i="38"/>
  <c r="L20" i="55" l="1"/>
  <c r="L17" i="55"/>
  <c r="L20" i="59"/>
  <c r="L17" i="59"/>
  <c r="L46" i="59"/>
  <c r="L49" i="59"/>
  <c r="L20" i="58"/>
  <c r="L17" i="58"/>
  <c r="L46" i="55"/>
  <c r="L49" i="55"/>
  <c r="L79" i="58"/>
  <c r="L76" i="58"/>
  <c r="L79" i="55"/>
  <c r="L76" i="55"/>
  <c r="L79" i="59"/>
  <c r="L76" i="59"/>
  <c r="L49" i="58"/>
  <c r="L46" i="58"/>
  <c r="V74" i="38"/>
  <c r="M15" i="38"/>
  <c r="M14" i="58" s="1"/>
  <c r="M15" i="58" s="1"/>
  <c r="M66" i="38"/>
  <c r="M70" i="38" s="1"/>
  <c r="M72" i="58" s="1"/>
  <c r="M74" i="58" s="1"/>
  <c r="M38" i="38"/>
  <c r="M42" i="38" s="1"/>
  <c r="M42" i="58" s="1"/>
  <c r="M44" i="58" s="1"/>
  <c r="V74" i="39"/>
  <c r="L47" i="39"/>
  <c r="L44" i="39"/>
  <c r="L20" i="38"/>
  <c r="L17" i="38"/>
  <c r="X74" i="37"/>
  <c r="T46" i="37"/>
  <c r="Z33" i="39"/>
  <c r="Z7" i="39"/>
  <c r="Z61" i="39"/>
  <c r="N11" i="39"/>
  <c r="N11" i="38"/>
  <c r="Q182" i="36"/>
  <c r="N11" i="37"/>
  <c r="T74" i="38"/>
  <c r="L75" i="37"/>
  <c r="L72" i="37"/>
  <c r="L20" i="39"/>
  <c r="L17" i="39"/>
  <c r="Y34" i="38"/>
  <c r="Y62" i="38"/>
  <c r="Y19" i="38"/>
  <c r="L75" i="39"/>
  <c r="L72" i="39"/>
  <c r="L47" i="38"/>
  <c r="L44" i="38"/>
  <c r="X46" i="37"/>
  <c r="T74" i="37"/>
  <c r="Z33" i="38"/>
  <c r="Z7" i="38"/>
  <c r="Z61" i="38"/>
  <c r="M15" i="39"/>
  <c r="M13" i="59" s="1"/>
  <c r="M15" i="59" s="1"/>
  <c r="M38" i="39"/>
  <c r="M42" i="39" s="1"/>
  <c r="M42" i="59" s="1"/>
  <c r="M44" i="59" s="1"/>
  <c r="M66" i="39"/>
  <c r="M70" i="39" s="1"/>
  <c r="M72" i="59" s="1"/>
  <c r="M74" i="59" s="1"/>
  <c r="T46" i="38"/>
  <c r="W34" i="39"/>
  <c r="W62" i="39"/>
  <c r="W19" i="39"/>
  <c r="L20" i="37"/>
  <c r="L17" i="37"/>
  <c r="X74" i="39"/>
  <c r="V46" i="37"/>
  <c r="Y62" i="39"/>
  <c r="Y34" i="39"/>
  <c r="Y19" i="39"/>
  <c r="T74" i="39"/>
  <c r="X46" i="38"/>
  <c r="Z7" i="37"/>
  <c r="Z61" i="37"/>
  <c r="Z33" i="37"/>
  <c r="X74" i="38"/>
  <c r="V46" i="38"/>
  <c r="L75" i="38"/>
  <c r="L72" i="38"/>
  <c r="W34" i="37"/>
  <c r="W62" i="37"/>
  <c r="W19" i="37"/>
  <c r="AA6" i="39"/>
  <c r="AA6" i="38"/>
  <c r="AA6" i="37"/>
  <c r="M15" i="37"/>
  <c r="M14" i="55" s="1"/>
  <c r="M15" i="55" s="1"/>
  <c r="M66" i="37"/>
  <c r="M70" i="37" s="1"/>
  <c r="M72" i="55" s="1"/>
  <c r="M74" i="55" s="1"/>
  <c r="M38" i="37"/>
  <c r="M42" i="37" s="1"/>
  <c r="M42" i="55" s="1"/>
  <c r="M44" i="55" s="1"/>
  <c r="V46" i="39"/>
  <c r="Y34" i="37"/>
  <c r="Y62" i="37"/>
  <c r="Y19" i="37"/>
  <c r="L47" i="37"/>
  <c r="L44" i="37"/>
  <c r="X46" i="39"/>
  <c r="V74" i="37"/>
  <c r="W62" i="38"/>
  <c r="W34" i="38"/>
  <c r="W19" i="38"/>
  <c r="T46" i="39"/>
  <c r="M49" i="59" l="1"/>
  <c r="M46" i="59"/>
  <c r="M20" i="55"/>
  <c r="M17" i="55"/>
  <c r="M20" i="59"/>
  <c r="M17" i="59"/>
  <c r="M49" i="58"/>
  <c r="M46" i="58"/>
  <c r="M79" i="55"/>
  <c r="M76" i="55"/>
  <c r="M79" i="59"/>
  <c r="M76" i="59"/>
  <c r="M17" i="58"/>
  <c r="M20" i="58"/>
  <c r="M49" i="55"/>
  <c r="M46" i="55"/>
  <c r="M76" i="58"/>
  <c r="M79" i="58"/>
  <c r="M75" i="37"/>
  <c r="M72" i="37"/>
  <c r="W46" i="37"/>
  <c r="Y46" i="39"/>
  <c r="N38" i="38"/>
  <c r="N42" i="38" s="1"/>
  <c r="N42" i="58" s="1"/>
  <c r="N44" i="58" s="1"/>
  <c r="N66" i="38"/>
  <c r="N70" i="38" s="1"/>
  <c r="N72" i="58" s="1"/>
  <c r="N74" i="58" s="1"/>
  <c r="N15" i="38"/>
  <c r="N14" i="58" s="1"/>
  <c r="N15" i="58" s="1"/>
  <c r="W46" i="38"/>
  <c r="M20" i="37"/>
  <c r="M17" i="37"/>
  <c r="Z34" i="37"/>
  <c r="Z62" i="37"/>
  <c r="Z19" i="37"/>
  <c r="Y74" i="39"/>
  <c r="N15" i="39"/>
  <c r="N13" i="59" s="1"/>
  <c r="N15" i="59" s="1"/>
  <c r="N66" i="39"/>
  <c r="N70" i="39" s="1"/>
  <c r="N72" i="59" s="1"/>
  <c r="N74" i="59" s="1"/>
  <c r="N38" i="39"/>
  <c r="N42" i="39" s="1"/>
  <c r="N42" i="59" s="1"/>
  <c r="N44" i="59" s="1"/>
  <c r="M20" i="38"/>
  <c r="M17" i="38"/>
  <c r="Y46" i="37"/>
  <c r="W74" i="38"/>
  <c r="AA33" i="37"/>
  <c r="AA61" i="37"/>
  <c r="AA7" i="37"/>
  <c r="W74" i="39"/>
  <c r="M75" i="39"/>
  <c r="M72" i="39"/>
  <c r="Z34" i="38"/>
  <c r="Z62" i="38"/>
  <c r="Z19" i="38"/>
  <c r="Y74" i="38"/>
  <c r="N38" i="37"/>
  <c r="N42" i="37" s="1"/>
  <c r="N42" i="55" s="1"/>
  <c r="N44" i="55" s="1"/>
  <c r="N15" i="37"/>
  <c r="N14" i="55" s="1"/>
  <c r="N15" i="55" s="1"/>
  <c r="N66" i="37"/>
  <c r="N70" i="37" s="1"/>
  <c r="N72" i="55" s="1"/>
  <c r="N74" i="55" s="1"/>
  <c r="AA61" i="39"/>
  <c r="AA7" i="39"/>
  <c r="AA33" i="39"/>
  <c r="M20" i="39"/>
  <c r="M17" i="39"/>
  <c r="M75" i="38"/>
  <c r="M72" i="38"/>
  <c r="Y74" i="37"/>
  <c r="M47" i="37"/>
  <c r="M44" i="37"/>
  <c r="AA7" i="38"/>
  <c r="AA33" i="38"/>
  <c r="AA61" i="38"/>
  <c r="W74" i="37"/>
  <c r="W46" i="39"/>
  <c r="M47" i="39"/>
  <c r="M44" i="39"/>
  <c r="Y46" i="38"/>
  <c r="O11" i="38"/>
  <c r="O11" i="39"/>
  <c r="R182" i="36"/>
  <c r="O11" i="37"/>
  <c r="Z34" i="39"/>
  <c r="Z62" i="39"/>
  <c r="Z19" i="39"/>
  <c r="M47" i="38"/>
  <c r="M44" i="38"/>
  <c r="N76" i="58" l="1"/>
  <c r="N79" i="58"/>
  <c r="N20" i="55"/>
  <c r="N17" i="55"/>
  <c r="N49" i="59"/>
  <c r="N46" i="59"/>
  <c r="N49" i="58"/>
  <c r="N46" i="58"/>
  <c r="N49" i="55"/>
  <c r="N46" i="55"/>
  <c r="N76" i="59"/>
  <c r="N79" i="59"/>
  <c r="N79" i="55"/>
  <c r="N76" i="55"/>
  <c r="N20" i="59"/>
  <c r="N17" i="59"/>
  <c r="N20" i="58"/>
  <c r="N17" i="58"/>
  <c r="O38" i="39"/>
  <c r="O42" i="39" s="1"/>
  <c r="O42" i="59" s="1"/>
  <c r="O44" i="59" s="1"/>
  <c r="O66" i="39"/>
  <c r="O70" i="39" s="1"/>
  <c r="O72" i="59" s="1"/>
  <c r="O74" i="59" s="1"/>
  <c r="O15" i="39"/>
  <c r="O13" i="59" s="1"/>
  <c r="O15" i="59" s="1"/>
  <c r="AA34" i="38"/>
  <c r="AA62" i="38"/>
  <c r="AA19" i="38"/>
  <c r="AB19" i="38" s="1"/>
  <c r="Z46" i="39"/>
  <c r="O15" i="38"/>
  <c r="O14" i="58" s="1"/>
  <c r="O15" i="58" s="1"/>
  <c r="O66" i="38"/>
  <c r="O70" i="38" s="1"/>
  <c r="O72" i="58" s="1"/>
  <c r="O74" i="58" s="1"/>
  <c r="O38" i="38"/>
  <c r="O42" i="38" s="1"/>
  <c r="O42" i="58" s="1"/>
  <c r="O44" i="58" s="1"/>
  <c r="N20" i="37"/>
  <c r="N17" i="37"/>
  <c r="AA34" i="37"/>
  <c r="AA62" i="37"/>
  <c r="AA19" i="37"/>
  <c r="AB19" i="37" s="1"/>
  <c r="Z74" i="37"/>
  <c r="N47" i="38"/>
  <c r="N44" i="38"/>
  <c r="S182" i="36"/>
  <c r="P11" i="38"/>
  <c r="P11" i="39"/>
  <c r="P11" i="37"/>
  <c r="Z74" i="39"/>
  <c r="N75" i="37"/>
  <c r="N72" i="37"/>
  <c r="Z46" i="38"/>
  <c r="N20" i="39"/>
  <c r="N17" i="39"/>
  <c r="N75" i="38"/>
  <c r="N72" i="38"/>
  <c r="O38" i="37"/>
  <c r="O42" i="37" s="1"/>
  <c r="O42" i="55" s="1"/>
  <c r="O44" i="55" s="1"/>
  <c r="O15" i="37"/>
  <c r="O14" i="55" s="1"/>
  <c r="O15" i="55" s="1"/>
  <c r="O66" i="37"/>
  <c r="O70" i="37" s="1"/>
  <c r="O72" i="55" s="1"/>
  <c r="O74" i="55" s="1"/>
  <c r="AA34" i="39"/>
  <c r="AA62" i="39"/>
  <c r="AA19" i="39"/>
  <c r="AB19" i="39" s="1"/>
  <c r="N47" i="37"/>
  <c r="N44" i="37"/>
  <c r="N47" i="39"/>
  <c r="N44" i="39"/>
  <c r="Z46" i="37"/>
  <c r="Z74" i="38"/>
  <c r="N75" i="39"/>
  <c r="N72" i="39"/>
  <c r="N20" i="38"/>
  <c r="N17" i="38"/>
  <c r="O49" i="58" l="1"/>
  <c r="O46" i="58"/>
  <c r="O79" i="59"/>
  <c r="O76" i="59"/>
  <c r="O79" i="55"/>
  <c r="O76" i="55"/>
  <c r="O79" i="58"/>
  <c r="O76" i="58"/>
  <c r="O49" i="59"/>
  <c r="O46" i="59"/>
  <c r="O20" i="55"/>
  <c r="O17" i="55"/>
  <c r="O20" i="58"/>
  <c r="O17" i="58"/>
  <c r="O49" i="55"/>
  <c r="O46" i="55"/>
  <c r="O20" i="59"/>
  <c r="O17" i="59"/>
  <c r="AA74" i="39"/>
  <c r="AB74" i="39" s="1"/>
  <c r="AA46" i="39"/>
  <c r="AB46" i="39" s="1"/>
  <c r="P38" i="38"/>
  <c r="P42" i="38" s="1"/>
  <c r="P42" i="58" s="1"/>
  <c r="P44" i="58" s="1"/>
  <c r="P15" i="38"/>
  <c r="P14" i="58" s="1"/>
  <c r="P15" i="58" s="1"/>
  <c r="P66" i="38"/>
  <c r="P70" i="38" s="1"/>
  <c r="P72" i="58" s="1"/>
  <c r="P74" i="58" s="1"/>
  <c r="AA74" i="37"/>
  <c r="AB74" i="37" s="1"/>
  <c r="O47" i="38"/>
  <c r="O44" i="38"/>
  <c r="AA46" i="38"/>
  <c r="AB46" i="38" s="1"/>
  <c r="O75" i="37"/>
  <c r="O72" i="37"/>
  <c r="T182" i="36"/>
  <c r="Q11" i="37"/>
  <c r="Q11" i="39"/>
  <c r="Q11" i="38"/>
  <c r="AA46" i="37"/>
  <c r="AB46" i="37" s="1"/>
  <c r="O75" i="38"/>
  <c r="O72" i="38"/>
  <c r="O20" i="39"/>
  <c r="O17" i="39"/>
  <c r="O20" i="37"/>
  <c r="O17" i="37"/>
  <c r="P38" i="37"/>
  <c r="P42" i="37" s="1"/>
  <c r="P42" i="55" s="1"/>
  <c r="P44" i="55" s="1"/>
  <c r="P15" i="37"/>
  <c r="P14" i="55" s="1"/>
  <c r="P15" i="55" s="1"/>
  <c r="P66" i="37"/>
  <c r="P70" i="37" s="1"/>
  <c r="P72" i="55" s="1"/>
  <c r="P74" i="55" s="1"/>
  <c r="O20" i="38"/>
  <c r="O17" i="38"/>
  <c r="O75" i="39"/>
  <c r="O72" i="39"/>
  <c r="O47" i="37"/>
  <c r="O44" i="37"/>
  <c r="P38" i="39"/>
  <c r="P42" i="39" s="1"/>
  <c r="P42" i="59" s="1"/>
  <c r="P44" i="59" s="1"/>
  <c r="P66" i="39"/>
  <c r="P70" i="39" s="1"/>
  <c r="P72" i="59" s="1"/>
  <c r="P74" i="59" s="1"/>
  <c r="P15" i="39"/>
  <c r="P13" i="59" s="1"/>
  <c r="P15" i="59" s="1"/>
  <c r="AA74" i="38"/>
  <c r="AB74" i="38" s="1"/>
  <c r="O47" i="39"/>
  <c r="O44" i="39"/>
  <c r="P20" i="59" l="1"/>
  <c r="P17" i="59"/>
  <c r="P79" i="55"/>
  <c r="P76" i="55"/>
  <c r="P79" i="58"/>
  <c r="P76" i="58"/>
  <c r="P79" i="59"/>
  <c r="P76" i="59"/>
  <c r="P46" i="59"/>
  <c r="P49" i="59"/>
  <c r="P17" i="55"/>
  <c r="P20" i="55"/>
  <c r="P17" i="58"/>
  <c r="P20" i="58"/>
  <c r="P49" i="55"/>
  <c r="P46" i="55"/>
  <c r="P49" i="58"/>
  <c r="P46" i="58"/>
  <c r="P47" i="39"/>
  <c r="P44" i="39"/>
  <c r="P47" i="37"/>
  <c r="P44" i="37"/>
  <c r="R11" i="38"/>
  <c r="R11" i="39"/>
  <c r="R11" i="37"/>
  <c r="U182" i="36"/>
  <c r="Q66" i="38"/>
  <c r="Q70" i="38" s="1"/>
  <c r="Q72" i="58" s="1"/>
  <c r="Q74" i="58" s="1"/>
  <c r="Q38" i="38"/>
  <c r="Q42" i="38" s="1"/>
  <c r="Q42" i="58" s="1"/>
  <c r="Q44" i="58" s="1"/>
  <c r="Q15" i="38"/>
  <c r="Q14" i="58" s="1"/>
  <c r="Q15" i="58" s="1"/>
  <c r="P75" i="38"/>
  <c r="P72" i="38"/>
  <c r="P20" i="39"/>
  <c r="P17" i="39"/>
  <c r="P75" i="39"/>
  <c r="P72" i="39"/>
  <c r="P75" i="37"/>
  <c r="P72" i="37"/>
  <c r="Q15" i="39"/>
  <c r="Q13" i="59" s="1"/>
  <c r="Q15" i="59" s="1"/>
  <c r="Q38" i="39"/>
  <c r="Q42" i="39" s="1"/>
  <c r="Q42" i="59" s="1"/>
  <c r="Q44" i="59" s="1"/>
  <c r="Q66" i="39"/>
  <c r="Q70" i="39" s="1"/>
  <c r="Q72" i="59" s="1"/>
  <c r="Q74" i="59" s="1"/>
  <c r="P20" i="38"/>
  <c r="P17" i="38"/>
  <c r="P20" i="37"/>
  <c r="P17" i="37"/>
  <c r="Q66" i="37"/>
  <c r="Q70" i="37" s="1"/>
  <c r="Q72" i="55" s="1"/>
  <c r="Q74" i="55" s="1"/>
  <c r="Q38" i="37"/>
  <c r="Q42" i="37" s="1"/>
  <c r="Q42" i="55" s="1"/>
  <c r="Q44" i="55" s="1"/>
  <c r="Q15" i="37"/>
  <c r="Q14" i="55" s="1"/>
  <c r="Q15" i="55" s="1"/>
  <c r="P47" i="38"/>
  <c r="P44" i="38"/>
  <c r="Q76" i="59" l="1"/>
  <c r="Q79" i="59"/>
  <c r="Q49" i="58"/>
  <c r="Q46" i="58"/>
  <c r="Q49" i="59"/>
  <c r="Q46" i="59"/>
  <c r="Q76" i="58"/>
  <c r="Q79" i="58"/>
  <c r="Q49" i="55"/>
  <c r="Q46" i="55"/>
  <c r="Q20" i="59"/>
  <c r="Q17" i="59"/>
  <c r="Q17" i="55"/>
  <c r="Q20" i="55"/>
  <c r="Q79" i="55"/>
  <c r="Q76" i="55"/>
  <c r="Q17" i="58"/>
  <c r="Q20" i="58"/>
  <c r="Q20" i="37"/>
  <c r="Q17" i="37"/>
  <c r="Q47" i="37"/>
  <c r="Q44" i="37"/>
  <c r="Q20" i="39"/>
  <c r="Q17" i="39"/>
  <c r="V182" i="36"/>
  <c r="S11" i="39"/>
  <c r="S11" i="38"/>
  <c r="S11" i="37"/>
  <c r="Q20" i="38"/>
  <c r="Q17" i="38"/>
  <c r="R66" i="37"/>
  <c r="R70" i="37" s="1"/>
  <c r="R72" i="55" s="1"/>
  <c r="R74" i="55" s="1"/>
  <c r="R38" i="37"/>
  <c r="R42" i="37" s="1"/>
  <c r="R42" i="55" s="1"/>
  <c r="R44" i="55" s="1"/>
  <c r="R15" i="37"/>
  <c r="R14" i="55" s="1"/>
  <c r="R15" i="55" s="1"/>
  <c r="Q75" i="39"/>
  <c r="Q72" i="39"/>
  <c r="Q47" i="38"/>
  <c r="Q44" i="38"/>
  <c r="R15" i="39"/>
  <c r="R13" i="59" s="1"/>
  <c r="R15" i="59" s="1"/>
  <c r="R38" i="39"/>
  <c r="R42" i="39" s="1"/>
  <c r="R42" i="59" s="1"/>
  <c r="R44" i="59" s="1"/>
  <c r="R66" i="39"/>
  <c r="R70" i="39" s="1"/>
  <c r="R72" i="59" s="1"/>
  <c r="R74" i="59" s="1"/>
  <c r="Q75" i="37"/>
  <c r="Q72" i="37"/>
  <c r="Q47" i="39"/>
  <c r="Q44" i="39"/>
  <c r="Q75" i="38"/>
  <c r="Q72" i="38"/>
  <c r="R15" i="38"/>
  <c r="R14" i="58" s="1"/>
  <c r="R15" i="58" s="1"/>
  <c r="R38" i="38"/>
  <c r="R42" i="38" s="1"/>
  <c r="R42" i="58" s="1"/>
  <c r="R44" i="58" s="1"/>
  <c r="R66" i="38"/>
  <c r="R70" i="38" s="1"/>
  <c r="R72" i="58" s="1"/>
  <c r="R74" i="58" s="1"/>
  <c r="R79" i="58" l="1"/>
  <c r="R76" i="58"/>
  <c r="R46" i="58"/>
  <c r="R49" i="58"/>
  <c r="R79" i="59"/>
  <c r="R76" i="59"/>
  <c r="R49" i="55"/>
  <c r="R46" i="55"/>
  <c r="R49" i="59"/>
  <c r="R46" i="59"/>
  <c r="R76" i="55"/>
  <c r="R79" i="55"/>
  <c r="R20" i="59"/>
  <c r="R17" i="59"/>
  <c r="R17" i="58"/>
  <c r="R20" i="58"/>
  <c r="R17" i="55"/>
  <c r="R20" i="55"/>
  <c r="R75" i="38"/>
  <c r="R72" i="38"/>
  <c r="R20" i="39"/>
  <c r="R17" i="39"/>
  <c r="S38" i="39"/>
  <c r="S42" i="39" s="1"/>
  <c r="S42" i="59" s="1"/>
  <c r="S44" i="59" s="1"/>
  <c r="S15" i="39"/>
  <c r="S13" i="59" s="1"/>
  <c r="S15" i="59" s="1"/>
  <c r="S66" i="39"/>
  <c r="S70" i="39" s="1"/>
  <c r="S72" i="59" s="1"/>
  <c r="S74" i="59" s="1"/>
  <c r="R20" i="37"/>
  <c r="R17" i="37"/>
  <c r="W182" i="36"/>
  <c r="T11" i="37"/>
  <c r="T11" i="39"/>
  <c r="T11" i="38"/>
  <c r="R47" i="38"/>
  <c r="R44" i="38"/>
  <c r="R75" i="39"/>
  <c r="R72" i="39"/>
  <c r="R47" i="37"/>
  <c r="R44" i="37"/>
  <c r="S66" i="37"/>
  <c r="S70" i="37" s="1"/>
  <c r="S72" i="55" s="1"/>
  <c r="S74" i="55" s="1"/>
  <c r="S15" i="37"/>
  <c r="S14" i="55" s="1"/>
  <c r="S15" i="55" s="1"/>
  <c r="S38" i="37"/>
  <c r="S42" i="37" s="1"/>
  <c r="S42" i="55" s="1"/>
  <c r="S44" i="55" s="1"/>
  <c r="R20" i="38"/>
  <c r="R17" i="38"/>
  <c r="R47" i="39"/>
  <c r="R44" i="39"/>
  <c r="R75" i="37"/>
  <c r="R72" i="37"/>
  <c r="S66" i="38"/>
  <c r="S70" i="38" s="1"/>
  <c r="S72" i="58" s="1"/>
  <c r="S74" i="58" s="1"/>
  <c r="S15" i="38"/>
  <c r="S14" i="58" s="1"/>
  <c r="S15" i="58" s="1"/>
  <c r="S38" i="38"/>
  <c r="S42" i="38" s="1"/>
  <c r="S42" i="58" s="1"/>
  <c r="S44" i="58" s="1"/>
  <c r="S17" i="58" l="1"/>
  <c r="S20" i="58"/>
  <c r="S49" i="55"/>
  <c r="S46" i="55"/>
  <c r="S20" i="59"/>
  <c r="S17" i="59"/>
  <c r="S49" i="58"/>
  <c r="S46" i="58"/>
  <c r="S49" i="59"/>
  <c r="S46" i="59"/>
  <c r="S79" i="58"/>
  <c r="S76" i="58"/>
  <c r="S17" i="55"/>
  <c r="S20" i="55"/>
  <c r="S79" i="55"/>
  <c r="S76" i="55"/>
  <c r="S79" i="59"/>
  <c r="S76" i="59"/>
  <c r="S75" i="38"/>
  <c r="S72" i="38"/>
  <c r="S20" i="37"/>
  <c r="S17" i="37"/>
  <c r="S75" i="37"/>
  <c r="S72" i="37"/>
  <c r="T38" i="39"/>
  <c r="T42" i="39" s="1"/>
  <c r="T42" i="59" s="1"/>
  <c r="T44" i="59" s="1"/>
  <c r="T66" i="39"/>
  <c r="T70" i="39" s="1"/>
  <c r="T72" i="59" s="1"/>
  <c r="T74" i="59" s="1"/>
  <c r="T15" i="39"/>
  <c r="T13" i="59" s="1"/>
  <c r="T15" i="59" s="1"/>
  <c r="T38" i="37"/>
  <c r="T42" i="37" s="1"/>
  <c r="T42" i="55" s="1"/>
  <c r="T44" i="55" s="1"/>
  <c r="T66" i="37"/>
  <c r="T70" i="37" s="1"/>
  <c r="T72" i="55" s="1"/>
  <c r="T74" i="55" s="1"/>
  <c r="T15" i="37"/>
  <c r="T14" i="55" s="1"/>
  <c r="T15" i="55" s="1"/>
  <c r="S75" i="39"/>
  <c r="S72" i="39"/>
  <c r="S47" i="38"/>
  <c r="S44" i="38"/>
  <c r="S20" i="38"/>
  <c r="S17" i="38"/>
  <c r="S47" i="37"/>
  <c r="S44" i="37"/>
  <c r="U11" i="38"/>
  <c r="U11" i="39"/>
  <c r="X182" i="36"/>
  <c r="U11" i="37"/>
  <c r="S20" i="39"/>
  <c r="S17" i="39"/>
  <c r="T66" i="38"/>
  <c r="T70" i="38" s="1"/>
  <c r="T72" i="58" s="1"/>
  <c r="T74" i="58" s="1"/>
  <c r="T38" i="38"/>
  <c r="T42" i="38" s="1"/>
  <c r="T42" i="58" s="1"/>
  <c r="T44" i="58" s="1"/>
  <c r="T15" i="38"/>
  <c r="T14" i="58" s="1"/>
  <c r="T15" i="58" s="1"/>
  <c r="S47" i="39"/>
  <c r="S44" i="39"/>
  <c r="T17" i="58" l="1"/>
  <c r="T20" i="58"/>
  <c r="T79" i="55"/>
  <c r="T76" i="55"/>
  <c r="T46" i="55"/>
  <c r="T49" i="55"/>
  <c r="T17" i="59"/>
  <c r="T20" i="59"/>
  <c r="T49" i="58"/>
  <c r="T46" i="58"/>
  <c r="T20" i="55"/>
  <c r="T17" i="55"/>
  <c r="T76" i="59"/>
  <c r="T79" i="59"/>
  <c r="T76" i="58"/>
  <c r="T79" i="58"/>
  <c r="T49" i="59"/>
  <c r="T46" i="59"/>
  <c r="T20" i="38"/>
  <c r="T17" i="38"/>
  <c r="U38" i="38"/>
  <c r="U42" i="38" s="1"/>
  <c r="U42" i="58" s="1"/>
  <c r="U44" i="58" s="1"/>
  <c r="U15" i="38"/>
  <c r="U14" i="58" s="1"/>
  <c r="U15" i="58" s="1"/>
  <c r="U66" i="38"/>
  <c r="U70" i="38" s="1"/>
  <c r="U72" i="58" s="1"/>
  <c r="U74" i="58" s="1"/>
  <c r="T47" i="38"/>
  <c r="T44" i="38"/>
  <c r="U38" i="37"/>
  <c r="U42" i="37" s="1"/>
  <c r="U42" i="55" s="1"/>
  <c r="U44" i="55" s="1"/>
  <c r="U15" i="37"/>
  <c r="U14" i="55" s="1"/>
  <c r="U15" i="55" s="1"/>
  <c r="U66" i="37"/>
  <c r="U70" i="37" s="1"/>
  <c r="U72" i="55" s="1"/>
  <c r="U74" i="55" s="1"/>
  <c r="T20" i="37"/>
  <c r="T17" i="37"/>
  <c r="T75" i="39"/>
  <c r="T72" i="39"/>
  <c r="T75" i="37"/>
  <c r="T72" i="37"/>
  <c r="T47" i="39"/>
  <c r="T44" i="39"/>
  <c r="T75" i="38"/>
  <c r="T72" i="38"/>
  <c r="V11" i="37"/>
  <c r="V11" i="38"/>
  <c r="V11" i="39"/>
  <c r="Y182" i="36"/>
  <c r="U66" i="39"/>
  <c r="U70" i="39" s="1"/>
  <c r="U72" i="59" s="1"/>
  <c r="U74" i="59" s="1"/>
  <c r="U38" i="39"/>
  <c r="U42" i="39" s="1"/>
  <c r="U42" i="59" s="1"/>
  <c r="U44" i="59" s="1"/>
  <c r="U15" i="39"/>
  <c r="U13" i="59" s="1"/>
  <c r="U15" i="59" s="1"/>
  <c r="T47" i="37"/>
  <c r="T44" i="37"/>
  <c r="T20" i="39"/>
  <c r="T17" i="39"/>
  <c r="U46" i="59" l="1"/>
  <c r="U49" i="59"/>
  <c r="U76" i="55"/>
  <c r="U79" i="55"/>
  <c r="U76" i="59"/>
  <c r="U79" i="59"/>
  <c r="U17" i="55"/>
  <c r="U20" i="55"/>
  <c r="U79" i="58"/>
  <c r="U76" i="58"/>
  <c r="U46" i="55"/>
  <c r="U49" i="55"/>
  <c r="U20" i="58"/>
  <c r="U17" i="58"/>
  <c r="U17" i="59"/>
  <c r="U20" i="59"/>
  <c r="U49" i="58"/>
  <c r="U46" i="58"/>
  <c r="V66" i="37"/>
  <c r="V70" i="37" s="1"/>
  <c r="V72" i="55" s="1"/>
  <c r="V74" i="55" s="1"/>
  <c r="V38" i="37"/>
  <c r="V42" i="37" s="1"/>
  <c r="V42" i="55" s="1"/>
  <c r="V44" i="55" s="1"/>
  <c r="V15" i="37"/>
  <c r="V14" i="55" s="1"/>
  <c r="V15" i="55" s="1"/>
  <c r="W11" i="38"/>
  <c r="W11" i="39"/>
  <c r="Z182" i="36"/>
  <c r="W11" i="37"/>
  <c r="U47" i="37"/>
  <c r="U44" i="37"/>
  <c r="U20" i="38"/>
  <c r="U17" i="38"/>
  <c r="V38" i="39"/>
  <c r="V42" i="39" s="1"/>
  <c r="V42" i="59" s="1"/>
  <c r="V44" i="59" s="1"/>
  <c r="V66" i="39"/>
  <c r="V70" i="39" s="1"/>
  <c r="V72" i="59" s="1"/>
  <c r="V74" i="59" s="1"/>
  <c r="V15" i="39"/>
  <c r="V13" i="59" s="1"/>
  <c r="V15" i="59" s="1"/>
  <c r="U47" i="38"/>
  <c r="U44" i="38"/>
  <c r="U20" i="39"/>
  <c r="U17" i="39"/>
  <c r="U47" i="39"/>
  <c r="U44" i="39"/>
  <c r="V38" i="38"/>
  <c r="V42" i="38" s="1"/>
  <c r="V42" i="58" s="1"/>
  <c r="V44" i="58" s="1"/>
  <c r="V15" i="38"/>
  <c r="V14" i="58" s="1"/>
  <c r="V15" i="58" s="1"/>
  <c r="V66" i="38"/>
  <c r="V70" i="38" s="1"/>
  <c r="V72" i="58" s="1"/>
  <c r="V74" i="58" s="1"/>
  <c r="U75" i="37"/>
  <c r="U72" i="37"/>
  <c r="U75" i="39"/>
  <c r="U72" i="39"/>
  <c r="U20" i="37"/>
  <c r="U17" i="37"/>
  <c r="U75" i="38"/>
  <c r="U72" i="38"/>
  <c r="V17" i="58" l="1"/>
  <c r="V20" i="58"/>
  <c r="V17" i="59"/>
  <c r="V20" i="59"/>
  <c r="V46" i="55"/>
  <c r="V49" i="55"/>
  <c r="V49" i="58"/>
  <c r="V46" i="58"/>
  <c r="V76" i="59"/>
  <c r="V79" i="59"/>
  <c r="V79" i="55"/>
  <c r="V76" i="55"/>
  <c r="V49" i="59"/>
  <c r="V46" i="59"/>
  <c r="V76" i="58"/>
  <c r="V79" i="58"/>
  <c r="V17" i="55"/>
  <c r="V20" i="55"/>
  <c r="V47" i="39"/>
  <c r="V44" i="39"/>
  <c r="W15" i="38"/>
  <c r="W14" i="58" s="1"/>
  <c r="W15" i="58" s="1"/>
  <c r="W66" i="38"/>
  <c r="W70" i="38" s="1"/>
  <c r="W72" i="58" s="1"/>
  <c r="W74" i="58" s="1"/>
  <c r="W38" i="38"/>
  <c r="W42" i="38" s="1"/>
  <c r="W42" i="58" s="1"/>
  <c r="W44" i="58" s="1"/>
  <c r="V75" i="38"/>
  <c r="V72" i="38"/>
  <c r="W38" i="37"/>
  <c r="W42" i="37" s="1"/>
  <c r="W42" i="55" s="1"/>
  <c r="W44" i="55" s="1"/>
  <c r="W66" i="37"/>
  <c r="W70" i="37" s="1"/>
  <c r="W72" i="55" s="1"/>
  <c r="W74" i="55" s="1"/>
  <c r="W15" i="37"/>
  <c r="W14" i="55" s="1"/>
  <c r="W15" i="55" s="1"/>
  <c r="V20" i="37"/>
  <c r="V17" i="37"/>
  <c r="V20" i="38"/>
  <c r="V17" i="38"/>
  <c r="V20" i="39"/>
  <c r="V17" i="39"/>
  <c r="X11" i="37"/>
  <c r="X11" i="39"/>
  <c r="X11" i="38"/>
  <c r="AA182" i="36"/>
  <c r="V47" i="37"/>
  <c r="V44" i="37"/>
  <c r="V47" i="38"/>
  <c r="V44" i="38"/>
  <c r="V75" i="39"/>
  <c r="V72" i="39"/>
  <c r="W38" i="39"/>
  <c r="W42" i="39" s="1"/>
  <c r="W42" i="59" s="1"/>
  <c r="W44" i="59" s="1"/>
  <c r="W66" i="39"/>
  <c r="W70" i="39" s="1"/>
  <c r="W72" i="59" s="1"/>
  <c r="W74" i="59" s="1"/>
  <c r="W15" i="39"/>
  <c r="W13" i="59" s="1"/>
  <c r="W15" i="59" s="1"/>
  <c r="V75" i="37"/>
  <c r="V72" i="37"/>
  <c r="W17" i="55" l="1"/>
  <c r="W20" i="55"/>
  <c r="W79" i="55"/>
  <c r="W76" i="55"/>
  <c r="W46" i="58"/>
  <c r="W49" i="58"/>
  <c r="W76" i="59"/>
  <c r="W79" i="59"/>
  <c r="W49" i="55"/>
  <c r="W46" i="55"/>
  <c r="W76" i="58"/>
  <c r="W79" i="58"/>
  <c r="W20" i="59"/>
  <c r="W17" i="59"/>
  <c r="W46" i="59"/>
  <c r="W49" i="59"/>
  <c r="W17" i="58"/>
  <c r="W20" i="58"/>
  <c r="W20" i="39"/>
  <c r="W17" i="39"/>
  <c r="W75" i="39"/>
  <c r="W72" i="39"/>
  <c r="Y11" i="38"/>
  <c r="Y11" i="37"/>
  <c r="AB182" i="36"/>
  <c r="Y11" i="39"/>
  <c r="W47" i="37"/>
  <c r="W44" i="37"/>
  <c r="W75" i="38"/>
  <c r="W72" i="38"/>
  <c r="W47" i="39"/>
  <c r="W44" i="39"/>
  <c r="X15" i="38"/>
  <c r="X14" i="58" s="1"/>
  <c r="X15" i="58" s="1"/>
  <c r="X38" i="38"/>
  <c r="X42" i="38" s="1"/>
  <c r="X42" i="58" s="1"/>
  <c r="X44" i="58" s="1"/>
  <c r="X66" i="38"/>
  <c r="X70" i="38" s="1"/>
  <c r="X72" i="58" s="1"/>
  <c r="X74" i="58" s="1"/>
  <c r="W20" i="38"/>
  <c r="W17" i="38"/>
  <c r="X38" i="39"/>
  <c r="X42" i="39" s="1"/>
  <c r="X42" i="59" s="1"/>
  <c r="X44" i="59" s="1"/>
  <c r="X15" i="39"/>
  <c r="X13" i="59" s="1"/>
  <c r="X15" i="59" s="1"/>
  <c r="X66" i="39"/>
  <c r="X70" i="39" s="1"/>
  <c r="X72" i="59" s="1"/>
  <c r="X74" i="59" s="1"/>
  <c r="W20" i="37"/>
  <c r="W17" i="37"/>
  <c r="X38" i="37"/>
  <c r="X42" i="37" s="1"/>
  <c r="X42" i="55" s="1"/>
  <c r="X44" i="55" s="1"/>
  <c r="X15" i="37"/>
  <c r="X14" i="55" s="1"/>
  <c r="X15" i="55" s="1"/>
  <c r="X66" i="37"/>
  <c r="X70" i="37" s="1"/>
  <c r="X72" i="55" s="1"/>
  <c r="X74" i="55" s="1"/>
  <c r="W75" i="37"/>
  <c r="W72" i="37"/>
  <c r="W47" i="38"/>
  <c r="W44" i="38"/>
  <c r="X20" i="55" l="1"/>
  <c r="X17" i="55"/>
  <c r="X79" i="59"/>
  <c r="X76" i="59"/>
  <c r="X76" i="58"/>
  <c r="X79" i="58"/>
  <c r="X46" i="55"/>
  <c r="X49" i="55"/>
  <c r="X49" i="58"/>
  <c r="X46" i="58"/>
  <c r="X20" i="59"/>
  <c r="X17" i="59"/>
  <c r="X46" i="59"/>
  <c r="X49" i="59"/>
  <c r="X76" i="55"/>
  <c r="X79" i="55"/>
  <c r="X17" i="58"/>
  <c r="X20" i="58"/>
  <c r="X75" i="37"/>
  <c r="X72" i="37"/>
  <c r="X20" i="37"/>
  <c r="X17" i="37"/>
  <c r="X20" i="39"/>
  <c r="X17" i="39"/>
  <c r="X47" i="39"/>
  <c r="X44" i="39"/>
  <c r="X47" i="38"/>
  <c r="X44" i="38"/>
  <c r="Y38" i="39"/>
  <c r="Y42" i="39" s="1"/>
  <c r="Y42" i="59" s="1"/>
  <c r="Y44" i="59" s="1"/>
  <c r="Y15" i="39"/>
  <c r="Y13" i="59" s="1"/>
  <c r="Y15" i="59" s="1"/>
  <c r="Y66" i="39"/>
  <c r="Y70" i="39" s="1"/>
  <c r="Y72" i="59" s="1"/>
  <c r="Y74" i="59" s="1"/>
  <c r="X20" i="38"/>
  <c r="X17" i="38"/>
  <c r="AC182" i="36"/>
  <c r="Z11" i="37"/>
  <c r="Z11" i="38"/>
  <c r="Z11" i="39"/>
  <c r="X75" i="39"/>
  <c r="X72" i="39"/>
  <c r="Y38" i="37"/>
  <c r="Y42" i="37" s="1"/>
  <c r="Y42" i="55" s="1"/>
  <c r="Y44" i="55" s="1"/>
  <c r="Y66" i="37"/>
  <c r="Y70" i="37" s="1"/>
  <c r="Y72" i="55" s="1"/>
  <c r="Y74" i="55" s="1"/>
  <c r="Y15" i="37"/>
  <c r="Y14" i="55" s="1"/>
  <c r="Y15" i="55" s="1"/>
  <c r="X47" i="37"/>
  <c r="X44" i="37"/>
  <c r="X75" i="38"/>
  <c r="X72" i="38"/>
  <c r="Y15" i="38"/>
  <c r="Y14" i="58" s="1"/>
  <c r="Y15" i="58" s="1"/>
  <c r="Y66" i="38"/>
  <c r="Y70" i="38" s="1"/>
  <c r="Y72" i="58" s="1"/>
  <c r="Y74" i="58" s="1"/>
  <c r="Y38" i="38"/>
  <c r="Y42" i="38" s="1"/>
  <c r="Y42" i="58" s="1"/>
  <c r="Y44" i="58" s="1"/>
  <c r="Y49" i="58" l="1"/>
  <c r="Y46" i="58"/>
  <c r="Y76" i="58"/>
  <c r="Y79" i="58"/>
  <c r="Y49" i="55"/>
  <c r="Y46" i="55"/>
  <c r="Y76" i="59"/>
  <c r="Y79" i="59"/>
  <c r="Y17" i="58"/>
  <c r="Y20" i="58"/>
  <c r="Y17" i="55"/>
  <c r="Y20" i="55"/>
  <c r="Y17" i="59"/>
  <c r="Y20" i="59"/>
  <c r="Y79" i="55"/>
  <c r="Y76" i="55"/>
  <c r="Y49" i="59"/>
  <c r="Y46" i="59"/>
  <c r="Y75" i="38"/>
  <c r="Y72" i="38"/>
  <c r="Z38" i="37"/>
  <c r="Z42" i="37" s="1"/>
  <c r="Z42" i="55" s="1"/>
  <c r="Z44" i="55" s="1"/>
  <c r="Z66" i="37"/>
  <c r="Z70" i="37" s="1"/>
  <c r="Z72" i="55" s="1"/>
  <c r="Z74" i="55" s="1"/>
  <c r="Z15" i="37"/>
  <c r="Z14" i="55" s="1"/>
  <c r="Z15" i="55" s="1"/>
  <c r="Y20" i="37"/>
  <c r="Y17" i="37"/>
  <c r="AA11" i="38"/>
  <c r="AA11" i="39"/>
  <c r="AA11" i="37"/>
  <c r="Y20" i="39"/>
  <c r="Y17" i="39"/>
  <c r="Z38" i="39"/>
  <c r="Z42" i="39" s="1"/>
  <c r="Z42" i="59" s="1"/>
  <c r="Z44" i="59" s="1"/>
  <c r="Z66" i="39"/>
  <c r="Z70" i="39" s="1"/>
  <c r="Z72" i="59" s="1"/>
  <c r="Z74" i="59" s="1"/>
  <c r="Z15" i="39"/>
  <c r="Z13" i="59" s="1"/>
  <c r="Z15" i="59" s="1"/>
  <c r="Y47" i="39"/>
  <c r="Y44" i="39"/>
  <c r="Y47" i="38"/>
  <c r="Y44" i="38"/>
  <c r="Y47" i="37"/>
  <c r="Y44" i="37"/>
  <c r="Z38" i="38"/>
  <c r="Z42" i="38" s="1"/>
  <c r="Z42" i="58" s="1"/>
  <c r="Z44" i="58" s="1"/>
  <c r="Z15" i="38"/>
  <c r="Z14" i="58" s="1"/>
  <c r="Z15" i="58" s="1"/>
  <c r="Z66" i="38"/>
  <c r="Z70" i="38" s="1"/>
  <c r="Z72" i="58" s="1"/>
  <c r="Z74" i="58" s="1"/>
  <c r="Y75" i="37"/>
  <c r="Y72" i="37"/>
  <c r="Y20" i="38"/>
  <c r="Y17" i="38"/>
  <c r="Y75" i="39"/>
  <c r="Y72" i="39"/>
  <c r="Z20" i="58" l="1"/>
  <c r="AA20" i="58" s="1"/>
  <c r="N56" i="14" s="1"/>
  <c r="Q56" i="14" s="1"/>
  <c r="Z17" i="58"/>
  <c r="Z49" i="58"/>
  <c r="AA49" i="58" s="1"/>
  <c r="N57" i="14" s="1"/>
  <c r="Q57" i="14" s="1"/>
  <c r="Z46" i="58"/>
  <c r="Z76" i="59"/>
  <c r="Z79" i="59"/>
  <c r="AA79" i="59" s="1"/>
  <c r="I58" i="14" s="1"/>
  <c r="L58" i="14" s="1"/>
  <c r="Z49" i="59"/>
  <c r="AA49" i="59" s="1"/>
  <c r="I57" i="14" s="1"/>
  <c r="L57" i="14" s="1"/>
  <c r="Z46" i="59"/>
  <c r="Z20" i="55"/>
  <c r="AA20" i="55" s="1"/>
  <c r="D56" i="14" s="1"/>
  <c r="G56" i="14" s="1"/>
  <c r="Z17" i="55"/>
  <c r="Z76" i="58"/>
  <c r="Z79" i="58"/>
  <c r="AA79" i="58" s="1"/>
  <c r="N58" i="14" s="1"/>
  <c r="Q58" i="14" s="1"/>
  <c r="Z79" i="55"/>
  <c r="AA79" i="55" s="1"/>
  <c r="D58" i="14" s="1"/>
  <c r="G58" i="14" s="1"/>
  <c r="Z76" i="55"/>
  <c r="Z20" i="59"/>
  <c r="AA20" i="59" s="1"/>
  <c r="I56" i="14" s="1"/>
  <c r="L56" i="14" s="1"/>
  <c r="Z17" i="59"/>
  <c r="Z49" i="55"/>
  <c r="AA49" i="55" s="1"/>
  <c r="D57" i="14" s="1"/>
  <c r="G57" i="14" s="1"/>
  <c r="Z46" i="55"/>
  <c r="Z75" i="38"/>
  <c r="Z72" i="38"/>
  <c r="AA38" i="38"/>
  <c r="AA42" i="38" s="1"/>
  <c r="AA66" i="38"/>
  <c r="AA70" i="38" s="1"/>
  <c r="AA15" i="38"/>
  <c r="Z75" i="37"/>
  <c r="Z72" i="37"/>
  <c r="Z20" i="38"/>
  <c r="Z17" i="38"/>
  <c r="Z20" i="39"/>
  <c r="Z17" i="39"/>
  <c r="Z47" i="37"/>
  <c r="Z44" i="37"/>
  <c r="Z47" i="38"/>
  <c r="Z44" i="38"/>
  <c r="Z75" i="39"/>
  <c r="Z72" i="39"/>
  <c r="AA38" i="37"/>
  <c r="AA42" i="37" s="1"/>
  <c r="AA15" i="37"/>
  <c r="AA66" i="37"/>
  <c r="AA70" i="37" s="1"/>
  <c r="Z47" i="39"/>
  <c r="Z44" i="39"/>
  <c r="AA38" i="39"/>
  <c r="AA42" i="39" s="1"/>
  <c r="AA66" i="39"/>
  <c r="AA70" i="39" s="1"/>
  <c r="AA15" i="39"/>
  <c r="Z20" i="37"/>
  <c r="Z17" i="37"/>
  <c r="B22" i="59" l="1"/>
  <c r="F48" i="14" s="1"/>
  <c r="J56" i="14" s="1"/>
  <c r="B24" i="59"/>
  <c r="L48" i="14" s="1"/>
  <c r="K56" i="14" s="1"/>
  <c r="B53" i="59"/>
  <c r="L49" i="14" s="1"/>
  <c r="K57" i="14" s="1"/>
  <c r="B51" i="59"/>
  <c r="F49" i="14" s="1"/>
  <c r="J57" i="14" s="1"/>
  <c r="B53" i="58"/>
  <c r="N49" i="14" s="1"/>
  <c r="P57" i="14" s="1"/>
  <c r="B51" i="58"/>
  <c r="H49" i="14" s="1"/>
  <c r="O57" i="14" s="1"/>
  <c r="B83" i="58"/>
  <c r="N50" i="14" s="1"/>
  <c r="P58" i="14" s="1"/>
  <c r="B81" i="58"/>
  <c r="H50" i="14" s="1"/>
  <c r="O58" i="14" s="1"/>
  <c r="B51" i="55"/>
  <c r="D49" i="14" s="1"/>
  <c r="E57" i="14" s="1"/>
  <c r="B53" i="55"/>
  <c r="J49" i="14" s="1"/>
  <c r="F57" i="14" s="1"/>
  <c r="B81" i="55"/>
  <c r="D50" i="14" s="1"/>
  <c r="E58" i="14" s="1"/>
  <c r="B83" i="55"/>
  <c r="J50" i="14" s="1"/>
  <c r="F58" i="14" s="1"/>
  <c r="B24" i="55"/>
  <c r="J48" i="14" s="1"/>
  <c r="F56" i="14" s="1"/>
  <c r="B22" i="55"/>
  <c r="D48" i="14" s="1"/>
  <c r="E56" i="14" s="1"/>
  <c r="B22" i="58"/>
  <c r="H48" i="14" s="1"/>
  <c r="O56" i="14" s="1"/>
  <c r="B24" i="58"/>
  <c r="N48" i="14" s="1"/>
  <c r="P56" i="14" s="1"/>
  <c r="B83" i="59"/>
  <c r="L50" i="14" s="1"/>
  <c r="K58" i="14" s="1"/>
  <c r="B81" i="59"/>
  <c r="F50" i="14" s="1"/>
  <c r="J58" i="14" s="1"/>
  <c r="B49" i="38"/>
  <c r="B51" i="38"/>
  <c r="B24" i="39"/>
  <c r="B22" i="39"/>
  <c r="B79" i="37"/>
  <c r="B77" i="37"/>
  <c r="B79" i="38"/>
  <c r="B77" i="38"/>
  <c r="B24" i="37"/>
  <c r="B22" i="37"/>
  <c r="B51" i="39"/>
  <c r="B49" i="39"/>
  <c r="B77" i="39"/>
  <c r="B79" i="39"/>
  <c r="B51" i="37"/>
  <c r="B49" i="37"/>
  <c r="B22" i="38"/>
  <c r="B24" i="38"/>
  <c r="AA75" i="39"/>
  <c r="AB75" i="39" s="1"/>
  <c r="AA72" i="39"/>
  <c r="AA75" i="37"/>
  <c r="AB75" i="37" s="1"/>
  <c r="AA72" i="37"/>
  <c r="AA75" i="38"/>
  <c r="AB75" i="38" s="1"/>
  <c r="AA72" i="38"/>
  <c r="AA47" i="39"/>
  <c r="AB47" i="39" s="1"/>
  <c r="AA44" i="39"/>
  <c r="AA20" i="37"/>
  <c r="AB20" i="37" s="1"/>
  <c r="AA17" i="37"/>
  <c r="AA47" i="38"/>
  <c r="AB47" i="38" s="1"/>
  <c r="AA44" i="38"/>
  <c r="AA47" i="37"/>
  <c r="AB47" i="37" s="1"/>
  <c r="AA44" i="37"/>
  <c r="AA20" i="39"/>
  <c r="AB20" i="39" s="1"/>
  <c r="AA17" i="39"/>
  <c r="AA20" i="38"/>
  <c r="AB20" i="38" s="1"/>
  <c r="AA17" i="38"/>
</calcChain>
</file>

<file path=xl/sharedStrings.xml><?xml version="1.0" encoding="utf-8"?>
<sst xmlns="http://schemas.openxmlformats.org/spreadsheetml/2006/main" count="3000" uniqueCount="400">
  <si>
    <t>Activities</t>
  </si>
  <si>
    <t>NPV</t>
  </si>
  <si>
    <t>IRR</t>
  </si>
  <si>
    <t>Benefits</t>
  </si>
  <si>
    <t>Value</t>
  </si>
  <si>
    <t>Unit</t>
  </si>
  <si>
    <t>Notes</t>
  </si>
  <si>
    <t>$/Year</t>
  </si>
  <si>
    <t>Residual Value</t>
  </si>
  <si>
    <t>$</t>
  </si>
  <si>
    <t>Costs</t>
  </si>
  <si>
    <t>One time establishment cost</t>
  </si>
  <si>
    <t>Labor</t>
  </si>
  <si>
    <t>Wage</t>
  </si>
  <si>
    <t>Per year</t>
  </si>
  <si>
    <t>Interest Rate (Capital Cost)</t>
  </si>
  <si>
    <t>% Per Year</t>
  </si>
  <si>
    <t>Interest Rate</t>
  </si>
  <si>
    <t>Loan portion</t>
  </si>
  <si>
    <t>Year</t>
  </si>
  <si>
    <t>Cost</t>
  </si>
  <si>
    <t>Goat Production</t>
  </si>
  <si>
    <t>unit/Year</t>
  </si>
  <si>
    <t>Price of Goat</t>
  </si>
  <si>
    <t>$/unit</t>
  </si>
  <si>
    <t>Change in Goat Price</t>
  </si>
  <si>
    <t>/Year</t>
  </si>
  <si>
    <t>Expected change in price</t>
  </si>
  <si>
    <t>of slated house and others establishment cost</t>
  </si>
  <si>
    <t>Mother Goat Sale at Project end</t>
  </si>
  <si>
    <t>Slated House Construction</t>
  </si>
  <si>
    <t>Mother Goat Purchase</t>
  </si>
  <si>
    <t>Maintenance Cost</t>
  </si>
  <si>
    <t>From Second Year</t>
  </si>
  <si>
    <t>Feed</t>
  </si>
  <si>
    <t>Medicine</t>
  </si>
  <si>
    <t>$/Year/Workers</t>
  </si>
  <si>
    <t>Crablet Production</t>
  </si>
  <si>
    <t>Piece/Year</t>
  </si>
  <si>
    <t>Price of Crablet</t>
  </si>
  <si>
    <t>$/Piece</t>
  </si>
  <si>
    <t>Change in Crablet Price</t>
  </si>
  <si>
    <t>Residual Value of Hatchery</t>
  </si>
  <si>
    <t>of hatchery establishment cost</t>
  </si>
  <si>
    <t>Crab Hatchery Establishment</t>
  </si>
  <si>
    <t>$/per year</t>
  </si>
  <si>
    <t>Maintenance Cost (From 3rd Year)</t>
  </si>
  <si>
    <t>From Year 03</t>
  </si>
  <si>
    <t>Mother Crab purchase and rearing etc</t>
  </si>
  <si>
    <t>Every Year</t>
  </si>
  <si>
    <t>Mother Crab Feed</t>
  </si>
  <si>
    <t>Crablet Sale ($)</t>
  </si>
  <si>
    <t>Residual ($)</t>
  </si>
  <si>
    <t>Total Benefits ($)</t>
  </si>
  <si>
    <t>Total Cost ($)</t>
  </si>
  <si>
    <t>Net Benefits ($)</t>
  </si>
  <si>
    <t>Small Crab Production</t>
  </si>
  <si>
    <t>Small Crab/Year</t>
  </si>
  <si>
    <t>Price of small crab</t>
  </si>
  <si>
    <t>$/small Crab</t>
  </si>
  <si>
    <t>Change in Crab Price</t>
  </si>
  <si>
    <t>Crab Nursery Establishment</t>
  </si>
  <si>
    <t>Operation Cost (Crablet purchase)</t>
  </si>
  <si>
    <t>Maintenance</t>
  </si>
  <si>
    <t>Crab Production</t>
  </si>
  <si>
    <t>Price of Crab</t>
  </si>
  <si>
    <t>$/Kg</t>
  </si>
  <si>
    <t>Crab Farm Establishment</t>
  </si>
  <si>
    <t>Operation Cost (Small crab purchase)</t>
  </si>
  <si>
    <t>Aggregate Results of Financial Analysis</t>
  </si>
  <si>
    <t>RCP 4.5</t>
  </si>
  <si>
    <t>No change</t>
  </si>
  <si>
    <t>BaU</t>
  </si>
  <si>
    <t>RCP 8.5</t>
  </si>
  <si>
    <t>Increase</t>
  </si>
  <si>
    <t>1. Goat/sheep rearing</t>
  </si>
  <si>
    <t>2. Vegetable Cultivation at Household Level</t>
  </si>
  <si>
    <t>Decrease</t>
  </si>
  <si>
    <t>years</t>
  </si>
  <si>
    <t>Grace Period</t>
  </si>
  <si>
    <t>Number of climate induced disasters</t>
  </si>
  <si>
    <t>$/Lump sum</t>
  </si>
  <si>
    <t>Relevant prababilty of occuring</t>
  </si>
  <si>
    <t>Beginning Amount</t>
  </si>
  <si>
    <t>Disbursement</t>
  </si>
  <si>
    <t>Interest Payment</t>
  </si>
  <si>
    <t>Ending amount</t>
  </si>
  <si>
    <t>Principal payment</t>
  </si>
  <si>
    <t>RCP 4.5  scenario (Aggregate)</t>
  </si>
  <si>
    <t>RCP 8.5  scenario (Aggregate)</t>
  </si>
  <si>
    <t>With GCF (GCF grant+ PKSF Loan)</t>
  </si>
  <si>
    <t>Without GCF (No grant/100% PKSF loan)</t>
  </si>
  <si>
    <t>With GCF (100%GCF grant+0%PKSF loan)</t>
  </si>
  <si>
    <t>Present Climate</t>
  </si>
  <si>
    <t>Moderate</t>
  </si>
  <si>
    <t>Extreme</t>
  </si>
  <si>
    <t>Change</t>
  </si>
  <si>
    <t>Probabilty</t>
  </si>
  <si>
    <t>From 2nd year</t>
  </si>
  <si>
    <t>In 20 th Year</t>
  </si>
  <si>
    <t>No of labor days</t>
  </si>
  <si>
    <t>No</t>
  </si>
  <si>
    <t>Artemia and other feed cost</t>
  </si>
  <si>
    <t>O&amp;M cost</t>
  </si>
  <si>
    <t xml:space="preserve">Maintenance Cost </t>
  </si>
  <si>
    <t>Project Implementation (Hatchery-Nursery-Fattening)</t>
  </si>
  <si>
    <t>No of Fatteners</t>
  </si>
  <si>
    <t>No of Nurserer</t>
  </si>
  <si>
    <t>No of Hatchery owner</t>
  </si>
  <si>
    <t>Total</t>
  </si>
  <si>
    <t>Project Implementation-Hatchery</t>
  </si>
  <si>
    <t>No of new Hatchery owner</t>
  </si>
  <si>
    <t>No of Hatchery owners with project closed</t>
  </si>
  <si>
    <t>Assumptions:</t>
  </si>
  <si>
    <t>"No of Hatchery owners with project closed" has been caclculated for finding residual value of that respective years</t>
  </si>
  <si>
    <t>Individual Project return period is 20 years</t>
  </si>
  <si>
    <t>Agreegate number of Hatchery owner in each year</t>
  </si>
  <si>
    <t>"Agreegate number of Hatchery owner in each year" are the active owners in each year. Benefits and cost values in a year has been calculated for these owners.</t>
  </si>
  <si>
    <t>Loan amount for individual Hatchery owner</t>
  </si>
  <si>
    <t>Grant Amount for individual Hatchery owner</t>
  </si>
  <si>
    <t>Debt service</t>
  </si>
  <si>
    <t>Loan tenure (including grace period)</t>
  </si>
  <si>
    <t>Loan repayment period</t>
  </si>
  <si>
    <t>Present Climate Change Scenario over the project period</t>
  </si>
  <si>
    <t>Assumtions:</t>
  </si>
  <si>
    <t>Moderate Climate Scenario under RCP 4.5 over the project period</t>
  </si>
  <si>
    <t>Moderate Climate Scenario under RCP 8.5 over the project period</t>
  </si>
  <si>
    <t>Climate disasster will take place in every 3rd year in present situation. Source of data :Assumed due to unavailabilty</t>
  </si>
  <si>
    <t>Climate disasster will take place in every 3rd year in present situation.  Source of data :Assumed due to unavailabilty</t>
  </si>
  <si>
    <t>% change on benefit/cost item in disaster year (Year 03)</t>
  </si>
  <si>
    <t>Damage Rate (Assumed)</t>
  </si>
  <si>
    <t>Debt Service</t>
  </si>
  <si>
    <t>Wage Increment</t>
  </si>
  <si>
    <t>For Year 02 only /No maintenance cost in Year 01</t>
  </si>
  <si>
    <t>Impact of climatic change on cost and benefits under BaU situation (Individual Hatchery owner)</t>
  </si>
  <si>
    <t>No of new Nurserer</t>
  </si>
  <si>
    <t>No of Nurserer with project closed</t>
  </si>
  <si>
    <t>Agreegate number of Nurserer in each year</t>
  </si>
  <si>
    <t>"Agreegate number of Nurserer in each year" are the active owners in each year. Benefits and cost values in a year has been calculated for these owners.</t>
  </si>
  <si>
    <t>Loan amount for individual Nurserer</t>
  </si>
  <si>
    <t>Grant Amount for individual Nurserer</t>
  </si>
  <si>
    <t>Land rent</t>
  </si>
  <si>
    <t>Every Year (5 cycles in a year)</t>
  </si>
  <si>
    <t>Small Crab Sale ($)</t>
  </si>
  <si>
    <t>"No of Nurserer with project closed" has been considered for finding active "Agreegate number of Nurserer in each year"</t>
  </si>
  <si>
    <t>Crablet purchase</t>
  </si>
  <si>
    <t>Per cycle</t>
  </si>
  <si>
    <t>No of cycle in a year</t>
  </si>
  <si>
    <t>Puchase price</t>
  </si>
  <si>
    <t>Sale:</t>
  </si>
  <si>
    <t>Survival rate</t>
  </si>
  <si>
    <t>Base</t>
  </si>
  <si>
    <t>Project Implementation-Fattening</t>
  </si>
  <si>
    <t>No of Fattener</t>
  </si>
  <si>
    <t>No of new Fattener</t>
  </si>
  <si>
    <t>No of Fattener with project closed</t>
  </si>
  <si>
    <t>Agreegate number of Fattener in each year</t>
  </si>
  <si>
    <t>"No of Fatteners with project closed" has been considered for finding active "Agreegate number of Nurserer in each year"</t>
  </si>
  <si>
    <t>"Agreegate number of Fatteners in each year" are the active owners in each year. Benefits and cost values in a year has been calculated for these owners.</t>
  </si>
  <si>
    <t>Loan amount for individual Fattener</t>
  </si>
  <si>
    <t>Grant Amount for individual Fattener</t>
  </si>
  <si>
    <t>Every Year (2 cycles in a year)</t>
  </si>
  <si>
    <t>Crab Sale ($)</t>
  </si>
  <si>
    <t>Impact of climatic change on cost and benefits under BaU situation (Individual Fattener)</t>
  </si>
  <si>
    <t>Impact of climatic change on cost and benefits under BaU situation (Individual Nurserer)</t>
  </si>
  <si>
    <t>From year 01/No significant time for preparation/2 cycles</t>
  </si>
  <si>
    <t>No of goat rearers</t>
  </si>
  <si>
    <t>No of new goat rearers</t>
  </si>
  <si>
    <t>No of goat rearers with project closed</t>
  </si>
  <si>
    <t>Agreegate number of goat rearers in each year</t>
  </si>
  <si>
    <t>No of goat rearers with project closed has been considered for finding active "Agreegate number of Nurserer in each year" and for calculation of residual value</t>
  </si>
  <si>
    <t>"Agreegate number of goat rearers in each year" are the active owners in each year. Benefits and cost values in a year has been calculated for these owners.</t>
  </si>
  <si>
    <t>In the project end (10th Year)</t>
  </si>
  <si>
    <t>Every year</t>
  </si>
  <si>
    <t>Goat Sale ($)</t>
  </si>
  <si>
    <t>BaU (Present climate)</t>
  </si>
  <si>
    <t>RCP 4.5 (Moderate climate)</t>
  </si>
  <si>
    <t>RCP 8.5 (Extreme climate)</t>
  </si>
  <si>
    <t>Base Value</t>
  </si>
  <si>
    <t>Survival rate (Assumed)</t>
  </si>
  <si>
    <t>Probabilty
(Assumed)</t>
  </si>
  <si>
    <t>Price of goat</t>
  </si>
  <si>
    <t>6 month aged</t>
  </si>
  <si>
    <t>8 month aged</t>
  </si>
  <si>
    <t>Male</t>
  </si>
  <si>
    <t>Female</t>
  </si>
  <si>
    <t>Average</t>
  </si>
  <si>
    <t>Note</t>
  </si>
  <si>
    <t>PKSF loan . As per budget.</t>
  </si>
  <si>
    <t>GCF grant. As per budget.</t>
  </si>
  <si>
    <t>Mother Goat Sale ($)</t>
  </si>
  <si>
    <t xml:space="preserve">
The goat rearer usually collects the feed (leaves.etc.) for the goats from nearby areas without incurring any cost.</t>
  </si>
  <si>
    <t>It is assumed that in the project, Male:Female will be 50%:50%</t>
  </si>
  <si>
    <t>Project Implementation-Nursery</t>
  </si>
  <si>
    <t>Kg/Year</t>
  </si>
  <si>
    <t>No of Crab per kg</t>
  </si>
  <si>
    <t>3. Crab Hatchery</t>
  </si>
  <si>
    <t>4. Crab Nursing</t>
  </si>
  <si>
    <t>5. Crab Fattening</t>
  </si>
  <si>
    <t>Individual Project return period is 10 years</t>
  </si>
  <si>
    <t>PKSF loan. As per budget.</t>
  </si>
  <si>
    <t>Per year (02 cycles)</t>
  </si>
  <si>
    <t xml:space="preserve">Fattener provides his/her own labor. So, no external labor is required. </t>
  </si>
  <si>
    <t>No of Farmers</t>
  </si>
  <si>
    <t>No of new Farmers</t>
  </si>
  <si>
    <t>No of Farmers with project closed</t>
  </si>
  <si>
    <t>Agreegate number of Farmers in each year</t>
  </si>
  <si>
    <t>Individual Project return period is 05 years</t>
  </si>
  <si>
    <t>"Agreegate number of Farmers in each year" are the active owners in each year. Benefits and cost values in a year has been calculated for these owners.</t>
  </si>
  <si>
    <t>Vegetable Production</t>
  </si>
  <si>
    <t>kg/Year</t>
  </si>
  <si>
    <t>Price of vegetable</t>
  </si>
  <si>
    <t>$/kg</t>
  </si>
  <si>
    <t>Change in vegetable Price</t>
  </si>
  <si>
    <t>%/Year</t>
  </si>
  <si>
    <t>From year 01</t>
  </si>
  <si>
    <t>No labor will be required because women households will provide their labor.</t>
  </si>
  <si>
    <t>Land Preparation for cultivation (fenching.etc)</t>
  </si>
  <si>
    <t>Organic Fartilizer/Seeds/Saplings etc.</t>
  </si>
  <si>
    <t>Loan amount for individual Farmer</t>
  </si>
  <si>
    <t>Assumed PKSF loan for calculation purpose to provide scenario. As per budget there is no loan.</t>
  </si>
  <si>
    <t>Vegetable sale after own consumption</t>
  </si>
  <si>
    <t xml:space="preserve">Per year </t>
  </si>
  <si>
    <t>Vagetable Sale ($)</t>
  </si>
  <si>
    <t>"No of Farmers with project closed" has been considered for finding active "Agreegate number of Farmers in each year"</t>
  </si>
  <si>
    <t>From Year 02</t>
  </si>
  <si>
    <t>Vegetable sale after own consumption (Year 01)</t>
  </si>
  <si>
    <t>One Time at Startup (02 Goats/average 8 months aged. After 03 years, new 02 mother goats will start breeding, considering these will be produced from the project. The old mother goats will be sold; but this will not affect cashflows to a significant level because 02 new mother goats will be retained in stead of sale.</t>
  </si>
  <si>
    <t>Proposed in FP</t>
  </si>
  <si>
    <t>In Year 01. The farmer will sell this lower % of vegetables to meet own need as he just starts the project.</t>
  </si>
  <si>
    <t>Impact of climatic change on cost and benefits under BaU situation (Individual Farmer)</t>
  </si>
  <si>
    <t>Per Goat price (considering both male &amp; female goat)</t>
  </si>
  <si>
    <t>02 mother goats/average 4.5 years aged</t>
  </si>
  <si>
    <t>4.5 years aged</t>
  </si>
  <si>
    <t>From year 01/No significant time for preparation. Adjusted for mortality at base case.</t>
  </si>
  <si>
    <t>FNPV</t>
  </si>
  <si>
    <t>ENPV</t>
  </si>
  <si>
    <t>FIRR</t>
  </si>
  <si>
    <t>EIRR</t>
  </si>
  <si>
    <t>Conversion Factors (CFs) assumptions:</t>
  </si>
  <si>
    <t>CF</t>
  </si>
  <si>
    <t>Labour unskilled/rural/ maintenance</t>
  </si>
  <si>
    <t>Medicines</t>
  </si>
  <si>
    <t>Mother goat</t>
  </si>
  <si>
    <t>Goat/sheep</t>
  </si>
  <si>
    <t>Loan/farm residual value</t>
  </si>
  <si>
    <t>Base Value (Fin)</t>
  </si>
  <si>
    <t>Base Value (Eco)</t>
  </si>
  <si>
    <t>Notes (For Financial Analysis)</t>
  </si>
  <si>
    <t>Inputs</t>
  </si>
  <si>
    <t>HS Code</t>
  </si>
  <si>
    <t>CD</t>
  </si>
  <si>
    <t>SD</t>
  </si>
  <si>
    <t>VAT</t>
  </si>
  <si>
    <t>Advance income Tax (AIT)</t>
  </si>
  <si>
    <t>RD</t>
  </si>
  <si>
    <t>Advance Trade VAT (ATV) on commercial importers</t>
  </si>
  <si>
    <t>Source of information</t>
  </si>
  <si>
    <t>Type</t>
  </si>
  <si>
    <t>Inputs and materials</t>
  </si>
  <si>
    <t>Agric. Products</t>
  </si>
  <si>
    <t>https://customs.gov.bd/portal/services/tariff/index.jsf</t>
  </si>
  <si>
    <t>importable input</t>
  </si>
  <si>
    <t>Medicines and vaccines</t>
  </si>
  <si>
    <t xml:space="preserve">Loan </t>
  </si>
  <si>
    <t>n/a</t>
  </si>
  <si>
    <t>assumed as not traded internationally</t>
  </si>
  <si>
    <t>Mother goat/sheep</t>
  </si>
  <si>
    <t>treated as non-tradeable internationally</t>
  </si>
  <si>
    <t>Outputs</t>
  </si>
  <si>
    <t>AIT</t>
  </si>
  <si>
    <t>ATV</t>
  </si>
  <si>
    <t>OTHER VARIABLES</t>
  </si>
  <si>
    <t>Standard VAT rate</t>
  </si>
  <si>
    <t>KPMG Bangladesh</t>
  </si>
  <si>
    <t>Financial disocount rate</t>
  </si>
  <si>
    <t>assumed</t>
  </si>
  <si>
    <t>EOCK</t>
  </si>
  <si>
    <t>Handling charges incl. insurance</t>
  </si>
  <si>
    <t>Transport charges</t>
  </si>
  <si>
    <t>Foreign Exchange Premium (calculated)</t>
  </si>
  <si>
    <t>calculated</t>
  </si>
  <si>
    <t>Subsidies for inputs</t>
  </si>
  <si>
    <t>*Classification of importable vs exportable inputs and outputs and non-tradeable inputs/outputs (based on trade data)</t>
  </si>
  <si>
    <t>Importable input: a good that is purchased by the project locally but is also imported in significant amount.</t>
  </si>
  <si>
    <t>Importable output: a good that is produced by the project but is also imported in significant amount.</t>
  </si>
  <si>
    <t>Exportable input: a good that is purchased by the project and is also currently exported in significant amount.</t>
  </si>
  <si>
    <t>Exportable output: a good that is produced by the project and is also currently exported in significant amount.</t>
  </si>
  <si>
    <t>Source: IMF/WB-Source for FEP</t>
  </si>
  <si>
    <t>Value of exports</t>
  </si>
  <si>
    <t>USD bln</t>
  </si>
  <si>
    <t>Value of imports</t>
  </si>
  <si>
    <t>Trade tax revenues</t>
  </si>
  <si>
    <t>*UN Commtrade database was used to establish trade basis for inputs and outputs.</t>
  </si>
  <si>
    <t>%</t>
  </si>
  <si>
    <t>Financial Value</t>
  </si>
  <si>
    <t>CF for NT Services</t>
  </si>
  <si>
    <t>FEP</t>
  </si>
  <si>
    <t>Value of FEP</t>
  </si>
  <si>
    <t>Economic Value</t>
  </si>
  <si>
    <t>CIF Price</t>
  </si>
  <si>
    <t>[+]</t>
  </si>
  <si>
    <t>Import duty</t>
  </si>
  <si>
    <t>VAT (% of CIF and Import Duty)</t>
  </si>
  <si>
    <t>Port and handling (% of CIF price)</t>
  </si>
  <si>
    <t>Price at Port</t>
  </si>
  <si>
    <t>Transportation, Port-Market (% of CIF Price)</t>
  </si>
  <si>
    <t>[-]</t>
  </si>
  <si>
    <t>Subsidy</t>
  </si>
  <si>
    <t xml:space="preserve">Market Value </t>
  </si>
  <si>
    <t>Conversion Factor</t>
  </si>
  <si>
    <t>Goat (06 months aged for sale)</t>
  </si>
  <si>
    <t>Base line value/Market Value (individual Goat rearer)- As per Financial Analysis</t>
  </si>
  <si>
    <t>Adjustment of baseline market value for Economic Analysis</t>
  </si>
  <si>
    <t>assumed as non-traded internationally. No VAT assumed</t>
  </si>
  <si>
    <t>Aggregate Economic Analysis_Goat Rearing</t>
  </si>
  <si>
    <t>Impact of present climatic change on base economic value of cost and benefits under BaU situation (Individual Goat Rearer)</t>
  </si>
  <si>
    <t>Net Resource Flow ($)</t>
  </si>
  <si>
    <t>ENPV ($)</t>
  </si>
  <si>
    <t>Economic Benefits in Present Value</t>
  </si>
  <si>
    <t>Economic Costs in Present Value</t>
  </si>
  <si>
    <t xml:space="preserve">Notes </t>
  </si>
  <si>
    <t>Consumption of Goat Milk by Familty memebers</t>
  </si>
  <si>
    <t>$/Per Year</t>
  </si>
  <si>
    <t>Indirect Benefits and Costs (Individual Goat Rearer)</t>
  </si>
  <si>
    <t>Opportunity cost of labor by women households</t>
  </si>
  <si>
    <t>Assumed</t>
  </si>
  <si>
    <t>Enviromental cost</t>
  </si>
  <si>
    <t>No significant impacts</t>
  </si>
  <si>
    <t>GHG emission</t>
  </si>
  <si>
    <t>Benefit to Cost ratio</t>
  </si>
  <si>
    <t xml:space="preserve">Social Discount rate </t>
  </si>
  <si>
    <t>Aggregate Economic Analysis</t>
  </si>
  <si>
    <t>Animal medicines and vaccines</t>
  </si>
  <si>
    <t>100 ml from 02 goats/90 days in a year/Real Price $0.02
From Year 02</t>
  </si>
  <si>
    <t>Indirect Benefits and Costs (Individual Hachery Owner)</t>
  </si>
  <si>
    <t>Indirect Benefits for Crab Hatchery_Nursery &amp; Fattening has been calcuated in aggregate in Sheet</t>
  </si>
  <si>
    <t>Indirect Costs  for Crab Hatchery_Nursery &amp; Fattening has been calcuated in aggregate in Sheet</t>
  </si>
  <si>
    <t>Feed is produced locally and not imported. No VAT assumed.</t>
  </si>
  <si>
    <t>Crablet are produced locally and not imported.  No VAT assumed.</t>
  </si>
  <si>
    <t>Indirect Benefits and Costs (Individual Nursery Owner)</t>
  </si>
  <si>
    <t>Base line value/Market Value (individual Fattener)- As per Financial Analysis</t>
  </si>
  <si>
    <t>Indirect Benefits and Costs (Individual Fattener)</t>
  </si>
  <si>
    <t>Calculaated in Agreegate Sheet_CRAB</t>
  </si>
  <si>
    <t>3-4-5. CRAB Hatchery_Nursery_Fattening (as a value chain activity)</t>
  </si>
  <si>
    <t>Crab Hatchery</t>
  </si>
  <si>
    <t>Crab Nursery</t>
  </si>
  <si>
    <t>Crab Fattening</t>
  </si>
  <si>
    <t>Total Cost (Activitywise)</t>
  </si>
  <si>
    <t>Indirect Benefits and Costs (Entire CRAB Value Chain)</t>
  </si>
  <si>
    <t>Residual value (For Crab Hatchery Only)</t>
  </si>
  <si>
    <t>% of hatchery establishment cost</t>
  </si>
  <si>
    <t>For Crab Hatchery, Crab Nursery and Crab Fattening, cost assumptions have been conisidered relevant activity wise. But for the benefits, it is a signle Crab Export Sale Price for the entire value chain.</t>
  </si>
  <si>
    <t>Biodiversity/Ecosystem services</t>
  </si>
  <si>
    <t>$/Per year</t>
  </si>
  <si>
    <t>Production of carblets in the hatchery will reduce the present practice of collecting crablets from nature.
This will help for stock replenishment and maintaining marine food ecosystem.
The Economic values has been assumed due to unavilabilty of data.</t>
  </si>
  <si>
    <t>Employment generation in the value chain</t>
  </si>
  <si>
    <t>Employment will be generated in the entire crab value chain, other than in our project intervention (Hatchery-Nursery-Fattening),  till it is exported.</t>
  </si>
  <si>
    <t xml:space="preserve">Real Economic Value </t>
  </si>
  <si>
    <t>Crab Production (Kg)</t>
  </si>
  <si>
    <t>Information received from discussion with Exporters</t>
  </si>
  <si>
    <t>Subsidies for export</t>
  </si>
  <si>
    <t>https://www.dhakatribune.com/business/2022/05/12/frozen-fish-shrimp-exporters-wants-25-cash-incentive#:~:text=The%20sector%20currently%20enjoys%20a,sent%20to%20the%20fisheries%20department.</t>
  </si>
  <si>
    <t>FOB Price</t>
  </si>
  <si>
    <t xml:space="preserve">Crab Export Price </t>
  </si>
  <si>
    <t>Export duty</t>
  </si>
  <si>
    <t>Transportation, Frieght</t>
  </si>
  <si>
    <t>VAT (% of FOB and Export Duty)</t>
  </si>
  <si>
    <t>Port and handling (% of FOB price)</t>
  </si>
  <si>
    <t xml:space="preserve">Average Export Price of Crab </t>
  </si>
  <si>
    <t>Social Discount Rate</t>
  </si>
  <si>
    <t>Organic Fartilizer/Seeds</t>
  </si>
  <si>
    <t>Loan/ residual value</t>
  </si>
  <si>
    <t xml:space="preserve">Price of Vegetable </t>
  </si>
  <si>
    <t>Indirect Benefits and Costs (Individual Farmer)</t>
  </si>
  <si>
    <t>Vegetables that are cosumed by the farmer will be considred in economic analysis</t>
  </si>
  <si>
    <t>% of sale</t>
  </si>
  <si>
    <t>Consumption price of vegetables</t>
  </si>
  <si>
    <t>Aggregate Financial Analysis_CRAB Value chain</t>
  </si>
  <si>
    <t>Aggregate Financial Analysis_CRAB Value Chain</t>
  </si>
  <si>
    <t>Total Cost (Activity wise)</t>
  </si>
  <si>
    <t>Total Revenue (Activity wise)</t>
  </si>
  <si>
    <t>Vegetable own consumption (Year 01)</t>
  </si>
  <si>
    <t>Vegetable own consumption</t>
  </si>
  <si>
    <t>Social benefit from export of goat leather</t>
  </si>
  <si>
    <t>Number of Goat from second year (from 02 mother goats). Base value is Moratality rate adjusted.</t>
  </si>
  <si>
    <t>05 Labor days per rearer/Increase 1%
Shadow wage rate has been caclucated as 50% of Market wage rate</t>
  </si>
  <si>
    <t xml:space="preserve">Economic Value </t>
  </si>
  <si>
    <t>"No of Fatteners with project closed" has been considered for finding active "Agreegate number of Fattener in each year"</t>
  </si>
  <si>
    <t xml:space="preserve">Shadow wage rate has been caclucated as 50% of Market wage rate
</t>
  </si>
  <si>
    <t>Values have been brough from Financial Analysis "Annex 03_Annex_3_B_Financial_Analysis_Revised_21052023_PKSF Reply_Final"</t>
  </si>
  <si>
    <t>FNPV ($)</t>
  </si>
  <si>
    <t>Financial Benefits in Present Value</t>
  </si>
  <si>
    <t>Financial Costs in Present Value</t>
  </si>
  <si>
    <t>Opportubity cost for using the crab ponds/farm for fish farming</t>
  </si>
  <si>
    <t>Note:</t>
  </si>
  <si>
    <t>Damage Rate* (Assumed)</t>
  </si>
  <si>
    <t>Damage rates under RCP 4.5 &amp; RCP 8.5 have been calculated on the values that have already been adjusted for Damage Rate under BaU.</t>
  </si>
  <si>
    <t>Information received from discussion with Exporters. The export price ($10/per kg) has been adjusted with 50% processing cost of crab before export (cleaning/cutting/packaging in international standard/labor cost/transport/factory rent/bank expenses/other expenses. etc.) by the exporter; after it is bought from the fattening farm.</t>
  </si>
  <si>
    <t>Discount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</si>
</sst>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quot;$&quot;#,##0"/>
    <numFmt numFmtId="166" formatCode="#,##0.000"/>
    <numFmt numFmtId="167" formatCode="0.0000"/>
    <numFmt numFmtId="168" formatCode="0.000"/>
    <numFmt numFmtId="169" formatCode="&quot;$&quot;#,##0.00"/>
  </numFmts>
  <fonts count="31" x14ac:knownFonts="1">
    <font>
      <sz val="11"/>
      <color theme="1"/>
      <name val="Calibri"/>
      <family val="2"/>
      <scheme val="minor"/>
    </font>
    <font>
      <sz val="11"/>
      <color theme="1"/>
      <name val="Calibri"/>
      <family val="2"/>
      <scheme val="minor"/>
    </font>
    <font>
      <sz val="11"/>
      <color rgb="FF9C5700"/>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1"/>
      <name val="Calibri"/>
      <family val="2"/>
      <scheme val="minor"/>
    </font>
    <font>
      <b/>
      <sz val="20"/>
      <name val="Calibri"/>
      <family val="2"/>
      <scheme val="minor"/>
    </font>
    <font>
      <b/>
      <sz val="11"/>
      <name val="Calibri"/>
      <family val="2"/>
      <scheme val="minor"/>
    </font>
    <font>
      <b/>
      <i/>
      <sz val="11"/>
      <name val="Calibri"/>
      <family val="2"/>
      <scheme val="minor"/>
    </font>
    <font>
      <b/>
      <sz val="18"/>
      <name val="Calibri"/>
      <family val="2"/>
      <scheme val="minor"/>
    </font>
    <font>
      <b/>
      <sz val="12"/>
      <name val="Calibri"/>
      <family val="2"/>
      <scheme val="minor"/>
    </font>
    <font>
      <sz val="11"/>
      <color rgb="FFFF0000"/>
      <name val="Calibri"/>
      <family val="2"/>
      <scheme val="minor"/>
    </font>
    <font>
      <b/>
      <sz val="16"/>
      <color rgb="FFFF0000"/>
      <name val="Calibri"/>
      <family val="2"/>
      <scheme val="minor"/>
    </font>
    <font>
      <b/>
      <u/>
      <sz val="11"/>
      <color theme="1"/>
      <name val="Calibri"/>
      <family val="2"/>
      <scheme val="minor"/>
    </font>
    <font>
      <b/>
      <sz val="18"/>
      <color theme="1"/>
      <name val="Calibri"/>
      <family val="2"/>
      <scheme val="minor"/>
    </font>
    <font>
      <sz val="11"/>
      <color theme="4"/>
      <name val="Calibri"/>
      <family val="2"/>
      <scheme val="minor"/>
    </font>
    <font>
      <sz val="11"/>
      <color rgb="FF0070C0"/>
      <name val="Calibri"/>
      <family val="2"/>
      <scheme val="minor"/>
    </font>
    <font>
      <sz val="11"/>
      <color theme="5"/>
      <name val="Calibri"/>
      <family val="2"/>
      <scheme val="minor"/>
    </font>
    <font>
      <sz val="11"/>
      <color rgb="FF00B0F0"/>
      <name val="Calibri"/>
      <family val="2"/>
      <scheme val="minor"/>
    </font>
    <font>
      <sz val="11"/>
      <color theme="4" tint="-0.249977111117893"/>
      <name val="Calibri"/>
      <family val="2"/>
      <scheme val="minor"/>
    </font>
    <font>
      <b/>
      <sz val="11"/>
      <color theme="4"/>
      <name val="Calibri"/>
      <family val="2"/>
      <scheme val="minor"/>
    </font>
    <font>
      <b/>
      <i/>
      <sz val="11"/>
      <color theme="1"/>
      <name val="Calibri"/>
      <family val="2"/>
      <scheme val="minor"/>
    </font>
    <font>
      <u/>
      <sz val="11"/>
      <color theme="10"/>
      <name val="Calibri"/>
      <family val="2"/>
      <scheme val="minor"/>
    </font>
    <font>
      <b/>
      <u/>
      <sz val="11"/>
      <name val="Calibri"/>
      <family val="2"/>
      <scheme val="minor"/>
    </font>
    <font>
      <u/>
      <sz val="11"/>
      <name val="Calibri"/>
      <family val="2"/>
      <scheme val="minor"/>
    </font>
    <font>
      <b/>
      <sz val="12"/>
      <color theme="1"/>
      <name val="Calibri"/>
      <family val="2"/>
      <scheme val="minor"/>
    </font>
    <font>
      <b/>
      <sz val="11"/>
      <color theme="5" tint="-0.249977111117893"/>
      <name val="Calibri"/>
      <family val="2"/>
      <scheme val="minor"/>
    </font>
    <font>
      <sz val="10"/>
      <color theme="3" tint="-0.249977111117893"/>
      <name val="Verdana"/>
      <family val="2"/>
    </font>
    <font>
      <sz val="16"/>
      <name val="Calibri"/>
      <family val="2"/>
      <scheme val="minor"/>
    </font>
    <font>
      <sz val="20"/>
      <name val="Calibri"/>
      <family val="2"/>
      <scheme val="minor"/>
    </font>
  </fonts>
  <fills count="19">
    <fill>
      <patternFill patternType="none"/>
    </fill>
    <fill>
      <patternFill patternType="gray125"/>
    </fill>
    <fill>
      <patternFill patternType="solid">
        <fgColor rgb="FFFFEB9C"/>
      </patternFill>
    </fill>
    <fill>
      <patternFill patternType="solid">
        <fgColor rgb="FFFFFFCC"/>
      </patternFill>
    </fill>
    <fill>
      <patternFill patternType="solid">
        <fgColor theme="5" tint="0.79998168889431442"/>
        <bgColor indexed="65"/>
      </patternFill>
    </fill>
    <fill>
      <patternFill patternType="solid">
        <fgColor theme="5" tint="0.59999389629810485"/>
        <bgColor indexed="65"/>
      </patternFill>
    </fill>
    <fill>
      <patternFill patternType="solid">
        <fgColor theme="7"/>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00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0"/>
        <bgColor indexed="64"/>
      </patternFill>
    </fill>
    <fill>
      <patternFill patternType="solid">
        <fgColor theme="7" tint="0.79998168889431442"/>
        <bgColor indexed="64"/>
      </patternFill>
    </fill>
  </fills>
  <borders count="75">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0"/>
      </right>
      <top style="thin">
        <color theme="0"/>
      </top>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medium">
        <color indexed="64"/>
      </right>
      <top style="thin">
        <color theme="0"/>
      </top>
      <bottom style="thin">
        <color theme="0"/>
      </bottom>
      <diagonal/>
    </border>
    <border>
      <left style="thin">
        <color theme="0"/>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style="thin">
        <color indexed="64"/>
      </left>
      <right/>
      <top style="thin">
        <color theme="0"/>
      </top>
      <bottom style="thin">
        <color theme="0"/>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indexed="64"/>
      </top>
      <bottom style="thin">
        <color auto="1"/>
      </bottom>
      <diagonal/>
    </border>
    <border>
      <left/>
      <right style="thin">
        <color theme="0"/>
      </right>
      <top style="medium">
        <color indexed="64"/>
      </top>
      <bottom style="thin">
        <color theme="0"/>
      </bottom>
      <diagonal/>
    </border>
    <border>
      <left style="medium">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theme="0"/>
      </left>
      <right style="medium">
        <color indexed="64"/>
      </right>
      <top/>
      <bottom style="thin">
        <color theme="0"/>
      </bottom>
      <diagonal/>
    </border>
    <border>
      <left/>
      <right/>
      <top style="thin">
        <color theme="0"/>
      </top>
      <bottom style="thin">
        <color theme="0"/>
      </bottom>
      <diagonal/>
    </border>
    <border>
      <left style="medium">
        <color auto="1"/>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auto="1"/>
      </left>
      <right style="medium">
        <color indexed="64"/>
      </right>
      <top style="thin">
        <color indexed="64"/>
      </top>
      <bottom style="medium">
        <color indexed="64"/>
      </bottom>
      <diagonal/>
    </border>
    <border>
      <left style="medium">
        <color indexed="64"/>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medium">
        <color indexed="64"/>
      </left>
      <right style="thin">
        <color theme="0"/>
      </right>
      <top style="thin">
        <color theme="0"/>
      </top>
      <bottom style="thin">
        <color theme="0"/>
      </bottom>
      <diagonal/>
    </border>
    <border>
      <left style="thin">
        <color theme="0"/>
      </left>
      <right/>
      <top style="thin">
        <color theme="0"/>
      </top>
      <bottom style="thin">
        <color theme="0"/>
      </bottom>
      <diagonal/>
    </border>
    <border>
      <left style="medium">
        <color indexed="64"/>
      </left>
      <right style="thin">
        <color theme="0"/>
      </right>
      <top style="thin">
        <color theme="0"/>
      </top>
      <bottom style="medium">
        <color indexed="64"/>
      </bottom>
      <diagonal/>
    </border>
    <border>
      <left style="thin">
        <color theme="0"/>
      </left>
      <right/>
      <top style="thin">
        <color theme="0"/>
      </top>
      <bottom style="medium">
        <color indexed="64"/>
      </bottom>
      <diagonal/>
    </border>
    <border>
      <left style="medium">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medium">
        <color indexed="64"/>
      </right>
      <top style="thin">
        <color indexed="64"/>
      </top>
      <bottom style="thin">
        <color theme="0"/>
      </bottom>
      <diagonal/>
    </border>
    <border>
      <left style="medium">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medium">
        <color indexed="64"/>
      </right>
      <top style="thin">
        <color theme="0"/>
      </top>
      <bottom style="thin">
        <color indexed="64"/>
      </bottom>
      <diagonal/>
    </border>
    <border>
      <left style="medium">
        <color indexed="64"/>
      </left>
      <right style="thin">
        <color theme="0"/>
      </right>
      <top/>
      <bottom style="thin">
        <color theme="0"/>
      </bottom>
      <diagonal/>
    </border>
    <border>
      <left style="medium">
        <color indexed="64"/>
      </left>
      <right style="thin">
        <color theme="0"/>
      </right>
      <top/>
      <bottom style="medium">
        <color indexed="64"/>
      </bottom>
      <diagonal/>
    </border>
    <border>
      <left style="thin">
        <color theme="0"/>
      </left>
      <right style="thin">
        <color theme="0"/>
      </right>
      <top/>
      <bottom style="medium">
        <color indexed="64"/>
      </bottom>
      <diagonal/>
    </border>
    <border>
      <left style="thin">
        <color theme="0"/>
      </left>
      <right style="medium">
        <color indexed="64"/>
      </right>
      <top/>
      <bottom style="medium">
        <color indexed="64"/>
      </bottom>
      <diagonal/>
    </border>
    <border>
      <left style="medium">
        <color indexed="64"/>
      </left>
      <right/>
      <top/>
      <bottom style="thin">
        <color theme="0"/>
      </bottom>
      <diagonal/>
    </border>
    <border>
      <left style="thin">
        <color indexed="64"/>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theme="0"/>
      </bottom>
      <diagonal/>
    </border>
    <border>
      <left/>
      <right style="thin">
        <color indexed="64"/>
      </right>
      <top style="thin">
        <color theme="0"/>
      </top>
      <bottom style="thin">
        <color theme="0"/>
      </bottom>
      <diagonal/>
    </border>
    <border>
      <left style="thin">
        <color indexed="64"/>
      </left>
      <right/>
      <top style="thin">
        <color theme="0"/>
      </top>
      <bottom style="thin">
        <color indexed="64"/>
      </bottom>
      <diagonal/>
    </border>
    <border>
      <left/>
      <right style="thin">
        <color indexed="64"/>
      </right>
      <top style="thin">
        <color theme="0"/>
      </top>
      <bottom style="thin">
        <color indexed="64"/>
      </bottom>
      <diagonal/>
    </border>
    <border>
      <left style="medium">
        <color indexed="64"/>
      </left>
      <right/>
      <top/>
      <bottom/>
      <diagonal/>
    </border>
    <border>
      <left/>
      <right style="thin">
        <color indexed="64"/>
      </right>
      <top style="thin">
        <color theme="0"/>
      </top>
      <bottom/>
      <diagonal/>
    </border>
    <border>
      <left style="thin">
        <color theme="0"/>
      </left>
      <right style="thin">
        <color theme="0"/>
      </right>
      <top/>
      <bottom/>
      <diagonal/>
    </border>
    <border>
      <left/>
      <right style="thin">
        <color theme="0"/>
      </right>
      <top/>
      <bottom/>
      <diagonal/>
    </border>
    <border>
      <left style="thin">
        <color theme="0"/>
      </left>
      <right style="medium">
        <color indexed="64"/>
      </right>
      <top/>
      <bottom/>
      <diagonal/>
    </border>
    <border>
      <left style="thin">
        <color theme="0"/>
      </left>
      <right style="thin">
        <color indexed="64"/>
      </right>
      <top style="thin">
        <color theme="0"/>
      </top>
      <bottom/>
      <diagonal/>
    </border>
    <border>
      <left style="thin">
        <color indexed="64"/>
      </left>
      <right style="thin">
        <color theme="0"/>
      </right>
      <top style="thin">
        <color theme="0"/>
      </top>
      <bottom/>
      <diagonal/>
    </border>
    <border>
      <left style="thin">
        <color indexed="64"/>
      </left>
      <right style="thin">
        <color theme="0"/>
      </right>
      <top style="medium">
        <color indexed="64"/>
      </top>
      <bottom style="thin">
        <color theme="0"/>
      </bottom>
      <diagonal/>
    </border>
    <border>
      <left style="thin">
        <color indexed="64"/>
      </left>
      <right/>
      <top style="thin">
        <color theme="0"/>
      </top>
      <bottom style="medium">
        <color indexed="64"/>
      </bottom>
      <diagonal/>
    </border>
    <border>
      <left/>
      <right style="medium">
        <color indexed="64"/>
      </right>
      <top style="thin">
        <color theme="0"/>
      </top>
      <bottom style="thin">
        <color theme="0"/>
      </bottom>
      <diagonal/>
    </border>
    <border>
      <left/>
      <right style="medium">
        <color indexed="64"/>
      </right>
      <top style="thin">
        <color theme="0"/>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s>
  <cellStyleXfs count="18">
    <xf numFmtId="0" fontId="0" fillId="0" borderId="0"/>
    <xf numFmtId="0" fontId="2" fillId="2" borderId="0" applyNumberFormat="0" applyBorder="0" applyAlignment="0" applyProtection="0"/>
    <xf numFmtId="0" fontId="1" fillId="3" borderId="1" applyNumberFormat="0" applyFont="0" applyAlignment="0" applyProtection="0"/>
    <xf numFmtId="0" fontId="1"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0" fontId="23" fillId="0" borderId="0" applyNumberFormat="0" applyFill="0" applyBorder="0" applyAlignment="0" applyProtection="0"/>
    <xf numFmtId="44" fontId="1" fillId="0" borderId="0" applyFont="0" applyFill="0" applyBorder="0" applyAlignment="0" applyProtection="0"/>
  </cellStyleXfs>
  <cellXfs count="555">
    <xf numFmtId="0" fontId="0" fillId="0" borderId="0" xfId="0"/>
    <xf numFmtId="0" fontId="5" fillId="14" borderId="0" xfId="0" applyFont="1" applyFill="1"/>
    <xf numFmtId="0" fontId="5" fillId="0" borderId="2" xfId="0" applyFont="1" applyBorder="1"/>
    <xf numFmtId="0" fontId="5" fillId="0" borderId="0" xfId="0" applyFont="1"/>
    <xf numFmtId="0" fontId="8" fillId="0" borderId="0" xfId="0" applyFont="1" applyAlignment="1">
      <alignment horizontal="center"/>
    </xf>
    <xf numFmtId="0" fontId="5" fillId="0" borderId="2" xfId="2" applyFont="1" applyFill="1" applyBorder="1" applyAlignment="1">
      <alignment horizontal="center" vertical="center"/>
    </xf>
    <xf numFmtId="0" fontId="5" fillId="0" borderId="2" xfId="0" applyFont="1" applyBorder="1" applyAlignment="1">
      <alignment horizontal="left" vertical="center"/>
    </xf>
    <xf numFmtId="0" fontId="5" fillId="0" borderId="2" xfId="2" applyFont="1" applyFill="1" applyBorder="1" applyAlignment="1">
      <alignment horizontal="center" vertical="center" wrapText="1"/>
    </xf>
    <xf numFmtId="0" fontId="5" fillId="0" borderId="0" xfId="0" applyFont="1" applyAlignment="1">
      <alignment horizontal="left" vertical="center"/>
    </xf>
    <xf numFmtId="0" fontId="5" fillId="0" borderId="2" xfId="0" applyFont="1" applyBorder="1" applyAlignment="1">
      <alignment wrapText="1"/>
    </xf>
    <xf numFmtId="0" fontId="5" fillId="0" borderId="0" xfId="0" applyFont="1" applyAlignment="1">
      <alignment wrapText="1"/>
    </xf>
    <xf numFmtId="0" fontId="10" fillId="0" borderId="0" xfId="0" applyFont="1" applyAlignment="1">
      <alignment vertical="center"/>
    </xf>
    <xf numFmtId="0" fontId="8" fillId="0" borderId="0" xfId="0" applyFont="1"/>
    <xf numFmtId="0" fontId="5" fillId="0" borderId="2" xfId="1" applyFont="1" applyFill="1" applyBorder="1" applyAlignment="1">
      <alignment horizontal="center" vertical="center" wrapText="1"/>
    </xf>
    <xf numFmtId="0" fontId="5" fillId="0" borderId="2" xfId="6" applyFont="1" applyFill="1" applyBorder="1" applyAlignment="1">
      <alignment horizontal="center" vertical="center" wrapText="1"/>
    </xf>
    <xf numFmtId="0" fontId="5" fillId="0" borderId="0" xfId="0" applyFont="1" applyAlignment="1">
      <alignment horizontal="center" vertical="center"/>
    </xf>
    <xf numFmtId="0" fontId="5" fillId="0" borderId="2" xfId="0" applyFont="1" applyBorder="1" applyAlignment="1">
      <alignment horizontal="center" vertical="center"/>
    </xf>
    <xf numFmtId="0" fontId="9" fillId="0" borderId="2" xfId="0" applyFont="1" applyBorder="1" applyAlignment="1">
      <alignment horizontal="left" vertical="center"/>
    </xf>
    <xf numFmtId="0" fontId="5" fillId="0" borderId="2" xfId="0" applyFont="1" applyBorder="1" applyAlignment="1">
      <alignment horizontal="left" vertical="center" wrapText="1"/>
    </xf>
    <xf numFmtId="0" fontId="7" fillId="0" borderId="0" xfId="0" applyFont="1" applyAlignment="1">
      <alignment vertical="center"/>
    </xf>
    <xf numFmtId="0" fontId="5" fillId="0" borderId="2" xfId="1" applyFont="1" applyFill="1" applyBorder="1" applyAlignment="1">
      <alignment horizontal="center" vertical="center"/>
    </xf>
    <xf numFmtId="0" fontId="5" fillId="0" borderId="2" xfId="6" applyFont="1" applyFill="1" applyBorder="1" applyAlignment="1">
      <alignment horizontal="center" vertical="center"/>
    </xf>
    <xf numFmtId="0" fontId="10" fillId="0" borderId="0" xfId="0" applyFont="1" applyAlignment="1">
      <alignment vertical="center" wrapText="1"/>
    </xf>
    <xf numFmtId="0" fontId="8" fillId="0" borderId="0" xfId="0" applyFont="1" applyAlignment="1">
      <alignment wrapText="1"/>
    </xf>
    <xf numFmtId="0" fontId="5" fillId="14" borderId="0" xfId="0" applyFont="1" applyFill="1" applyAlignment="1">
      <alignment wrapText="1"/>
    </xf>
    <xf numFmtId="0" fontId="8" fillId="15" borderId="9" xfId="0" applyFont="1" applyFill="1" applyBorder="1" applyAlignment="1">
      <alignment wrapText="1"/>
    </xf>
    <xf numFmtId="0" fontId="5" fillId="0" borderId="0" xfId="0" applyFont="1" applyAlignment="1">
      <alignment horizontal="center"/>
    </xf>
    <xf numFmtId="0" fontId="5" fillId="0" borderId="2" xfId="2" applyFont="1" applyFill="1" applyBorder="1" applyAlignment="1">
      <alignment horizontal="center"/>
    </xf>
    <xf numFmtId="0" fontId="5" fillId="0" borderId="2" xfId="2" applyFont="1" applyFill="1" applyBorder="1" applyAlignment="1">
      <alignment horizontal="center" wrapText="1"/>
    </xf>
    <xf numFmtId="0" fontId="5" fillId="0" borderId="2" xfId="3" applyFont="1" applyFill="1" applyBorder="1" applyAlignment="1">
      <alignment horizontal="center" wrapText="1"/>
    </xf>
    <xf numFmtId="0" fontId="10" fillId="0" borderId="0" xfId="0" applyFont="1" applyAlignment="1">
      <alignment horizontal="center" vertical="center"/>
    </xf>
    <xf numFmtId="4" fontId="5" fillId="0" borderId="2" xfId="11" applyNumberFormat="1" applyFont="1" applyFill="1" applyBorder="1" applyAlignment="1">
      <alignment horizontal="center"/>
    </xf>
    <xf numFmtId="4" fontId="5" fillId="0" borderId="0" xfId="0" applyNumberFormat="1" applyFont="1" applyAlignment="1">
      <alignment horizontal="center"/>
    </xf>
    <xf numFmtId="4" fontId="5" fillId="0" borderId="2" xfId="8" applyNumberFormat="1" applyFont="1" applyFill="1" applyBorder="1" applyAlignment="1">
      <alignment horizontal="center"/>
    </xf>
    <xf numFmtId="4" fontId="5" fillId="0" borderId="2" xfId="6" applyNumberFormat="1" applyFont="1" applyFill="1" applyBorder="1" applyAlignment="1">
      <alignment horizontal="center"/>
    </xf>
    <xf numFmtId="4" fontId="8" fillId="15" borderId="2" xfId="5" applyNumberFormat="1" applyFont="1" applyFill="1" applyBorder="1" applyAlignment="1">
      <alignment horizontal="center"/>
    </xf>
    <xf numFmtId="9" fontId="8" fillId="15" borderId="2" xfId="10" applyNumberFormat="1" applyFont="1" applyFill="1" applyBorder="1" applyAlignment="1">
      <alignment horizontal="center"/>
    </xf>
    <xf numFmtId="4" fontId="8" fillId="0" borderId="2" xfId="9" applyNumberFormat="1" applyFont="1" applyFill="1" applyBorder="1" applyAlignment="1">
      <alignment horizontal="center"/>
    </xf>
    <xf numFmtId="4" fontId="8" fillId="0" borderId="2" xfId="12" applyNumberFormat="1" applyFont="1" applyFill="1" applyBorder="1" applyAlignment="1">
      <alignment horizontal="center"/>
    </xf>
    <xf numFmtId="4" fontId="8" fillId="0" borderId="2" xfId="7" applyNumberFormat="1" applyFont="1" applyFill="1" applyBorder="1" applyAlignment="1">
      <alignment horizontal="center"/>
    </xf>
    <xf numFmtId="4" fontId="8" fillId="0" borderId="0" xfId="0" applyNumberFormat="1" applyFont="1" applyAlignment="1">
      <alignment horizontal="center"/>
    </xf>
    <xf numFmtId="0" fontId="8" fillId="0" borderId="0" xfId="0" applyFont="1" applyAlignment="1">
      <alignment horizontal="center" wrapText="1"/>
    </xf>
    <xf numFmtId="0" fontId="5" fillId="14" borderId="0" xfId="0" applyFont="1" applyFill="1" applyAlignment="1">
      <alignment horizontal="center"/>
    </xf>
    <xf numFmtId="0" fontId="3" fillId="0" borderId="2" xfId="0" applyFont="1" applyBorder="1"/>
    <xf numFmtId="0" fontId="3" fillId="0" borderId="0" xfId="0" applyFont="1"/>
    <xf numFmtId="0" fontId="0" fillId="0" borderId="6" xfId="0" applyBorder="1"/>
    <xf numFmtId="0" fontId="0" fillId="0" borderId="8" xfId="0" applyBorder="1"/>
    <xf numFmtId="0" fontId="0" fillId="0" borderId="2" xfId="0" applyBorder="1"/>
    <xf numFmtId="0" fontId="0" fillId="0" borderId="7" xfId="0" applyBorder="1"/>
    <xf numFmtId="4" fontId="12" fillId="0" borderId="2" xfId="8" applyNumberFormat="1" applyFont="1" applyFill="1" applyBorder="1" applyAlignment="1">
      <alignment horizontal="center"/>
    </xf>
    <xf numFmtId="0" fontId="12" fillId="0" borderId="0" xfId="0" applyFont="1"/>
    <xf numFmtId="164" fontId="6" fillId="0" borderId="0" xfId="0" applyNumberFormat="1" applyFont="1"/>
    <xf numFmtId="0" fontId="12" fillId="0" borderId="2" xfId="0" applyFont="1" applyBorder="1" applyAlignment="1">
      <alignment wrapText="1"/>
    </xf>
    <xf numFmtId="0" fontId="3" fillId="0" borderId="2" xfId="0" applyFont="1" applyBorder="1" applyAlignment="1">
      <alignment horizontal="center"/>
    </xf>
    <xf numFmtId="0" fontId="13" fillId="0" borderId="2" xfId="0" applyFont="1" applyBorder="1"/>
    <xf numFmtId="165" fontId="3" fillId="0" borderId="0" xfId="0" applyNumberFormat="1" applyFont="1" applyAlignment="1">
      <alignment horizontal="center"/>
    </xf>
    <xf numFmtId="9" fontId="3" fillId="0" borderId="0" xfId="0" applyNumberFormat="1" applyFont="1" applyAlignment="1">
      <alignment horizontal="center"/>
    </xf>
    <xf numFmtId="165" fontId="0" fillId="0" borderId="2" xfId="0" applyNumberFormat="1" applyBorder="1" applyAlignment="1">
      <alignment horizontal="center"/>
    </xf>
    <xf numFmtId="9" fontId="0" fillId="0" borderId="2" xfId="0" applyNumberFormat="1" applyBorder="1" applyAlignment="1">
      <alignment horizontal="center"/>
    </xf>
    <xf numFmtId="9" fontId="0" fillId="0" borderId="2" xfId="0" applyNumberFormat="1" applyBorder="1"/>
    <xf numFmtId="0" fontId="5" fillId="17" borderId="0" xfId="0" applyFont="1" applyFill="1" applyAlignment="1">
      <alignment horizontal="center" vertical="center"/>
    </xf>
    <xf numFmtId="0" fontId="5" fillId="17" borderId="0" xfId="0" applyFont="1" applyFill="1" applyAlignment="1">
      <alignment vertical="center" wrapText="1"/>
    </xf>
    <xf numFmtId="9" fontId="5" fillId="17" borderId="0" xfId="2" applyNumberFormat="1" applyFont="1" applyFill="1" applyBorder="1" applyAlignment="1">
      <alignment horizontal="center"/>
    </xf>
    <xf numFmtId="0" fontId="0" fillId="0" borderId="2" xfId="0" applyBorder="1" applyAlignment="1">
      <alignment horizontal="center"/>
    </xf>
    <xf numFmtId="9" fontId="0" fillId="0" borderId="2" xfId="13" applyFont="1" applyBorder="1" applyAlignment="1">
      <alignment horizontal="center"/>
    </xf>
    <xf numFmtId="0" fontId="14" fillId="0" borderId="0" xfId="0" applyFont="1"/>
    <xf numFmtId="0" fontId="5" fillId="17" borderId="2" xfId="0" applyFont="1" applyFill="1" applyBorder="1" applyAlignment="1">
      <alignment vertical="center" wrapText="1"/>
    </xf>
    <xf numFmtId="0" fontId="0" fillId="17" borderId="2" xfId="0" applyFill="1" applyBorder="1"/>
    <xf numFmtId="0" fontId="0" fillId="17" borderId="2" xfId="0" applyFill="1" applyBorder="1" applyAlignment="1">
      <alignment horizontal="center"/>
    </xf>
    <xf numFmtId="0" fontId="11" fillId="17" borderId="0" xfId="0" applyFont="1" applyFill="1" applyAlignment="1">
      <alignment horizontal="center" vertical="center" wrapText="1"/>
    </xf>
    <xf numFmtId="4" fontId="11" fillId="17" borderId="0" xfId="0" applyNumberFormat="1" applyFont="1" applyFill="1" applyAlignment="1">
      <alignment horizontal="center" vertical="center"/>
    </xf>
    <xf numFmtId="9" fontId="0" fillId="17" borderId="0" xfId="13" applyFont="1" applyFill="1" applyBorder="1" applyAlignment="1">
      <alignment horizontal="center"/>
    </xf>
    <xf numFmtId="2" fontId="0" fillId="17" borderId="0" xfId="13" applyNumberFormat="1" applyFont="1" applyFill="1" applyBorder="1" applyAlignment="1">
      <alignment horizontal="center"/>
    </xf>
    <xf numFmtId="2" fontId="0" fillId="0" borderId="0" xfId="0" applyNumberFormat="1"/>
    <xf numFmtId="2" fontId="0" fillId="17" borderId="2" xfId="13" applyNumberFormat="1" applyFont="1" applyFill="1" applyBorder="1" applyAlignment="1"/>
    <xf numFmtId="2" fontId="0" fillId="0" borderId="2" xfId="0" applyNumberFormat="1" applyBorder="1"/>
    <xf numFmtId="2" fontId="0" fillId="17" borderId="0" xfId="13" applyNumberFormat="1" applyFont="1" applyFill="1" applyBorder="1" applyAlignment="1"/>
    <xf numFmtId="0" fontId="0" fillId="17" borderId="0" xfId="0" applyFill="1" applyAlignment="1">
      <alignment horizontal="center"/>
    </xf>
    <xf numFmtId="9" fontId="0" fillId="0" borderId="0" xfId="0" applyNumberFormat="1" applyAlignment="1">
      <alignment horizontal="center"/>
    </xf>
    <xf numFmtId="0" fontId="3" fillId="0" borderId="2" xfId="0" applyFont="1" applyBorder="1" applyAlignment="1">
      <alignment vertical="center"/>
    </xf>
    <xf numFmtId="165" fontId="0" fillId="0" borderId="2" xfId="0" applyNumberFormat="1" applyBorder="1" applyAlignment="1">
      <alignment horizontal="center" vertical="center"/>
    </xf>
    <xf numFmtId="9" fontId="0" fillId="0" borderId="2" xfId="0" applyNumberFormat="1" applyBorder="1" applyAlignment="1">
      <alignment horizontal="center" vertical="center"/>
    </xf>
    <xf numFmtId="0" fontId="8" fillId="0" borderId="2" xfId="0" applyFont="1" applyBorder="1" applyAlignment="1">
      <alignment vertical="center"/>
    </xf>
    <xf numFmtId="0" fontId="3" fillId="0" borderId="0" xfId="0" applyFont="1" applyAlignment="1">
      <alignment horizontal="center"/>
    </xf>
    <xf numFmtId="0" fontId="0" fillId="0" borderId="0" xfId="0" applyAlignment="1">
      <alignment vertical="top" wrapText="1"/>
    </xf>
    <xf numFmtId="0" fontId="0" fillId="0" borderId="0" xfId="0" applyAlignment="1">
      <alignment vertical="top"/>
    </xf>
    <xf numFmtId="0" fontId="0" fillId="0" borderId="17" xfId="0" applyBorder="1"/>
    <xf numFmtId="0" fontId="0" fillId="0" borderId="18" xfId="0" applyBorder="1"/>
    <xf numFmtId="0" fontId="0" fillId="0" borderId="2" xfId="0" applyBorder="1" applyAlignment="1">
      <alignment horizontal="center" vertical="center"/>
    </xf>
    <xf numFmtId="43" fontId="0" fillId="0" borderId="0" xfId="14" applyFont="1"/>
    <xf numFmtId="43" fontId="0" fillId="0" borderId="2" xfId="14" applyFont="1" applyBorder="1"/>
    <xf numFmtId="0" fontId="0" fillId="0" borderId="0" xfId="0" applyAlignment="1">
      <alignment horizontal="center"/>
    </xf>
    <xf numFmtId="0" fontId="5" fillId="17" borderId="0" xfId="2" applyFont="1" applyFill="1" applyBorder="1" applyAlignment="1">
      <alignment horizontal="left" vertical="center"/>
    </xf>
    <xf numFmtId="2" fontId="0" fillId="0" borderId="2" xfId="0" applyNumberFormat="1" applyBorder="1" applyAlignment="1">
      <alignment horizontal="center"/>
    </xf>
    <xf numFmtId="0" fontId="0" fillId="18" borderId="2" xfId="0" applyFill="1" applyBorder="1" applyAlignment="1">
      <alignment horizontal="center"/>
    </xf>
    <xf numFmtId="0" fontId="3" fillId="0" borderId="14" xfId="0" applyFont="1" applyBorder="1" applyAlignment="1">
      <alignment horizontal="center"/>
    </xf>
    <xf numFmtId="0" fontId="8" fillId="17" borderId="0" xfId="0" applyFont="1" applyFill="1" applyAlignment="1">
      <alignment vertical="center" wrapText="1"/>
    </xf>
    <xf numFmtId="9" fontId="0" fillId="16" borderId="2" xfId="13" applyFont="1" applyFill="1" applyBorder="1" applyAlignment="1">
      <alignment horizontal="center"/>
    </xf>
    <xf numFmtId="0" fontId="0" fillId="16" borderId="2" xfId="0" applyFill="1" applyBorder="1" applyAlignment="1">
      <alignment horizontal="center"/>
    </xf>
    <xf numFmtId="0" fontId="8" fillId="17" borderId="0" xfId="0" applyFont="1" applyFill="1"/>
    <xf numFmtId="0" fontId="5" fillId="0" borderId="0" xfId="2" applyFont="1" applyFill="1" applyBorder="1" applyAlignment="1">
      <alignment horizontal="center"/>
    </xf>
    <xf numFmtId="0" fontId="5" fillId="0" borderId="0" xfId="3" applyFont="1" applyFill="1" applyBorder="1" applyAlignment="1">
      <alignment horizontal="left" wrapText="1"/>
    </xf>
    <xf numFmtId="9" fontId="5" fillId="16" borderId="2" xfId="2" applyNumberFormat="1" applyFont="1" applyFill="1" applyBorder="1" applyAlignment="1">
      <alignment horizontal="center"/>
    </xf>
    <xf numFmtId="2" fontId="0" fillId="17" borderId="2" xfId="0" applyNumberFormat="1" applyFill="1" applyBorder="1"/>
    <xf numFmtId="9" fontId="0" fillId="0" borderId="0" xfId="13" applyFont="1" applyBorder="1" applyAlignment="1">
      <alignment horizontal="center"/>
    </xf>
    <xf numFmtId="0" fontId="0" fillId="17" borderId="0" xfId="0" applyFill="1"/>
    <xf numFmtId="9" fontId="0" fillId="17" borderId="2" xfId="0" applyNumberFormat="1" applyFill="1" applyBorder="1" applyAlignment="1">
      <alignment horizontal="center"/>
    </xf>
    <xf numFmtId="9" fontId="0" fillId="17" borderId="0" xfId="0" applyNumberFormat="1" applyFill="1" applyAlignment="1">
      <alignment horizontal="center"/>
    </xf>
    <xf numFmtId="10" fontId="0" fillId="0" borderId="2" xfId="13" applyNumberFormat="1" applyFont="1" applyBorder="1" applyAlignment="1">
      <alignment horizontal="center"/>
    </xf>
    <xf numFmtId="0" fontId="0" fillId="0" borderId="2" xfId="0" applyBorder="1" applyAlignment="1">
      <alignment wrapText="1"/>
    </xf>
    <xf numFmtId="0" fontId="0" fillId="0" borderId="2" xfId="0" applyBorder="1" applyAlignment="1">
      <alignment horizontal="center" vertical="center" wrapText="1"/>
    </xf>
    <xf numFmtId="164" fontId="0" fillId="0" borderId="2" xfId="0" applyNumberFormat="1" applyBorder="1" applyAlignment="1">
      <alignment horizontal="center"/>
    </xf>
    <xf numFmtId="4" fontId="5" fillId="16" borderId="2" xfId="2" applyNumberFormat="1" applyFont="1" applyFill="1" applyBorder="1" applyAlignment="1">
      <alignment horizontal="center"/>
    </xf>
    <xf numFmtId="166" fontId="5" fillId="16" borderId="2" xfId="2" applyNumberFormat="1" applyFont="1" applyFill="1" applyBorder="1" applyAlignment="1">
      <alignment horizontal="center"/>
    </xf>
    <xf numFmtId="10" fontId="5" fillId="16" borderId="2" xfId="2" applyNumberFormat="1" applyFont="1" applyFill="1" applyBorder="1" applyAlignment="1">
      <alignment horizontal="center"/>
    </xf>
    <xf numFmtId="0" fontId="5" fillId="0" borderId="9" xfId="0" applyFont="1" applyBorder="1" applyAlignment="1">
      <alignment wrapText="1"/>
    </xf>
    <xf numFmtId="0" fontId="15" fillId="0" borderId="0" xfId="0" applyFont="1" applyAlignment="1">
      <alignment vertical="center"/>
    </xf>
    <xf numFmtId="0" fontId="8" fillId="0" borderId="2" xfId="0" applyFont="1" applyBorder="1" applyAlignment="1">
      <alignment wrapText="1"/>
    </xf>
    <xf numFmtId="4" fontId="0" fillId="0" borderId="2" xfId="0" applyNumberFormat="1" applyBorder="1" applyAlignment="1">
      <alignment horizontal="center"/>
    </xf>
    <xf numFmtId="166" fontId="0" fillId="0" borderId="2" xfId="0" applyNumberFormat="1" applyBorder="1" applyAlignment="1">
      <alignment horizontal="center"/>
    </xf>
    <xf numFmtId="0" fontId="5" fillId="17" borderId="2" xfId="0" applyFont="1" applyFill="1" applyBorder="1" applyAlignment="1">
      <alignment horizontal="center"/>
    </xf>
    <xf numFmtId="0" fontId="16" fillId="0" borderId="2" xfId="0" applyFont="1" applyBorder="1" applyAlignment="1">
      <alignment wrapText="1"/>
    </xf>
    <xf numFmtId="0" fontId="17" fillId="0" borderId="2" xfId="0" applyFont="1" applyBorder="1" applyAlignment="1">
      <alignment horizontal="center" vertical="center"/>
    </xf>
    <xf numFmtId="4" fontId="17" fillId="0" borderId="2" xfId="0" applyNumberFormat="1" applyFont="1" applyBorder="1" applyAlignment="1">
      <alignment horizontal="center"/>
    </xf>
    <xf numFmtId="9" fontId="17" fillId="0" borderId="2" xfId="0" applyNumberFormat="1" applyFont="1" applyBorder="1" applyAlignment="1">
      <alignment horizontal="center"/>
    </xf>
    <xf numFmtId="2" fontId="17" fillId="0" borderId="2" xfId="0" applyNumberFormat="1" applyFont="1" applyBorder="1" applyAlignment="1">
      <alignment horizontal="center"/>
    </xf>
    <xf numFmtId="9" fontId="17" fillId="0" borderId="2" xfId="13" applyFont="1" applyBorder="1" applyAlignment="1">
      <alignment horizontal="center"/>
    </xf>
    <xf numFmtId="0" fontId="17" fillId="0" borderId="0" xfId="0" applyFont="1"/>
    <xf numFmtId="166" fontId="17" fillId="0" borderId="2" xfId="0" applyNumberFormat="1" applyFont="1" applyBorder="1" applyAlignment="1">
      <alignment horizontal="center"/>
    </xf>
    <xf numFmtId="0" fontId="18" fillId="0" borderId="2" xfId="0" applyFont="1" applyBorder="1" applyAlignment="1">
      <alignment horizontal="center"/>
    </xf>
    <xf numFmtId="4" fontId="18" fillId="0" borderId="2" xfId="0" applyNumberFormat="1" applyFont="1" applyBorder="1" applyAlignment="1">
      <alignment horizontal="center"/>
    </xf>
    <xf numFmtId="0" fontId="18" fillId="0" borderId="0" xfId="0" applyFont="1"/>
    <xf numFmtId="1" fontId="18" fillId="0" borderId="2" xfId="13" applyNumberFormat="1" applyFont="1" applyBorder="1" applyAlignment="1">
      <alignment horizontal="center"/>
    </xf>
    <xf numFmtId="1" fontId="18" fillId="0" borderId="2" xfId="13" applyNumberFormat="1" applyFont="1" applyBorder="1"/>
    <xf numFmtId="9" fontId="5" fillId="17" borderId="2" xfId="2" applyNumberFormat="1" applyFont="1" applyFill="1" applyBorder="1" applyAlignment="1">
      <alignment horizontal="center"/>
    </xf>
    <xf numFmtId="2" fontId="0" fillId="17" borderId="0" xfId="0" applyNumberFormat="1" applyFill="1"/>
    <xf numFmtId="4" fontId="16" fillId="0" borderId="2" xfId="11" applyNumberFormat="1" applyFont="1" applyFill="1" applyBorder="1" applyAlignment="1">
      <alignment horizontal="center"/>
    </xf>
    <xf numFmtId="4" fontId="16" fillId="0" borderId="2" xfId="8" applyNumberFormat="1" applyFont="1" applyFill="1" applyBorder="1" applyAlignment="1">
      <alignment horizontal="center"/>
    </xf>
    <xf numFmtId="10" fontId="0" fillId="0" borderId="2" xfId="0" applyNumberFormat="1" applyBorder="1" applyAlignment="1">
      <alignment horizontal="center"/>
    </xf>
    <xf numFmtId="9" fontId="0" fillId="17" borderId="2" xfId="13" applyFont="1" applyFill="1" applyBorder="1" applyAlignment="1">
      <alignment horizontal="center"/>
    </xf>
    <xf numFmtId="0" fontId="5" fillId="16" borderId="2" xfId="2" applyFont="1" applyFill="1" applyBorder="1" applyAlignment="1">
      <alignment horizontal="center"/>
    </xf>
    <xf numFmtId="10" fontId="0" fillId="17" borderId="0" xfId="13" applyNumberFormat="1" applyFont="1" applyFill="1" applyBorder="1" applyAlignment="1">
      <alignment horizontal="center"/>
    </xf>
    <xf numFmtId="164" fontId="0" fillId="17" borderId="0" xfId="0" applyNumberFormat="1" applyFill="1" applyAlignment="1">
      <alignment horizontal="center"/>
    </xf>
    <xf numFmtId="10" fontId="0" fillId="17" borderId="0" xfId="0" applyNumberFormat="1" applyFill="1" applyAlignment="1">
      <alignment horizontal="center"/>
    </xf>
    <xf numFmtId="4" fontId="0" fillId="16" borderId="2" xfId="0" applyNumberFormat="1" applyFill="1" applyBorder="1" applyAlignment="1">
      <alignment horizontal="center"/>
    </xf>
    <xf numFmtId="0" fontId="16" fillId="0" borderId="2" xfId="0" applyFont="1" applyBorder="1" applyAlignment="1">
      <alignment horizontal="center"/>
    </xf>
    <xf numFmtId="4" fontId="1" fillId="0" borderId="2" xfId="8" applyNumberFormat="1" applyFill="1" applyBorder="1" applyAlignment="1">
      <alignment horizontal="center"/>
    </xf>
    <xf numFmtId="9" fontId="5" fillId="16" borderId="2" xfId="13" applyFont="1" applyFill="1" applyBorder="1" applyAlignment="1">
      <alignment horizontal="center"/>
    </xf>
    <xf numFmtId="0" fontId="5" fillId="16" borderId="2" xfId="13" applyNumberFormat="1" applyFont="1" applyFill="1" applyBorder="1" applyAlignment="1">
      <alignment horizontal="center"/>
    </xf>
    <xf numFmtId="0" fontId="5" fillId="17" borderId="0" xfId="13" applyNumberFormat="1" applyFont="1" applyFill="1" applyBorder="1" applyAlignment="1">
      <alignment horizontal="center"/>
    </xf>
    <xf numFmtId="0" fontId="5" fillId="17" borderId="2" xfId="13" applyNumberFormat="1" applyFont="1" applyFill="1" applyBorder="1" applyAlignment="1">
      <alignment horizontal="center"/>
    </xf>
    <xf numFmtId="4" fontId="5" fillId="17" borderId="2" xfId="2" applyNumberFormat="1" applyFont="1" applyFill="1" applyBorder="1" applyAlignment="1">
      <alignment horizontal="center"/>
    </xf>
    <xf numFmtId="10" fontId="0" fillId="17" borderId="2" xfId="13" applyNumberFormat="1" applyFont="1" applyFill="1" applyBorder="1" applyAlignment="1">
      <alignment horizontal="center"/>
    </xf>
    <xf numFmtId="9" fontId="5" fillId="16" borderId="2" xfId="13" applyFont="1" applyFill="1" applyBorder="1" applyAlignment="1">
      <alignment horizontal="center" wrapText="1"/>
    </xf>
    <xf numFmtId="4" fontId="19" fillId="0" borderId="2" xfId="11" applyNumberFormat="1" applyFont="1" applyFill="1" applyBorder="1" applyAlignment="1">
      <alignment horizontal="center"/>
    </xf>
    <xf numFmtId="4" fontId="19" fillId="0" borderId="2" xfId="8" applyNumberFormat="1" applyFont="1" applyFill="1" applyBorder="1" applyAlignment="1">
      <alignment horizontal="center"/>
    </xf>
    <xf numFmtId="0" fontId="20" fillId="0" borderId="2" xfId="0" applyFont="1" applyBorder="1" applyAlignment="1">
      <alignment wrapText="1"/>
    </xf>
    <xf numFmtId="0" fontId="20" fillId="0" borderId="2" xfId="0" applyFont="1" applyBorder="1" applyAlignment="1">
      <alignment horizontal="center" vertical="center"/>
    </xf>
    <xf numFmtId="0" fontId="20" fillId="0" borderId="2" xfId="0" applyFont="1" applyBorder="1" applyAlignment="1">
      <alignment horizontal="center"/>
    </xf>
    <xf numFmtId="0" fontId="0" fillId="0" borderId="9" xfId="0" applyBorder="1" applyAlignment="1">
      <alignment wrapText="1"/>
    </xf>
    <xf numFmtId="43" fontId="0" fillId="0" borderId="0" xfId="14" applyFont="1" applyAlignment="1">
      <alignment horizontal="center"/>
    </xf>
    <xf numFmtId="0" fontId="5" fillId="17" borderId="2" xfId="2" applyFont="1" applyFill="1" applyBorder="1" applyAlignment="1">
      <alignment horizontal="center"/>
    </xf>
    <xf numFmtId="4" fontId="20" fillId="0" borderId="2" xfId="11" applyNumberFormat="1" applyFont="1" applyFill="1" applyBorder="1" applyAlignment="1">
      <alignment horizontal="center"/>
    </xf>
    <xf numFmtId="4" fontId="20" fillId="0" borderId="2" xfId="8" applyNumberFormat="1" applyFont="1" applyFill="1" applyBorder="1" applyAlignment="1">
      <alignment horizontal="center"/>
    </xf>
    <xf numFmtId="0" fontId="5" fillId="0" borderId="9" xfId="3" applyFont="1" applyFill="1" applyBorder="1" applyAlignment="1">
      <alignment horizontal="center" wrapText="1"/>
    </xf>
    <xf numFmtId="0" fontId="5" fillId="0" borderId="10" xfId="3" applyFont="1" applyFill="1" applyBorder="1" applyAlignment="1">
      <alignment horizontal="center" wrapText="1"/>
    </xf>
    <xf numFmtId="0" fontId="5" fillId="0" borderId="5" xfId="3" applyFont="1" applyFill="1" applyBorder="1" applyAlignment="1">
      <alignment horizontal="center" wrapText="1"/>
    </xf>
    <xf numFmtId="0" fontId="5" fillId="16" borderId="2" xfId="2" applyFont="1" applyFill="1" applyBorder="1" applyAlignment="1">
      <alignment horizontal="center" vertical="center" wrapText="1"/>
    </xf>
    <xf numFmtId="9" fontId="5" fillId="16" borderId="2" xfId="2" applyNumberFormat="1" applyFont="1" applyFill="1" applyBorder="1" applyAlignment="1">
      <alignment horizontal="center" vertical="center" wrapText="1"/>
    </xf>
    <xf numFmtId="0" fontId="0" fillId="0" borderId="0" xfId="0" applyAlignment="1">
      <alignment wrapText="1"/>
    </xf>
    <xf numFmtId="0" fontId="0" fillId="0" borderId="2" xfId="13" applyNumberFormat="1" applyFont="1" applyBorder="1" applyAlignment="1">
      <alignment horizontal="center"/>
    </xf>
    <xf numFmtId="9" fontId="20" fillId="0" borderId="2" xfId="0" applyNumberFormat="1" applyFont="1" applyBorder="1" applyAlignment="1">
      <alignment horizontal="center"/>
    </xf>
    <xf numFmtId="2" fontId="5" fillId="0" borderId="2" xfId="3" applyNumberFormat="1" applyFont="1" applyFill="1" applyBorder="1" applyAlignment="1">
      <alignment horizontal="center" wrapText="1"/>
    </xf>
    <xf numFmtId="0" fontId="5" fillId="17" borderId="2" xfId="13" applyNumberFormat="1" applyFont="1" applyFill="1" applyBorder="1" applyAlignment="1">
      <alignment horizontal="center" wrapText="1"/>
    </xf>
    <xf numFmtId="2" fontId="5" fillId="0" borderId="2" xfId="2" applyNumberFormat="1" applyFont="1" applyFill="1" applyBorder="1" applyAlignment="1">
      <alignment horizontal="center" wrapText="1"/>
    </xf>
    <xf numFmtId="0" fontId="3" fillId="17" borderId="0" xfId="0" applyFont="1" applyFill="1" applyAlignment="1">
      <alignment horizontal="center"/>
    </xf>
    <xf numFmtId="2" fontId="0" fillId="0" borderId="9" xfId="0" applyNumberFormat="1" applyBorder="1"/>
    <xf numFmtId="2" fontId="0" fillId="17" borderId="9" xfId="13" applyNumberFormat="1" applyFont="1" applyFill="1" applyBorder="1" applyAlignment="1"/>
    <xf numFmtId="43" fontId="0" fillId="0" borderId="0" xfId="14" applyFont="1" applyBorder="1" applyAlignment="1">
      <alignment horizontal="center"/>
    </xf>
    <xf numFmtId="0" fontId="17" fillId="0" borderId="0" xfId="0" applyFont="1" applyAlignment="1">
      <alignment horizontal="center" vertical="center"/>
    </xf>
    <xf numFmtId="4" fontId="0" fillId="0" borderId="0" xfId="0" applyNumberFormat="1" applyAlignment="1">
      <alignment horizontal="center"/>
    </xf>
    <xf numFmtId="2" fontId="0" fillId="0" borderId="0" xfId="0" applyNumberFormat="1" applyAlignment="1">
      <alignment horizontal="center"/>
    </xf>
    <xf numFmtId="166" fontId="0" fillId="0" borderId="0" xfId="0" applyNumberFormat="1" applyAlignment="1">
      <alignment horizontal="center"/>
    </xf>
    <xf numFmtId="0" fontId="0" fillId="0" borderId="0" xfId="13" applyNumberFormat="1" applyFont="1" applyBorder="1" applyAlignment="1">
      <alignment horizontal="center"/>
    </xf>
    <xf numFmtId="0" fontId="20" fillId="0" borderId="0" xfId="0" applyFont="1" applyAlignment="1">
      <alignment horizontal="center"/>
    </xf>
    <xf numFmtId="2" fontId="20" fillId="0" borderId="2" xfId="0" applyNumberFormat="1" applyFont="1" applyBorder="1" applyAlignment="1">
      <alignment horizontal="center"/>
    </xf>
    <xf numFmtId="0" fontId="5" fillId="17" borderId="2" xfId="2" applyFont="1" applyFill="1" applyBorder="1" applyAlignment="1">
      <alignment horizontal="center" vertical="center" wrapText="1"/>
    </xf>
    <xf numFmtId="0" fontId="5" fillId="17" borderId="2" xfId="2" applyNumberFormat="1" applyFont="1" applyFill="1" applyBorder="1" applyAlignment="1">
      <alignment horizontal="center"/>
    </xf>
    <xf numFmtId="4" fontId="17" fillId="0" borderId="2" xfId="11" applyNumberFormat="1" applyFont="1" applyFill="1" applyBorder="1" applyAlignment="1">
      <alignment horizontal="center"/>
    </xf>
    <xf numFmtId="4" fontId="17" fillId="0" borderId="2" xfId="8" applyNumberFormat="1" applyFont="1" applyFill="1" applyBorder="1" applyAlignment="1">
      <alignment horizontal="center"/>
    </xf>
    <xf numFmtId="4" fontId="1" fillId="0" borderId="2" xfId="11" applyNumberFormat="1" applyFill="1" applyBorder="1" applyAlignment="1">
      <alignment horizontal="center"/>
    </xf>
    <xf numFmtId="2" fontId="5" fillId="17" borderId="2" xfId="2" applyNumberFormat="1" applyFont="1" applyFill="1" applyBorder="1" applyAlignment="1">
      <alignment horizontal="center"/>
    </xf>
    <xf numFmtId="0" fontId="0" fillId="0" borderId="9" xfId="0" applyBorder="1" applyAlignment="1">
      <alignment horizontal="center"/>
    </xf>
    <xf numFmtId="0" fontId="0" fillId="0" borderId="19" xfId="0" applyBorder="1"/>
    <xf numFmtId="0" fontId="5" fillId="16" borderId="2" xfId="2" applyFont="1" applyFill="1" applyBorder="1" applyAlignment="1">
      <alignment horizontal="center" vertical="center"/>
    </xf>
    <xf numFmtId="9" fontId="5" fillId="16" borderId="2" xfId="2" applyNumberFormat="1" applyFont="1" applyFill="1" applyBorder="1" applyAlignment="1">
      <alignment horizontal="center" vertical="center"/>
    </xf>
    <xf numFmtId="166" fontId="17" fillId="0" borderId="0" xfId="0" applyNumberFormat="1" applyFont="1" applyAlignment="1">
      <alignment horizontal="center"/>
    </xf>
    <xf numFmtId="9" fontId="17" fillId="0" borderId="0" xfId="0" applyNumberFormat="1" applyFont="1" applyAlignment="1">
      <alignment horizontal="center"/>
    </xf>
    <xf numFmtId="9" fontId="17" fillId="0" borderId="0" xfId="13" applyFont="1" applyBorder="1" applyAlignment="1">
      <alignment horizontal="center"/>
    </xf>
    <xf numFmtId="43" fontId="0" fillId="0" borderId="2" xfId="14" applyFont="1" applyBorder="1" applyAlignment="1">
      <alignment horizontal="center"/>
    </xf>
    <xf numFmtId="0" fontId="0" fillId="16" borderId="9" xfId="0" applyFill="1" applyBorder="1" applyAlignment="1">
      <alignment horizontal="center"/>
    </xf>
    <xf numFmtId="9" fontId="0" fillId="0" borderId="0" xfId="0" applyNumberFormat="1"/>
    <xf numFmtId="9" fontId="5" fillId="0" borderId="0" xfId="3" applyNumberFormat="1" applyFont="1" applyFill="1" applyBorder="1" applyAlignment="1">
      <alignment horizontal="left" wrapText="1"/>
    </xf>
    <xf numFmtId="0" fontId="0" fillId="0" borderId="0" xfId="0" applyAlignment="1">
      <alignment vertical="center"/>
    </xf>
    <xf numFmtId="0" fontId="0" fillId="0" borderId="2" xfId="0" applyBorder="1" applyAlignment="1">
      <alignment vertical="center"/>
    </xf>
    <xf numFmtId="9" fontId="0" fillId="16" borderId="2" xfId="13" applyFont="1" applyFill="1" applyBorder="1" applyAlignment="1">
      <alignment horizontal="center" vertical="center"/>
    </xf>
    <xf numFmtId="10" fontId="0" fillId="0" borderId="2" xfId="13" applyNumberFormat="1" applyFont="1" applyBorder="1" applyAlignment="1">
      <alignment horizontal="center" vertical="center"/>
    </xf>
    <xf numFmtId="0" fontId="16" fillId="0" borderId="2" xfId="0" applyFont="1" applyBorder="1"/>
    <xf numFmtId="0" fontId="21" fillId="0" borderId="2" xfId="0" applyFont="1" applyBorder="1" applyAlignment="1">
      <alignment vertical="center"/>
    </xf>
    <xf numFmtId="0" fontId="21" fillId="0" borderId="2" xfId="0" applyFont="1" applyBorder="1"/>
    <xf numFmtId="9" fontId="0" fillId="16" borderId="2" xfId="0" applyNumberFormat="1" applyFill="1" applyBorder="1"/>
    <xf numFmtId="0" fontId="5" fillId="0" borderId="0" xfId="3" applyFont="1" applyFill="1" applyBorder="1" applyAlignment="1">
      <alignment horizontal="center" wrapText="1"/>
    </xf>
    <xf numFmtId="0" fontId="22" fillId="0" borderId="2" xfId="0" applyFont="1" applyBorder="1" applyAlignment="1">
      <alignment horizontal="left" vertical="center"/>
    </xf>
    <xf numFmtId="0" fontId="0" fillId="0" borderId="22" xfId="0" applyBorder="1" applyAlignment="1">
      <alignment vertical="center"/>
    </xf>
    <xf numFmtId="166" fontId="0" fillId="0" borderId="0" xfId="0" applyNumberFormat="1" applyAlignment="1">
      <alignment horizontal="center" vertical="center"/>
    </xf>
    <xf numFmtId="4" fontId="0" fillId="0" borderId="0" xfId="0" applyNumberFormat="1" applyAlignment="1">
      <alignment horizontal="center" vertical="center"/>
    </xf>
    <xf numFmtId="0" fontId="5" fillId="17" borderId="2" xfId="0" applyFont="1" applyFill="1" applyBorder="1" applyAlignment="1">
      <alignment horizontal="center" vertical="center"/>
    </xf>
    <xf numFmtId="0" fontId="5" fillId="17" borderId="2" xfId="3" applyNumberFormat="1" applyFont="1" applyFill="1" applyBorder="1" applyAlignment="1">
      <alignment horizontal="center" wrapText="1"/>
    </xf>
    <xf numFmtId="0" fontId="0" fillId="0" borderId="26" xfId="0" applyBorder="1" applyAlignment="1">
      <alignment vertical="center"/>
    </xf>
    <xf numFmtId="4" fontId="3" fillId="0" borderId="8" xfId="0" applyNumberFormat="1" applyFont="1" applyBorder="1" applyAlignment="1">
      <alignment horizontal="center" vertical="center"/>
    </xf>
    <xf numFmtId="166" fontId="0" fillId="16" borderId="2" xfId="0" applyNumberFormat="1" applyFill="1" applyBorder="1" applyAlignment="1">
      <alignment horizontal="center" vertical="center"/>
    </xf>
    <xf numFmtId="9" fontId="5" fillId="17" borderId="2" xfId="13" applyFont="1" applyFill="1" applyBorder="1" applyAlignment="1">
      <alignment horizontal="center" vertical="center" wrapText="1"/>
    </xf>
    <xf numFmtId="0" fontId="5" fillId="0" borderId="0" xfId="4" applyFont="1" applyFill="1" applyBorder="1" applyAlignment="1">
      <alignment vertical="center"/>
    </xf>
    <xf numFmtId="0" fontId="5" fillId="0" borderId="0" xfId="3" applyFont="1" applyFill="1" applyBorder="1" applyAlignment="1">
      <alignment vertical="center" wrapText="1"/>
    </xf>
    <xf numFmtId="9" fontId="0" fillId="0" borderId="2" xfId="13" applyFont="1" applyBorder="1" applyAlignment="1">
      <alignment horizontal="center" vertical="center"/>
    </xf>
    <xf numFmtId="0" fontId="5" fillId="0" borderId="0" xfId="3" applyFont="1" applyFill="1" applyBorder="1" applyAlignment="1">
      <alignment wrapText="1"/>
    </xf>
    <xf numFmtId="0" fontId="1" fillId="0" borderId="0" xfId="3" applyFill="1" applyBorder="1" applyAlignment="1">
      <alignment wrapText="1"/>
    </xf>
    <xf numFmtId="0" fontId="8" fillId="0" borderId="27" xfId="0" applyFont="1" applyBorder="1" applyAlignment="1">
      <alignment horizontal="center" vertical="center"/>
    </xf>
    <xf numFmtId="0" fontId="8" fillId="0" borderId="28" xfId="0" applyFont="1" applyBorder="1" applyAlignment="1">
      <alignment horizontal="left" vertical="center"/>
    </xf>
    <xf numFmtId="0" fontId="8" fillId="0" borderId="28" xfId="0" applyFont="1" applyBorder="1" applyAlignment="1">
      <alignment horizontal="center" vertical="center"/>
    </xf>
    <xf numFmtId="0" fontId="8" fillId="0" borderId="28" xfId="0" applyFont="1" applyBorder="1" applyAlignment="1">
      <alignment horizontal="center" vertical="center" wrapText="1"/>
    </xf>
    <xf numFmtId="0" fontId="8" fillId="0" borderId="28" xfId="15" applyFont="1" applyBorder="1" applyAlignment="1">
      <alignment horizontal="center" vertical="center"/>
    </xf>
    <xf numFmtId="0" fontId="8" fillId="0" borderId="29" xfId="0" applyFont="1" applyBorder="1" applyAlignment="1">
      <alignment horizontal="center" vertical="center" wrapText="1"/>
    </xf>
    <xf numFmtId="0" fontId="5" fillId="0" borderId="30" xfId="0" applyFont="1" applyBorder="1" applyAlignment="1">
      <alignment vertical="center"/>
    </xf>
    <xf numFmtId="0" fontId="5" fillId="0" borderId="6" xfId="0" applyFont="1" applyBorder="1" applyAlignment="1">
      <alignment vertical="center"/>
    </xf>
    <xf numFmtId="0" fontId="8" fillId="0" borderId="2" xfId="0" applyFont="1" applyBorder="1" applyAlignment="1">
      <alignment horizontal="left" vertical="center"/>
    </xf>
    <xf numFmtId="0" fontId="5" fillId="0" borderId="7" xfId="0" applyFont="1" applyBorder="1" applyAlignment="1">
      <alignment vertical="center"/>
    </xf>
    <xf numFmtId="0" fontId="8" fillId="0" borderId="31" xfId="0" applyFont="1" applyBorder="1" applyAlignment="1">
      <alignment vertical="center" wrapText="1"/>
    </xf>
    <xf numFmtId="49" fontId="8" fillId="0" borderId="2" xfId="0" applyNumberFormat="1" applyFont="1" applyBorder="1" applyAlignment="1">
      <alignment horizontal="left" vertical="center"/>
    </xf>
    <xf numFmtId="9" fontId="8" fillId="0" borderId="2" xfId="13" applyFont="1" applyFill="1" applyBorder="1" applyAlignment="1">
      <alignment horizontal="center" vertical="center"/>
    </xf>
    <xf numFmtId="9" fontId="8" fillId="0" borderId="2" xfId="13" applyFont="1" applyFill="1" applyBorder="1" applyAlignment="1">
      <alignment horizontal="center" vertical="center" wrapText="1"/>
    </xf>
    <xf numFmtId="9" fontId="24" fillId="0" borderId="2" xfId="16" applyNumberFormat="1" applyFont="1" applyFill="1" applyBorder="1" applyAlignment="1">
      <alignment horizontal="center" vertical="center" wrapText="1"/>
    </xf>
    <xf numFmtId="9" fontId="8" fillId="0" borderId="32" xfId="13" applyFont="1" applyFill="1" applyBorder="1" applyAlignment="1">
      <alignment horizontal="center" vertical="center"/>
    </xf>
    <xf numFmtId="0" fontId="8" fillId="0" borderId="7" xfId="0" applyFont="1" applyBorder="1" applyAlignment="1">
      <alignment vertical="center"/>
    </xf>
    <xf numFmtId="0" fontId="8" fillId="0" borderId="6" xfId="0" applyFont="1" applyBorder="1" applyAlignment="1">
      <alignment vertical="center"/>
    </xf>
    <xf numFmtId="0" fontId="5" fillId="0" borderId="31" xfId="0" applyFont="1" applyBorder="1" applyAlignment="1">
      <alignment vertical="center" wrapText="1"/>
    </xf>
    <xf numFmtId="9" fontId="5" fillId="0" borderId="2" xfId="13" applyFont="1" applyFill="1" applyBorder="1" applyAlignment="1">
      <alignment horizontal="center" vertical="center"/>
    </xf>
    <xf numFmtId="9" fontId="5" fillId="0" borderId="2" xfId="13" applyFont="1" applyFill="1" applyBorder="1" applyAlignment="1">
      <alignment horizontal="center" vertical="center" wrapText="1"/>
    </xf>
    <xf numFmtId="9" fontId="25" fillId="0" borderId="2" xfId="16" applyNumberFormat="1" applyFont="1" applyFill="1" applyBorder="1" applyAlignment="1">
      <alignment horizontal="center" vertical="center" wrapText="1"/>
    </xf>
    <xf numFmtId="9" fontId="5" fillId="0" borderId="32" xfId="13" applyFont="1" applyFill="1" applyBorder="1" applyAlignment="1">
      <alignment horizontal="center" vertical="center" wrapText="1"/>
    </xf>
    <xf numFmtId="2" fontId="5" fillId="0" borderId="0" xfId="0" applyNumberFormat="1" applyFont="1" applyAlignment="1">
      <alignment horizontal="left"/>
    </xf>
    <xf numFmtId="1" fontId="5" fillId="0" borderId="2" xfId="13" applyNumberFormat="1" applyFont="1" applyFill="1" applyBorder="1" applyAlignment="1">
      <alignment horizontal="left" vertical="center"/>
    </xf>
    <xf numFmtId="0" fontId="5" fillId="0" borderId="32" xfId="16" applyFont="1" applyFill="1" applyBorder="1" applyAlignment="1">
      <alignment horizontal="center" vertical="center" wrapText="1"/>
    </xf>
    <xf numFmtId="0" fontId="8" fillId="0" borderId="31" xfId="0" applyFont="1" applyBorder="1" applyAlignment="1">
      <alignment horizontal="center" vertical="center"/>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8" fillId="0" borderId="2" xfId="15" applyFont="1" applyBorder="1" applyAlignment="1">
      <alignment horizontal="center" vertical="center"/>
    </xf>
    <xf numFmtId="0" fontId="8" fillId="0" borderId="32" xfId="0" applyFont="1" applyBorder="1" applyAlignment="1">
      <alignment horizontal="center" vertical="center" wrapText="1"/>
    </xf>
    <xf numFmtId="49" fontId="5" fillId="0" borderId="2" xfId="0" applyNumberFormat="1" applyFont="1" applyBorder="1" applyAlignment="1">
      <alignment horizontal="left" vertical="center"/>
    </xf>
    <xf numFmtId="0" fontId="8" fillId="0" borderId="27" xfId="0" applyFont="1" applyBorder="1" applyAlignment="1">
      <alignment vertical="center" wrapText="1"/>
    </xf>
    <xf numFmtId="0" fontId="8" fillId="0" borderId="28" xfId="0" applyFont="1" applyBorder="1" applyAlignment="1">
      <alignment vertical="center" wrapText="1"/>
    </xf>
    <xf numFmtId="0" fontId="8" fillId="0" borderId="29" xfId="0" applyFont="1" applyBorder="1" applyAlignment="1">
      <alignment vertical="center" wrapTex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33" xfId="0" applyFont="1" applyBorder="1" applyAlignment="1">
      <alignment horizontal="center" vertical="center"/>
    </xf>
    <xf numFmtId="0" fontId="5" fillId="0" borderId="31" xfId="0" applyFont="1" applyBorder="1" applyAlignment="1">
      <alignment horizontal="left" vertical="center" wrapText="1"/>
    </xf>
    <xf numFmtId="10" fontId="5" fillId="0" borderId="2" xfId="0" applyNumberFormat="1" applyFont="1" applyBorder="1" applyAlignment="1">
      <alignment horizontal="left" vertical="center"/>
    </xf>
    <xf numFmtId="0" fontId="5" fillId="0" borderId="32" xfId="0" applyFont="1" applyBorder="1" applyAlignment="1">
      <alignment horizontal="center" vertical="center"/>
    </xf>
    <xf numFmtId="0" fontId="5" fillId="0" borderId="17" xfId="0" applyFont="1" applyBorder="1" applyAlignment="1">
      <alignment vertical="center"/>
    </xf>
    <xf numFmtId="0" fontId="5" fillId="0" borderId="0" xfId="15" applyFont="1" applyAlignment="1">
      <alignment vertical="center"/>
    </xf>
    <xf numFmtId="0" fontId="5" fillId="0" borderId="18" xfId="0" applyFont="1" applyBorder="1" applyAlignment="1">
      <alignment vertical="center" wrapText="1"/>
    </xf>
    <xf numFmtId="0" fontId="5" fillId="0" borderId="18" xfId="0" applyFont="1" applyBorder="1" applyAlignment="1">
      <alignment vertical="center"/>
    </xf>
    <xf numFmtId="0" fontId="5" fillId="0" borderId="33" xfId="0" applyFont="1" applyBorder="1" applyAlignment="1">
      <alignment vertical="center"/>
    </xf>
    <xf numFmtId="0" fontId="5" fillId="0" borderId="32" xfId="0" applyFont="1" applyBorder="1" applyAlignment="1">
      <alignment horizontal="center" vertical="center" wrapText="1"/>
    </xf>
    <xf numFmtId="0" fontId="5" fillId="0" borderId="6" xfId="0" applyFont="1" applyBorder="1" applyAlignment="1">
      <alignment horizontal="center" vertical="center"/>
    </xf>
    <xf numFmtId="0" fontId="5" fillId="0" borderId="34" xfId="0" applyFont="1" applyBorder="1" applyAlignment="1">
      <alignment vertical="center"/>
    </xf>
    <xf numFmtId="0" fontId="5" fillId="0" borderId="6" xfId="0" applyFont="1" applyBorder="1" applyAlignment="1">
      <alignment vertical="center" wrapText="1"/>
    </xf>
    <xf numFmtId="0" fontId="5" fillId="0" borderId="23" xfId="0" applyFont="1" applyBorder="1" applyAlignment="1">
      <alignment vertical="center"/>
    </xf>
    <xf numFmtId="0" fontId="8" fillId="0" borderId="34" xfId="0" applyFont="1" applyBorder="1" applyAlignment="1">
      <alignment vertical="center"/>
    </xf>
    <xf numFmtId="9" fontId="5" fillId="0" borderId="6" xfId="0" applyNumberFormat="1" applyFont="1" applyBorder="1" applyAlignment="1">
      <alignment horizontal="center" vertical="center"/>
    </xf>
    <xf numFmtId="10" fontId="5" fillId="0" borderId="2" xfId="13" applyNumberFormat="1" applyFont="1" applyFill="1" applyBorder="1" applyAlignment="1">
      <alignment horizontal="left" vertical="center"/>
    </xf>
    <xf numFmtId="9" fontId="5" fillId="0" borderId="32" xfId="0" applyNumberFormat="1" applyFont="1" applyBorder="1" applyAlignment="1">
      <alignment horizontal="center" vertical="center" wrapText="1"/>
    </xf>
    <xf numFmtId="0" fontId="5" fillId="0" borderId="35" xfId="0" applyFont="1" applyBorder="1" applyAlignment="1">
      <alignment horizontal="left" vertical="center"/>
    </xf>
    <xf numFmtId="10" fontId="5" fillId="0" borderId="36" xfId="13" applyNumberFormat="1" applyFont="1" applyFill="1" applyBorder="1" applyAlignment="1">
      <alignment horizontal="left" vertical="center"/>
    </xf>
    <xf numFmtId="0" fontId="5" fillId="0" borderId="37" xfId="0" applyFont="1" applyBorder="1" applyAlignment="1">
      <alignment horizontal="center" vertical="center"/>
    </xf>
    <xf numFmtId="0" fontId="8" fillId="0" borderId="38" xfId="15" applyFont="1" applyBorder="1" applyAlignment="1">
      <alignment vertical="center"/>
    </xf>
    <xf numFmtId="9" fontId="5" fillId="0" borderId="20" xfId="0" applyNumberFormat="1" applyFont="1" applyBorder="1" applyAlignment="1">
      <alignment horizontal="left" vertical="center"/>
    </xf>
    <xf numFmtId="9" fontId="5" fillId="0" borderId="20" xfId="0" applyNumberFormat="1" applyFont="1" applyBorder="1" applyAlignment="1">
      <alignment vertical="center"/>
    </xf>
    <xf numFmtId="9" fontId="5" fillId="0" borderId="39" xfId="0" applyNumberFormat="1" applyFont="1" applyBorder="1" applyAlignment="1">
      <alignment horizontal="center" vertical="center"/>
    </xf>
    <xf numFmtId="0" fontId="5" fillId="0" borderId="20" xfId="0" applyFont="1" applyBorder="1" applyAlignment="1">
      <alignment vertical="center"/>
    </xf>
    <xf numFmtId="0" fontId="5" fillId="0" borderId="20" xfId="0" applyFont="1" applyBorder="1" applyAlignment="1">
      <alignment vertical="center" wrapText="1"/>
    </xf>
    <xf numFmtId="0" fontId="5" fillId="0" borderId="21" xfId="0" applyFont="1" applyBorder="1" applyAlignment="1">
      <alignment vertical="center"/>
    </xf>
    <xf numFmtId="0" fontId="5" fillId="0" borderId="40" xfId="15" applyFont="1" applyBorder="1" applyAlignment="1">
      <alignment vertical="center"/>
    </xf>
    <xf numFmtId="9" fontId="5" fillId="0" borderId="6" xfId="0" applyNumberFormat="1" applyFont="1" applyBorder="1" applyAlignment="1">
      <alignment horizontal="left" vertical="center"/>
    </xf>
    <xf numFmtId="9" fontId="5" fillId="0" borderId="6" xfId="0" applyNumberFormat="1" applyFont="1" applyBorder="1" applyAlignment="1">
      <alignment vertical="center"/>
    </xf>
    <xf numFmtId="9" fontId="5" fillId="0" borderId="41" xfId="0" applyNumberFormat="1" applyFont="1" applyBorder="1" applyAlignment="1">
      <alignment horizontal="center" vertical="center"/>
    </xf>
    <xf numFmtId="0" fontId="5" fillId="0" borderId="42" xfId="15" applyFont="1" applyBorder="1" applyAlignment="1">
      <alignment vertical="center"/>
    </xf>
    <xf numFmtId="9" fontId="5" fillId="0" borderId="24" xfId="0" applyNumberFormat="1" applyFont="1" applyBorder="1" applyAlignment="1">
      <alignment horizontal="left" vertical="center"/>
    </xf>
    <xf numFmtId="9" fontId="5" fillId="0" borderId="24" xfId="0" applyNumberFormat="1" applyFont="1" applyBorder="1" applyAlignment="1">
      <alignment vertical="center"/>
    </xf>
    <xf numFmtId="9" fontId="5" fillId="0" borderId="43" xfId="0" applyNumberFormat="1" applyFont="1" applyBorder="1" applyAlignment="1">
      <alignment horizontal="center" vertical="center"/>
    </xf>
    <xf numFmtId="0" fontId="5" fillId="0" borderId="24" xfId="0" applyFont="1" applyBorder="1" applyAlignment="1">
      <alignment vertical="center"/>
    </xf>
    <xf numFmtId="0" fontId="5" fillId="0" borderId="24" xfId="0" applyFont="1" applyBorder="1" applyAlignment="1">
      <alignment vertical="center" wrapText="1"/>
    </xf>
    <xf numFmtId="0" fontId="5" fillId="0" borderId="25" xfId="0" applyFont="1" applyBorder="1" applyAlignment="1">
      <alignment vertical="center"/>
    </xf>
    <xf numFmtId="0" fontId="5" fillId="0" borderId="38"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44" xfId="0" applyFont="1" applyBorder="1" applyAlignment="1">
      <alignment vertical="center"/>
    </xf>
    <xf numFmtId="0" fontId="5" fillId="0" borderId="45" xfId="0" applyFont="1" applyBorder="1" applyAlignment="1">
      <alignment vertical="center"/>
    </xf>
    <xf numFmtId="0" fontId="5" fillId="0" borderId="46" xfId="0" applyFont="1" applyBorder="1" applyAlignment="1">
      <alignment horizontal="center" vertical="center"/>
    </xf>
    <xf numFmtId="0" fontId="5" fillId="0" borderId="40" xfId="0" applyFont="1" applyBorder="1" applyAlignment="1">
      <alignment vertical="center"/>
    </xf>
    <xf numFmtId="0" fontId="5" fillId="0" borderId="23" xfId="0" applyFont="1" applyBorder="1" applyAlignment="1">
      <alignment horizontal="center" vertical="center"/>
    </xf>
    <xf numFmtId="0" fontId="5" fillId="0" borderId="47"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horizontal="center" vertical="center"/>
    </xf>
    <xf numFmtId="0" fontId="5" fillId="0" borderId="50" xfId="0" applyFont="1" applyBorder="1" applyAlignment="1">
      <alignment vertical="center"/>
    </xf>
    <xf numFmtId="0" fontId="8" fillId="0" borderId="40" xfId="0" applyFont="1" applyBorder="1" applyAlignment="1">
      <alignment vertical="center"/>
    </xf>
    <xf numFmtId="0" fontId="5" fillId="0" borderId="51"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5" fillId="0" borderId="50" xfId="0" applyFont="1" applyBorder="1" applyAlignment="1">
      <alignment horizontal="center" vertical="center"/>
    </xf>
    <xf numFmtId="0" fontId="8" fillId="0" borderId="31" xfId="0" applyFont="1" applyBorder="1" applyAlignment="1">
      <alignment horizontal="left" vertical="center" wrapText="1"/>
    </xf>
    <xf numFmtId="0" fontId="8" fillId="0" borderId="31" xfId="15" applyFont="1" applyBorder="1" applyAlignment="1">
      <alignment horizontal="center" vertical="center"/>
    </xf>
    <xf numFmtId="0" fontId="8" fillId="0" borderId="2" xfId="15" applyFont="1" applyBorder="1" applyAlignment="1">
      <alignment horizontal="left" vertical="center"/>
    </xf>
    <xf numFmtId="0" fontId="8" fillId="0" borderId="2" xfId="15" applyFont="1" applyBorder="1" applyAlignment="1">
      <alignment horizontal="center" vertical="center" wrapText="1"/>
    </xf>
    <xf numFmtId="0" fontId="8" fillId="0" borderId="32" xfId="15" applyFont="1" applyBorder="1" applyAlignment="1">
      <alignment horizontal="center" vertical="center"/>
    </xf>
    <xf numFmtId="0" fontId="5" fillId="0" borderId="31" xfId="15" applyFont="1" applyBorder="1" applyAlignment="1">
      <alignment horizontal="center" vertical="center"/>
    </xf>
    <xf numFmtId="0" fontId="5" fillId="0" borderId="2" xfId="15" applyFont="1" applyBorder="1" applyAlignment="1">
      <alignment horizontal="left" vertical="center" wrapText="1"/>
    </xf>
    <xf numFmtId="0" fontId="5" fillId="0" borderId="2" xfId="15" applyFont="1" applyBorder="1" applyAlignment="1">
      <alignment horizontal="center" vertical="center"/>
    </xf>
    <xf numFmtId="2" fontId="5" fillId="0" borderId="2" xfId="15" applyNumberFormat="1" applyFont="1" applyBorder="1" applyAlignment="1">
      <alignment horizontal="center" vertical="center"/>
    </xf>
    <xf numFmtId="10" fontId="5" fillId="0" borderId="2" xfId="13" applyNumberFormat="1" applyFont="1" applyFill="1" applyBorder="1" applyAlignment="1">
      <alignment horizontal="center" vertical="center"/>
    </xf>
    <xf numFmtId="167" fontId="5" fillId="0" borderId="2" xfId="13" applyNumberFormat="1" applyFont="1" applyFill="1" applyBorder="1" applyAlignment="1">
      <alignment horizontal="center" vertical="center" wrapText="1"/>
    </xf>
    <xf numFmtId="2" fontId="5" fillId="0" borderId="32" xfId="15" applyNumberFormat="1" applyFont="1" applyBorder="1" applyAlignment="1">
      <alignment horizontal="center" vertical="center"/>
    </xf>
    <xf numFmtId="2" fontId="5" fillId="0" borderId="2" xfId="15" applyNumberFormat="1" applyFont="1" applyBorder="1" applyAlignment="1">
      <alignment horizontal="center" vertical="center" wrapText="1"/>
    </xf>
    <xf numFmtId="0" fontId="5" fillId="0" borderId="54" xfId="0" applyFont="1" applyBorder="1" applyAlignment="1">
      <alignment horizontal="center" vertical="center"/>
    </xf>
    <xf numFmtId="168" fontId="8" fillId="0" borderId="2" xfId="0" applyNumberFormat="1" applyFont="1" applyBorder="1" applyAlignment="1">
      <alignment horizontal="center" vertical="center"/>
    </xf>
    <xf numFmtId="0" fontId="5" fillId="0" borderId="18" xfId="0" applyFont="1" applyBorder="1" applyAlignment="1">
      <alignment horizontal="center" vertical="center" wrapText="1"/>
    </xf>
    <xf numFmtId="0" fontId="5" fillId="0" borderId="6" xfId="0" applyFont="1" applyBorder="1" applyAlignment="1">
      <alignment horizontal="left" vertical="center"/>
    </xf>
    <xf numFmtId="0" fontId="5" fillId="0" borderId="42" xfId="0" applyFont="1" applyBorder="1" applyAlignment="1">
      <alignment vertical="center"/>
    </xf>
    <xf numFmtId="0" fontId="5" fillId="0" borderId="24" xfId="0" applyFont="1" applyBorder="1" applyAlignment="1">
      <alignment horizontal="left" vertical="center"/>
    </xf>
    <xf numFmtId="0" fontId="5" fillId="0" borderId="18" xfId="0" applyFont="1" applyBorder="1" applyAlignment="1">
      <alignment horizontal="left" vertical="center"/>
    </xf>
    <xf numFmtId="0" fontId="26" fillId="0" borderId="0" xfId="0" applyFont="1"/>
    <xf numFmtId="0" fontId="8" fillId="18" borderId="2" xfId="1" applyFont="1" applyFill="1" applyBorder="1" applyAlignment="1">
      <alignment horizontal="center" vertical="center" wrapText="1"/>
    </xf>
    <xf numFmtId="4" fontId="8" fillId="0" borderId="0" xfId="7" applyNumberFormat="1" applyFont="1" applyFill="1" applyBorder="1" applyAlignment="1">
      <alignment horizontal="center"/>
    </xf>
    <xf numFmtId="4" fontId="8" fillId="0" borderId="0" xfId="0" applyNumberFormat="1" applyFont="1"/>
    <xf numFmtId="4" fontId="5" fillId="0" borderId="0" xfId="6" applyNumberFormat="1" applyFont="1" applyFill="1" applyBorder="1" applyAlignment="1">
      <alignment horizontal="center"/>
    </xf>
    <xf numFmtId="4" fontId="5" fillId="0" borderId="2" xfId="0" applyNumberFormat="1" applyFont="1" applyBorder="1" applyAlignment="1">
      <alignment horizontal="center"/>
    </xf>
    <xf numFmtId="4" fontId="5" fillId="0" borderId="2" xfId="7" applyNumberFormat="1" applyFont="1" applyFill="1" applyBorder="1" applyAlignment="1">
      <alignment horizontal="center"/>
    </xf>
    <xf numFmtId="0" fontId="3" fillId="0" borderId="55" xfId="0" applyFont="1" applyBorder="1" applyAlignment="1">
      <alignment vertical="center"/>
    </xf>
    <xf numFmtId="4" fontId="0" fillId="0" borderId="45" xfId="0" applyNumberFormat="1" applyBorder="1" applyAlignment="1">
      <alignment horizontal="center" vertical="center"/>
    </xf>
    <xf numFmtId="4" fontId="0" fillId="0" borderId="56" xfId="0" applyNumberFormat="1" applyBorder="1" applyAlignment="1">
      <alignment horizontal="center" vertical="center"/>
    </xf>
    <xf numFmtId="4" fontId="0" fillId="0" borderId="57" xfId="0" applyNumberFormat="1" applyBorder="1" applyAlignment="1">
      <alignment horizontal="center" vertical="center"/>
    </xf>
    <xf numFmtId="4" fontId="0" fillId="0" borderId="58" xfId="0" applyNumberFormat="1" applyBorder="1" applyAlignment="1">
      <alignment horizontal="center" vertical="center"/>
    </xf>
    <xf numFmtId="0" fontId="0" fillId="0" borderId="59" xfId="0" applyBorder="1" applyAlignment="1">
      <alignment vertical="center"/>
    </xf>
    <xf numFmtId="4" fontId="0" fillId="0" borderId="60" xfId="0" applyNumberFormat="1" applyBorder="1" applyAlignment="1">
      <alignment horizontal="center" vertical="center"/>
    </xf>
    <xf numFmtId="0" fontId="3" fillId="0" borderId="9" xfId="0" applyFont="1" applyBorder="1" applyAlignment="1">
      <alignment vertical="center"/>
    </xf>
    <xf numFmtId="0" fontId="21" fillId="0" borderId="9" xfId="0" applyFont="1" applyBorder="1" applyAlignment="1">
      <alignment vertical="center"/>
    </xf>
    <xf numFmtId="0" fontId="8" fillId="0" borderId="9" xfId="0" applyFont="1" applyBorder="1" applyAlignment="1">
      <alignment vertical="center"/>
    </xf>
    <xf numFmtId="165" fontId="3" fillId="0" borderId="2" xfId="0" applyNumberFormat="1" applyFont="1" applyBorder="1" applyAlignment="1">
      <alignment horizontal="center" vertical="center"/>
    </xf>
    <xf numFmtId="165" fontId="3" fillId="0" borderId="2" xfId="0" applyNumberFormat="1" applyFont="1" applyBorder="1" applyAlignment="1">
      <alignment horizontal="center" vertical="center" wrapText="1"/>
    </xf>
    <xf numFmtId="0" fontId="8" fillId="0" borderId="0" xfId="0" applyFont="1" applyAlignment="1">
      <alignment vertical="center"/>
    </xf>
    <xf numFmtId="165" fontId="0" fillId="0" borderId="0" xfId="0" applyNumberFormat="1" applyAlignment="1">
      <alignment horizontal="center" vertical="center"/>
    </xf>
    <xf numFmtId="9" fontId="0" fillId="0" borderId="0" xfId="0" applyNumberFormat="1" applyAlignment="1">
      <alignment horizontal="center" vertical="center"/>
    </xf>
    <xf numFmtId="165" fontId="3" fillId="0" borderId="2" xfId="0" applyNumberFormat="1" applyFont="1" applyBorder="1" applyAlignment="1">
      <alignment horizontal="center" wrapText="1"/>
    </xf>
    <xf numFmtId="0" fontId="5" fillId="0" borderId="61" xfId="0" applyFont="1" applyBorder="1" applyAlignment="1">
      <alignment vertical="center"/>
    </xf>
    <xf numFmtId="0" fontId="5" fillId="0" borderId="0" xfId="0" applyFont="1" applyAlignment="1">
      <alignment vertical="center"/>
    </xf>
    <xf numFmtId="0" fontId="5" fillId="0" borderId="0" xfId="0" applyFont="1" applyAlignment="1">
      <alignment vertical="center" wrapText="1"/>
    </xf>
    <xf numFmtId="1" fontId="5" fillId="0" borderId="2" xfId="13" applyNumberFormat="1" applyFont="1" applyFill="1" applyBorder="1" applyAlignment="1">
      <alignment horizontal="center" vertical="center"/>
    </xf>
    <xf numFmtId="4" fontId="5" fillId="0" borderId="0" xfId="0" applyNumberFormat="1" applyFont="1"/>
    <xf numFmtId="4" fontId="1" fillId="17" borderId="2" xfId="2" applyNumberFormat="1" applyFont="1" applyFill="1" applyBorder="1" applyAlignment="1">
      <alignment horizontal="center"/>
    </xf>
    <xf numFmtId="4" fontId="0" fillId="0" borderId="62" xfId="0" applyNumberFormat="1" applyBorder="1" applyAlignment="1">
      <alignment horizontal="center" vertical="center"/>
    </xf>
    <xf numFmtId="0" fontId="16" fillId="0" borderId="2" xfId="0" applyFont="1" applyBorder="1" applyAlignment="1">
      <alignment vertical="center"/>
    </xf>
    <xf numFmtId="0" fontId="5" fillId="0" borderId="63" xfId="0" applyFont="1" applyBorder="1" applyAlignment="1">
      <alignment horizontal="center" vertical="center"/>
    </xf>
    <xf numFmtId="0" fontId="5" fillId="0" borderId="64" xfId="0" applyFont="1" applyBorder="1" applyAlignment="1">
      <alignment horizontal="center" vertical="center"/>
    </xf>
    <xf numFmtId="0" fontId="5" fillId="0" borderId="63" xfId="0" applyFont="1" applyBorder="1" applyAlignment="1">
      <alignment horizontal="center" vertical="center" wrapText="1"/>
    </xf>
    <xf numFmtId="0" fontId="5" fillId="0" borderId="65" xfId="0" applyFont="1" applyBorder="1" applyAlignment="1">
      <alignment horizontal="center" vertical="center"/>
    </xf>
    <xf numFmtId="0" fontId="5" fillId="0" borderId="2" xfId="0" applyFont="1" applyBorder="1" applyAlignment="1">
      <alignment horizontal="center" vertical="center" wrapText="1"/>
    </xf>
    <xf numFmtId="0" fontId="16" fillId="0" borderId="0" xfId="0" applyFont="1" applyAlignment="1">
      <alignment wrapText="1"/>
    </xf>
    <xf numFmtId="0" fontId="16" fillId="0" borderId="0" xfId="0" applyFont="1"/>
    <xf numFmtId="9" fontId="1" fillId="0" borderId="2" xfId="13" applyFont="1" applyBorder="1" applyAlignment="1">
      <alignment horizontal="center"/>
    </xf>
    <xf numFmtId="169" fontId="1" fillId="0" borderId="2" xfId="17" applyNumberFormat="1" applyFont="1" applyBorder="1" applyAlignment="1">
      <alignment horizontal="center"/>
    </xf>
    <xf numFmtId="169" fontId="1" fillId="0" borderId="2" xfId="14" applyNumberFormat="1" applyFont="1" applyBorder="1" applyAlignment="1">
      <alignment horizontal="center"/>
    </xf>
    <xf numFmtId="43" fontId="1" fillId="0" borderId="2" xfId="14" applyFont="1" applyBorder="1" applyAlignment="1">
      <alignment horizontal="center"/>
    </xf>
    <xf numFmtId="4" fontId="0" fillId="0" borderId="0" xfId="0" applyNumberFormat="1" applyAlignment="1">
      <alignment vertical="center"/>
    </xf>
    <xf numFmtId="4" fontId="0" fillId="0" borderId="66" xfId="0" applyNumberFormat="1" applyBorder="1" applyAlignment="1">
      <alignment horizontal="center" vertical="center"/>
    </xf>
    <xf numFmtId="49" fontId="8" fillId="0" borderId="0" xfId="0" applyNumberFormat="1" applyFont="1" applyAlignment="1">
      <alignment horizontal="left" vertical="center"/>
    </xf>
    <xf numFmtId="9" fontId="5" fillId="0" borderId="32" xfId="13" applyFont="1" applyFill="1" applyBorder="1" applyAlignment="1">
      <alignment horizontal="left" vertical="center" wrapText="1"/>
    </xf>
    <xf numFmtId="10" fontId="5" fillId="17" borderId="2" xfId="2" applyNumberFormat="1" applyFont="1" applyFill="1" applyBorder="1" applyAlignment="1">
      <alignment horizontal="center"/>
    </xf>
    <xf numFmtId="4" fontId="0" fillId="0" borderId="2" xfId="0" applyNumberFormat="1" applyBorder="1" applyAlignment="1">
      <alignment horizontal="center" vertical="center" wrapText="1"/>
    </xf>
    <xf numFmtId="0" fontId="0" fillId="0" borderId="67" xfId="0" applyBorder="1" applyAlignment="1">
      <alignment vertical="center"/>
    </xf>
    <xf numFmtId="10" fontId="0" fillId="0" borderId="0" xfId="0" applyNumberFormat="1" applyAlignment="1">
      <alignment horizontal="center"/>
    </xf>
    <xf numFmtId="10" fontId="5" fillId="17" borderId="0" xfId="2" applyNumberFormat="1" applyFont="1" applyFill="1" applyBorder="1" applyAlignment="1">
      <alignment horizontal="center"/>
    </xf>
    <xf numFmtId="10" fontId="0" fillId="0" borderId="0" xfId="13" applyNumberFormat="1" applyFont="1" applyBorder="1" applyAlignment="1">
      <alignment horizontal="center"/>
    </xf>
    <xf numFmtId="2" fontId="5" fillId="17" borderId="0" xfId="2" applyNumberFormat="1" applyFont="1" applyFill="1" applyBorder="1" applyAlignment="1">
      <alignment horizontal="center"/>
    </xf>
    <xf numFmtId="0" fontId="5" fillId="0" borderId="0" xfId="2" applyFont="1" applyFill="1" applyBorder="1" applyAlignment="1">
      <alignment horizontal="center" wrapText="1"/>
    </xf>
    <xf numFmtId="0" fontId="5" fillId="0" borderId="2" xfId="0" applyFont="1" applyBorder="1" applyAlignment="1">
      <alignment vertical="center"/>
    </xf>
    <xf numFmtId="10" fontId="0" fillId="0" borderId="2" xfId="0" applyNumberFormat="1" applyBorder="1" applyAlignment="1">
      <alignment horizontal="center" vertical="center"/>
    </xf>
    <xf numFmtId="9" fontId="0" fillId="0" borderId="0" xfId="13" applyFont="1" applyBorder="1" applyAlignment="1">
      <alignment horizontal="center" vertical="center"/>
    </xf>
    <xf numFmtId="4" fontId="16" fillId="0" borderId="2" xfId="8" applyNumberFormat="1" applyFont="1" applyFill="1" applyBorder="1" applyAlignment="1">
      <alignment horizontal="center" vertical="center"/>
    </xf>
    <xf numFmtId="166" fontId="5" fillId="17" borderId="2" xfId="2" applyNumberFormat="1" applyFont="1" applyFill="1" applyBorder="1" applyAlignment="1">
      <alignment horizontal="center"/>
    </xf>
    <xf numFmtId="0" fontId="28" fillId="0" borderId="68" xfId="0" applyFont="1" applyBorder="1" applyAlignment="1">
      <alignment vertical="center"/>
    </xf>
    <xf numFmtId="4" fontId="28" fillId="0" borderId="20" xfId="0" applyNumberFormat="1" applyFont="1" applyBorder="1" applyAlignment="1">
      <alignment horizontal="center" vertical="center"/>
    </xf>
    <xf numFmtId="4" fontId="28" fillId="0" borderId="21" xfId="0" applyNumberFormat="1" applyFont="1" applyBorder="1" applyAlignment="1">
      <alignment horizontal="center" vertical="center"/>
    </xf>
    <xf numFmtId="0" fontId="28" fillId="0" borderId="22" xfId="0" applyFont="1" applyBorder="1" applyAlignment="1">
      <alignment vertical="center"/>
    </xf>
    <xf numFmtId="4" fontId="28" fillId="0" borderId="6" xfId="0" applyNumberFormat="1" applyFont="1" applyBorder="1" applyAlignment="1">
      <alignment horizontal="center" vertical="center"/>
    </xf>
    <xf numFmtId="4" fontId="28" fillId="0" borderId="23" xfId="0" applyNumberFormat="1" applyFont="1" applyBorder="1" applyAlignment="1">
      <alignment horizontal="center" vertical="center"/>
    </xf>
    <xf numFmtId="0" fontId="3" fillId="0" borderId="22" xfId="0" applyFont="1" applyBorder="1" applyAlignment="1">
      <alignment vertical="center"/>
    </xf>
    <xf numFmtId="4" fontId="0" fillId="0" borderId="6" xfId="0" applyNumberFormat="1" applyBorder="1" applyAlignment="1">
      <alignment horizontal="center" vertical="center"/>
    </xf>
    <xf numFmtId="0" fontId="0" fillId="0" borderId="69" xfId="0" applyBorder="1" applyAlignment="1">
      <alignment vertical="center"/>
    </xf>
    <xf numFmtId="4" fontId="28" fillId="0" borderId="70" xfId="0" applyNumberFormat="1" applyFont="1" applyBorder="1" applyAlignment="1">
      <alignment horizontal="center" vertical="center"/>
    </xf>
    <xf numFmtId="4" fontId="28" fillId="0" borderId="71" xfId="0" applyNumberFormat="1" applyFont="1" applyBorder="1" applyAlignment="1">
      <alignment horizontal="center" vertical="center"/>
    </xf>
    <xf numFmtId="1" fontId="0" fillId="0" borderId="2" xfId="0" applyNumberFormat="1" applyBorder="1" applyAlignment="1">
      <alignment horizontal="center"/>
    </xf>
    <xf numFmtId="2" fontId="5" fillId="0" borderId="2" xfId="0" applyNumberFormat="1" applyFont="1" applyBorder="1" applyAlignment="1">
      <alignment horizontal="left"/>
    </xf>
    <xf numFmtId="0" fontId="16" fillId="0" borderId="2" xfId="0" applyFont="1" applyBorder="1" applyAlignment="1">
      <alignment horizontal="left" vertical="center"/>
    </xf>
    <xf numFmtId="0" fontId="16" fillId="0" borderId="2" xfId="2" applyFont="1" applyFill="1" applyBorder="1" applyAlignment="1">
      <alignment horizontal="center" vertical="center" wrapText="1"/>
    </xf>
    <xf numFmtId="1" fontId="5" fillId="17" borderId="2" xfId="2" applyNumberFormat="1" applyFont="1" applyFill="1" applyBorder="1" applyAlignment="1">
      <alignment horizontal="center" vertical="center"/>
    </xf>
    <xf numFmtId="0" fontId="5" fillId="17" borderId="2" xfId="2" applyFont="1" applyFill="1" applyBorder="1" applyAlignment="1">
      <alignment horizontal="center" vertical="center"/>
    </xf>
    <xf numFmtId="9" fontId="5" fillId="17" borderId="2" xfId="2" applyNumberFormat="1" applyFont="1" applyFill="1" applyBorder="1" applyAlignment="1">
      <alignment horizontal="center" vertical="center"/>
    </xf>
    <xf numFmtId="2" fontId="16" fillId="17" borderId="2" xfId="2" applyNumberFormat="1" applyFont="1" applyFill="1" applyBorder="1" applyAlignment="1">
      <alignment horizontal="center" vertical="center"/>
    </xf>
    <xf numFmtId="10" fontId="1" fillId="0" borderId="2" xfId="13" applyNumberFormat="1" applyFont="1" applyBorder="1" applyAlignment="1">
      <alignment horizontal="center"/>
    </xf>
    <xf numFmtId="9" fontId="5" fillId="0" borderId="2" xfId="1" applyNumberFormat="1" applyFont="1" applyFill="1" applyBorder="1" applyAlignment="1">
      <alignment horizontal="center" vertical="center" wrapText="1"/>
    </xf>
    <xf numFmtId="0" fontId="0" fillId="0" borderId="2" xfId="0" applyBorder="1" applyAlignment="1">
      <alignment horizontal="right" vertical="center"/>
    </xf>
    <xf numFmtId="43" fontId="5" fillId="0" borderId="0" xfId="14" applyFont="1" applyAlignment="1">
      <alignment horizontal="center" wrapText="1"/>
    </xf>
    <xf numFmtId="0" fontId="16" fillId="0" borderId="2" xfId="0" applyFont="1" applyBorder="1" applyAlignment="1">
      <alignment horizontal="center" vertical="center" wrapText="1"/>
    </xf>
    <xf numFmtId="0" fontId="16" fillId="0" borderId="0" xfId="0" applyFont="1" applyAlignment="1">
      <alignment horizontal="center" vertical="center"/>
    </xf>
    <xf numFmtId="0" fontId="16" fillId="0" borderId="2" xfId="0" applyFont="1" applyBorder="1" applyAlignment="1">
      <alignment horizontal="left" vertical="center" wrapText="1"/>
    </xf>
    <xf numFmtId="43" fontId="16" fillId="0" borderId="2" xfId="14" applyFont="1" applyBorder="1" applyAlignment="1">
      <alignment horizontal="center" wrapText="1"/>
    </xf>
    <xf numFmtId="0" fontId="3" fillId="0" borderId="2" xfId="0" applyFont="1" applyBorder="1" applyAlignment="1">
      <alignment horizontal="center" vertical="center"/>
    </xf>
    <xf numFmtId="4" fontId="0" fillId="0" borderId="2" xfId="11" applyNumberFormat="1" applyFont="1" applyFill="1" applyBorder="1" applyAlignment="1">
      <alignment horizontal="center"/>
    </xf>
    <xf numFmtId="0" fontId="21" fillId="0" borderId="2" xfId="0" applyFont="1" applyBorder="1" applyAlignment="1">
      <alignment horizontal="left" vertical="center"/>
    </xf>
    <xf numFmtId="0" fontId="5" fillId="17" borderId="2" xfId="0" applyFont="1" applyFill="1" applyBorder="1" applyAlignment="1">
      <alignment vertical="center"/>
    </xf>
    <xf numFmtId="0" fontId="9" fillId="17" borderId="2" xfId="0" applyFont="1" applyFill="1" applyBorder="1" applyAlignment="1">
      <alignment horizontal="left" vertical="center"/>
    </xf>
    <xf numFmtId="0" fontId="5" fillId="17" borderId="2" xfId="1" applyFont="1" applyFill="1" applyBorder="1" applyAlignment="1">
      <alignment horizontal="center" vertical="center" wrapText="1"/>
    </xf>
    <xf numFmtId="0" fontId="5" fillId="17" borderId="2" xfId="6" applyFont="1" applyFill="1" applyBorder="1" applyAlignment="1">
      <alignment horizontal="center" vertical="center"/>
    </xf>
    <xf numFmtId="0" fontId="5" fillId="17" borderId="2" xfId="0" applyFont="1" applyFill="1" applyBorder="1" applyAlignment="1">
      <alignment horizontal="left" vertical="center"/>
    </xf>
    <xf numFmtId="0" fontId="16" fillId="0" borderId="2" xfId="0" applyFont="1" applyBorder="1" applyAlignment="1">
      <alignment horizontal="center" vertical="center"/>
    </xf>
    <xf numFmtId="2" fontId="16" fillId="17" borderId="2" xfId="2" applyNumberFormat="1" applyFont="1" applyFill="1" applyBorder="1" applyAlignment="1">
      <alignment horizontal="center" vertical="center" wrapText="1"/>
    </xf>
    <xf numFmtId="0" fontId="16" fillId="0" borderId="2" xfId="2" applyFont="1" applyFill="1" applyBorder="1" applyAlignment="1">
      <alignment horizontal="center" vertical="center"/>
    </xf>
    <xf numFmtId="0" fontId="0" fillId="0" borderId="2" xfId="0" applyBorder="1" applyAlignment="1">
      <alignment horizontal="left" vertical="center"/>
    </xf>
    <xf numFmtId="0" fontId="29" fillId="0" borderId="2" xfId="0" applyFont="1" applyBorder="1" applyAlignment="1">
      <alignment vertical="center" wrapText="1"/>
    </xf>
    <xf numFmtId="0" fontId="29" fillId="0" borderId="0" xfId="0" applyFont="1" applyAlignment="1">
      <alignment horizontal="center" vertical="center"/>
    </xf>
    <xf numFmtId="0" fontId="29" fillId="0" borderId="0" xfId="0" applyFont="1" applyAlignment="1">
      <alignment vertical="center"/>
    </xf>
    <xf numFmtId="0" fontId="30" fillId="0" borderId="2" xfId="0" applyFont="1" applyBorder="1" applyAlignment="1">
      <alignment wrapText="1"/>
    </xf>
    <xf numFmtId="166" fontId="0" fillId="17" borderId="2" xfId="0" applyNumberFormat="1" applyFill="1" applyBorder="1" applyAlignment="1">
      <alignment horizontal="center" vertical="center"/>
    </xf>
    <xf numFmtId="9" fontId="0" fillId="17" borderId="2" xfId="2" applyNumberFormat="1" applyFont="1" applyFill="1" applyBorder="1" applyAlignment="1">
      <alignment horizontal="center" vertical="center"/>
    </xf>
    <xf numFmtId="43" fontId="5" fillId="17" borderId="2" xfId="14" applyFont="1" applyFill="1" applyBorder="1" applyAlignment="1">
      <alignment horizontal="center" vertical="center"/>
    </xf>
    <xf numFmtId="0" fontId="0" fillId="17" borderId="2" xfId="0" applyFill="1" applyBorder="1" applyAlignment="1">
      <alignment horizontal="center" vertical="center"/>
    </xf>
    <xf numFmtId="165" fontId="0" fillId="17" borderId="2" xfId="0" applyNumberFormat="1" applyFill="1" applyBorder="1" applyAlignment="1">
      <alignment horizontal="center"/>
    </xf>
    <xf numFmtId="165" fontId="0" fillId="17" borderId="2" xfId="0" applyNumberFormat="1" applyFill="1" applyBorder="1" applyAlignment="1">
      <alignment horizontal="center" vertical="center"/>
    </xf>
    <xf numFmtId="4" fontId="0" fillId="17" borderId="2" xfId="0" applyNumberFormat="1" applyFill="1" applyBorder="1" applyAlignment="1">
      <alignment horizontal="center"/>
    </xf>
    <xf numFmtId="164" fontId="0" fillId="17" borderId="2" xfId="13" applyNumberFormat="1" applyFont="1" applyFill="1" applyBorder="1" applyAlignment="1">
      <alignment horizontal="center"/>
    </xf>
    <xf numFmtId="1" fontId="5" fillId="16" borderId="2" xfId="2" applyNumberFormat="1" applyFont="1" applyFill="1" applyBorder="1" applyAlignment="1">
      <alignment horizontal="center" vertical="center"/>
    </xf>
    <xf numFmtId="0" fontId="29" fillId="0" borderId="0" xfId="0" applyFont="1" applyAlignment="1">
      <alignment vertical="center" wrapText="1"/>
    </xf>
    <xf numFmtId="0" fontId="29" fillId="0" borderId="0" xfId="0" applyFont="1" applyAlignment="1">
      <alignment horizontal="left" vertical="center"/>
    </xf>
    <xf numFmtId="9" fontId="29" fillId="0" borderId="2" xfId="13" applyFont="1" applyBorder="1" applyAlignment="1">
      <alignment horizontal="left" vertical="center"/>
    </xf>
    <xf numFmtId="0" fontId="29" fillId="0" borderId="0" xfId="0" applyFont="1" applyAlignment="1">
      <alignment horizontal="left" vertical="center" wrapText="1"/>
    </xf>
    <xf numFmtId="9" fontId="29" fillId="0" borderId="0" xfId="13" applyFont="1" applyBorder="1" applyAlignment="1">
      <alignment vertical="center" wrapText="1"/>
    </xf>
    <xf numFmtId="0" fontId="30" fillId="0" borderId="0" xfId="0" applyFont="1" applyAlignment="1">
      <alignment wrapText="1"/>
    </xf>
    <xf numFmtId="0" fontId="30" fillId="0" borderId="0" xfId="0" applyFont="1" applyAlignment="1">
      <alignment horizontal="left"/>
    </xf>
    <xf numFmtId="9" fontId="30" fillId="0" borderId="0" xfId="13" applyFont="1" applyBorder="1" applyAlignment="1">
      <alignment wrapText="1"/>
    </xf>
    <xf numFmtId="165" fontId="3" fillId="0" borderId="2" xfId="0" applyNumberFormat="1" applyFont="1" applyBorder="1" applyAlignment="1">
      <alignment horizontal="center" vertical="center"/>
    </xf>
    <xf numFmtId="9" fontId="3" fillId="0" borderId="2" xfId="0" applyNumberFormat="1" applyFont="1" applyBorder="1" applyAlignment="1">
      <alignment horizontal="center" vertical="center"/>
    </xf>
    <xf numFmtId="0" fontId="3" fillId="0" borderId="9" xfId="0" applyFont="1" applyBorder="1" applyAlignment="1">
      <alignment horizontal="center"/>
    </xf>
    <xf numFmtId="0" fontId="3" fillId="0" borderId="5" xfId="0" applyFont="1" applyBorder="1" applyAlignment="1">
      <alignment horizontal="center"/>
    </xf>
    <xf numFmtId="0" fontId="0" fillId="0" borderId="0" xfId="0" applyAlignment="1">
      <alignment horizont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 xfId="0" applyFont="1" applyBorder="1" applyAlignment="1">
      <alignment horizontal="center"/>
    </xf>
    <xf numFmtId="0" fontId="3" fillId="0" borderId="2" xfId="0" applyFont="1" applyBorder="1" applyAlignment="1">
      <alignment horizontal="center" vertical="center"/>
    </xf>
    <xf numFmtId="0" fontId="1" fillId="17" borderId="2" xfId="3" applyFill="1" applyBorder="1" applyAlignment="1">
      <alignment horizontal="left" wrapText="1"/>
    </xf>
    <xf numFmtId="0" fontId="5" fillId="17" borderId="2" xfId="3" applyFont="1" applyFill="1" applyBorder="1" applyAlignment="1">
      <alignment horizontal="left" vertical="center" wrapText="1"/>
    </xf>
    <xf numFmtId="0" fontId="5" fillId="0" borderId="2" xfId="4" applyFont="1" applyFill="1" applyBorder="1" applyAlignment="1">
      <alignment horizontal="left" vertical="center"/>
    </xf>
    <xf numFmtId="0" fontId="5" fillId="0" borderId="2" xfId="3" applyFont="1" applyFill="1" applyBorder="1" applyAlignment="1">
      <alignment horizontal="left" wrapText="1"/>
    </xf>
    <xf numFmtId="0" fontId="1" fillId="0" borderId="2" xfId="3" applyFill="1" applyBorder="1" applyAlignment="1">
      <alignment horizontal="left" wrapText="1"/>
    </xf>
    <xf numFmtId="0" fontId="5" fillId="0" borderId="11" xfId="3" applyFont="1" applyFill="1" applyBorder="1" applyAlignment="1">
      <alignment horizontal="center" vertical="center" wrapText="1"/>
    </xf>
    <xf numFmtId="0" fontId="5" fillId="0" borderId="12" xfId="3" applyFont="1" applyFill="1" applyBorder="1" applyAlignment="1">
      <alignment horizontal="center" vertical="center" wrapText="1"/>
    </xf>
    <xf numFmtId="0" fontId="5" fillId="0" borderId="4" xfId="3" applyFont="1" applyFill="1" applyBorder="1" applyAlignment="1">
      <alignment horizontal="center" vertical="center" wrapText="1"/>
    </xf>
    <xf numFmtId="0" fontId="5" fillId="0" borderId="13" xfId="3" applyFont="1" applyFill="1" applyBorder="1" applyAlignment="1">
      <alignment horizontal="center" vertical="center" wrapText="1"/>
    </xf>
    <xf numFmtId="0" fontId="5" fillId="0" borderId="9" xfId="3" applyFont="1" applyFill="1" applyBorder="1" applyAlignment="1">
      <alignment horizontal="center" wrapText="1"/>
    </xf>
    <xf numFmtId="0" fontId="5" fillId="0" borderId="10" xfId="3" applyFont="1" applyFill="1" applyBorder="1" applyAlignment="1">
      <alignment horizontal="center" wrapText="1"/>
    </xf>
    <xf numFmtId="0" fontId="5" fillId="0" borderId="5" xfId="3" applyFont="1" applyFill="1" applyBorder="1" applyAlignment="1">
      <alignment horizontal="center" wrapText="1"/>
    </xf>
    <xf numFmtId="0" fontId="5" fillId="0" borderId="2" xfId="4" applyFont="1" applyFill="1" applyBorder="1" applyAlignment="1">
      <alignment horizontal="center" vertical="center"/>
    </xf>
    <xf numFmtId="0" fontId="5" fillId="0" borderId="2" xfId="3" applyFont="1" applyFill="1" applyBorder="1" applyAlignment="1">
      <alignment horizontal="left" vertical="center" wrapText="1"/>
    </xf>
    <xf numFmtId="0" fontId="5" fillId="17" borderId="0" xfId="0" applyFont="1" applyFill="1" applyAlignment="1">
      <alignment horizontal="left" vertical="center" wrapText="1"/>
    </xf>
    <xf numFmtId="0" fontId="5" fillId="0" borderId="9" xfId="3" applyFont="1" applyFill="1" applyBorder="1" applyAlignment="1">
      <alignment horizontal="center" vertical="center" wrapText="1"/>
    </xf>
    <xf numFmtId="0" fontId="5" fillId="0" borderId="10" xfId="3" applyFont="1" applyFill="1" applyBorder="1" applyAlignment="1">
      <alignment horizontal="center" vertical="center" wrapText="1"/>
    </xf>
    <xf numFmtId="0" fontId="5" fillId="0" borderId="5" xfId="3" applyFont="1" applyFill="1" applyBorder="1" applyAlignment="1">
      <alignment horizontal="center" vertical="center" wrapText="1"/>
    </xf>
    <xf numFmtId="0" fontId="5" fillId="0" borderId="2" xfId="3" applyFont="1" applyFill="1" applyBorder="1" applyAlignment="1">
      <alignment horizontal="center" wrapText="1"/>
    </xf>
    <xf numFmtId="0" fontId="1" fillId="0" borderId="9" xfId="3" applyFill="1" applyBorder="1" applyAlignment="1">
      <alignment horizontal="left" wrapText="1"/>
    </xf>
    <xf numFmtId="0" fontId="1" fillId="0" borderId="10" xfId="3" applyFill="1" applyBorder="1" applyAlignment="1">
      <alignment horizontal="left" wrapText="1"/>
    </xf>
    <xf numFmtId="0" fontId="1" fillId="0" borderId="5" xfId="3" applyFill="1" applyBorder="1" applyAlignment="1">
      <alignment horizontal="left" wrapText="1"/>
    </xf>
    <xf numFmtId="2" fontId="0" fillId="0" borderId="2" xfId="0" applyNumberFormat="1" applyBorder="1" applyAlignment="1">
      <alignment horizontal="center"/>
    </xf>
    <xf numFmtId="2" fontId="0" fillId="0" borderId="9" xfId="0" applyNumberFormat="1" applyBorder="1" applyAlignment="1">
      <alignment horizontal="center" vertical="top" wrapText="1"/>
    </xf>
    <xf numFmtId="2" fontId="0" fillId="0" borderId="10" xfId="0" applyNumberFormat="1" applyBorder="1" applyAlignment="1">
      <alignment horizontal="center" vertical="top" wrapText="1"/>
    </xf>
    <xf numFmtId="2" fontId="0" fillId="0" borderId="5" xfId="0" applyNumberFormat="1" applyBorder="1" applyAlignment="1">
      <alignment horizontal="center" vertical="top" wrapText="1"/>
    </xf>
    <xf numFmtId="9" fontId="0" fillId="17" borderId="2" xfId="13" applyFont="1" applyFill="1" applyBorder="1" applyAlignment="1">
      <alignment horizontal="left" wrapText="1"/>
    </xf>
    <xf numFmtId="0" fontId="0" fillId="0" borderId="2" xfId="0" applyBorder="1" applyAlignment="1">
      <alignment horizontal="center"/>
    </xf>
    <xf numFmtId="0" fontId="5" fillId="0" borderId="2" xfId="3" applyFont="1" applyFill="1" applyBorder="1" applyAlignment="1">
      <alignment horizontal="center" vertical="center" wrapText="1"/>
    </xf>
    <xf numFmtId="0" fontId="5" fillId="0" borderId="9" xfId="3" applyFont="1" applyFill="1" applyBorder="1" applyAlignment="1">
      <alignment horizontal="left" wrapText="1"/>
    </xf>
    <xf numFmtId="0" fontId="5" fillId="0" borderId="10" xfId="3" applyFont="1" applyFill="1" applyBorder="1" applyAlignment="1">
      <alignment horizontal="left" wrapText="1"/>
    </xf>
    <xf numFmtId="0" fontId="5" fillId="0" borderId="5" xfId="3" applyFont="1" applyFill="1" applyBorder="1" applyAlignment="1">
      <alignment horizontal="left" wrapText="1"/>
    </xf>
    <xf numFmtId="0" fontId="0" fillId="0" borderId="5" xfId="0" applyBorder="1" applyAlignment="1">
      <alignment horizontal="center"/>
    </xf>
    <xf numFmtId="0" fontId="8" fillId="0" borderId="31" xfId="0" applyFont="1" applyBorder="1" applyAlignment="1">
      <alignment horizontal="left" vertical="center"/>
    </xf>
    <xf numFmtId="0" fontId="8" fillId="0" borderId="2" xfId="0" applyFont="1" applyBorder="1" applyAlignment="1">
      <alignment horizontal="left" vertical="center"/>
    </xf>
    <xf numFmtId="0" fontId="8" fillId="0" borderId="32"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5" xfId="0" applyFont="1" applyBorder="1" applyAlignment="1">
      <alignment horizontal="left" vertical="center"/>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3" applyFont="1" applyFill="1" applyBorder="1" applyAlignment="1">
      <alignment horizontal="left" vertical="center" wrapText="1"/>
    </xf>
    <xf numFmtId="0" fontId="5" fillId="0" borderId="72" xfId="4" applyFont="1" applyFill="1" applyBorder="1" applyAlignment="1">
      <alignment horizontal="left" vertical="center" wrapText="1"/>
    </xf>
    <xf numFmtId="0" fontId="5" fillId="0" borderId="11" xfId="4" applyFont="1" applyFill="1" applyBorder="1" applyAlignment="1">
      <alignment horizontal="left" vertical="center" wrapText="1"/>
    </xf>
    <xf numFmtId="0" fontId="5" fillId="0" borderId="12" xfId="4" applyFont="1" applyFill="1" applyBorder="1" applyAlignment="1">
      <alignment horizontal="left" vertical="center" wrapText="1"/>
    </xf>
    <xf numFmtId="0" fontId="5" fillId="0" borderId="3" xfId="4" applyFont="1" applyFill="1" applyBorder="1" applyAlignment="1">
      <alignment horizontal="left" vertical="center" wrapText="1"/>
    </xf>
    <xf numFmtId="0" fontId="5" fillId="0" borderId="0" xfId="4" applyFont="1" applyFill="1" applyBorder="1" applyAlignment="1">
      <alignment horizontal="left" vertical="center" wrapText="1"/>
    </xf>
    <xf numFmtId="0" fontId="5" fillId="0" borderId="73" xfId="4" applyFont="1" applyFill="1" applyBorder="1" applyAlignment="1">
      <alignment horizontal="left" vertical="center" wrapText="1"/>
    </xf>
    <xf numFmtId="0" fontId="5" fillId="0" borderId="74" xfId="4" applyFont="1" applyFill="1" applyBorder="1" applyAlignment="1">
      <alignment horizontal="left" vertical="center" wrapText="1"/>
    </xf>
    <xf numFmtId="0" fontId="5" fillId="0" borderId="4" xfId="4" applyFont="1" applyFill="1" applyBorder="1" applyAlignment="1">
      <alignment horizontal="left" vertical="center" wrapText="1"/>
    </xf>
    <xf numFmtId="0" fontId="5" fillId="0" borderId="13" xfId="4" applyFont="1" applyFill="1" applyBorder="1" applyAlignment="1">
      <alignment horizontal="left" vertical="center" wrapText="1"/>
    </xf>
    <xf numFmtId="0" fontId="0" fillId="0" borderId="9" xfId="0" applyBorder="1" applyAlignment="1">
      <alignment horizontal="left"/>
    </xf>
    <xf numFmtId="0" fontId="0" fillId="0" borderId="10" xfId="0" applyBorder="1" applyAlignment="1">
      <alignment horizontal="left"/>
    </xf>
    <xf numFmtId="0" fontId="0" fillId="0" borderId="5" xfId="0" applyBorder="1" applyAlignment="1">
      <alignment horizontal="left"/>
    </xf>
    <xf numFmtId="0" fontId="5" fillId="0" borderId="9" xfId="3" applyFont="1" applyFill="1" applyBorder="1" applyAlignment="1">
      <alignment horizontal="left" vertical="center" wrapText="1"/>
    </xf>
    <xf numFmtId="0" fontId="5" fillId="0" borderId="10" xfId="3" applyFont="1" applyFill="1" applyBorder="1" applyAlignment="1">
      <alignment horizontal="left" vertical="center" wrapText="1"/>
    </xf>
    <xf numFmtId="0" fontId="5" fillId="0" borderId="5" xfId="3" applyFont="1" applyFill="1" applyBorder="1" applyAlignment="1">
      <alignment horizontal="left" vertical="center" wrapText="1"/>
    </xf>
    <xf numFmtId="0" fontId="0" fillId="0" borderId="2" xfId="0" applyBorder="1" applyAlignment="1">
      <alignment horizontal="left" wrapText="1"/>
    </xf>
    <xf numFmtId="0" fontId="0" fillId="0" borderId="2" xfId="0" applyBorder="1" applyAlignment="1">
      <alignment horizontal="center" vertical="center"/>
    </xf>
    <xf numFmtId="0" fontId="29" fillId="0" borderId="2" xfId="0" applyFont="1" applyBorder="1" applyAlignment="1">
      <alignment horizontal="left" vertical="center"/>
    </xf>
    <xf numFmtId="0" fontId="29" fillId="0" borderId="2" xfId="0" applyFont="1" applyBorder="1" applyAlignment="1">
      <alignment horizontal="left" vertical="center" wrapText="1"/>
    </xf>
    <xf numFmtId="0" fontId="30" fillId="0" borderId="2" xfId="0" applyFont="1" applyBorder="1" applyAlignment="1">
      <alignment horizontal="left"/>
    </xf>
    <xf numFmtId="0" fontId="1" fillId="17" borderId="9" xfId="3" applyFill="1" applyBorder="1" applyAlignment="1">
      <alignment horizontal="left" wrapText="1"/>
    </xf>
    <xf numFmtId="0" fontId="1" fillId="17" borderId="10" xfId="3" applyFill="1" applyBorder="1" applyAlignment="1">
      <alignment horizontal="left" wrapText="1"/>
    </xf>
    <xf numFmtId="0" fontId="1" fillId="17" borderId="5" xfId="3" applyFill="1" applyBorder="1" applyAlignment="1">
      <alignment horizontal="left" wrapText="1"/>
    </xf>
    <xf numFmtId="0" fontId="5" fillId="17" borderId="9" xfId="4" applyFont="1" applyFill="1" applyBorder="1" applyAlignment="1">
      <alignment horizontal="left" vertical="center"/>
    </xf>
    <xf numFmtId="0" fontId="5" fillId="17" borderId="10" xfId="4" applyFont="1" applyFill="1" applyBorder="1" applyAlignment="1">
      <alignment horizontal="left" vertical="center"/>
    </xf>
    <xf numFmtId="0" fontId="5" fillId="17" borderId="5" xfId="4" applyFont="1" applyFill="1" applyBorder="1" applyAlignment="1">
      <alignment horizontal="left" vertical="center"/>
    </xf>
    <xf numFmtId="0" fontId="5" fillId="0" borderId="0" xfId="3" applyFont="1" applyFill="1" applyBorder="1" applyAlignment="1">
      <alignment horizontal="left" wrapText="1"/>
    </xf>
    <xf numFmtId="0" fontId="5" fillId="17" borderId="2" xfId="4" applyFont="1" applyFill="1" applyBorder="1" applyAlignment="1">
      <alignment horizontal="center" vertical="center"/>
    </xf>
    <xf numFmtId="0" fontId="27" fillId="0" borderId="9" xfId="0" applyFont="1" applyBorder="1" applyAlignment="1">
      <alignment horizontal="left" wrapText="1"/>
    </xf>
    <xf numFmtId="0" fontId="27" fillId="0" borderId="10" xfId="0" applyFont="1" applyBorder="1" applyAlignment="1">
      <alignment horizontal="left" wrapText="1"/>
    </xf>
    <xf numFmtId="0" fontId="27" fillId="0" borderId="5" xfId="0" applyFont="1" applyBorder="1" applyAlignment="1">
      <alignment horizontal="left" wrapText="1"/>
    </xf>
    <xf numFmtId="0" fontId="5" fillId="17" borderId="9" xfId="0" applyFont="1" applyFill="1" applyBorder="1" applyAlignment="1">
      <alignment horizontal="left" vertical="center" wrapText="1"/>
    </xf>
    <xf numFmtId="0" fontId="5" fillId="17" borderId="10" xfId="0" applyFont="1" applyFill="1" applyBorder="1" applyAlignment="1">
      <alignment horizontal="left" vertical="center" wrapText="1"/>
    </xf>
    <xf numFmtId="0" fontId="5" fillId="17" borderId="5" xfId="0" applyFont="1" applyFill="1" applyBorder="1" applyAlignment="1">
      <alignment horizontal="left" vertical="center" wrapText="1"/>
    </xf>
    <xf numFmtId="49" fontId="5" fillId="17" borderId="2" xfId="0" applyNumberFormat="1" applyFont="1" applyFill="1" applyBorder="1" applyAlignment="1">
      <alignment horizontal="left" vertical="center" wrapText="1"/>
    </xf>
    <xf numFmtId="0" fontId="3" fillId="0" borderId="3" xfId="0" applyFont="1" applyBorder="1" applyAlignment="1">
      <alignment horizontal="left"/>
    </xf>
    <xf numFmtId="0" fontId="3" fillId="0" borderId="0" xfId="0" applyFont="1" applyAlignment="1">
      <alignment horizontal="left"/>
    </xf>
    <xf numFmtId="0" fontId="9" fillId="0" borderId="2" xfId="0" applyFont="1" applyBorder="1" applyAlignment="1">
      <alignment horizontal="center" vertical="center"/>
    </xf>
    <xf numFmtId="0" fontId="22" fillId="0" borderId="2" xfId="0" applyFont="1" applyBorder="1" applyAlignment="1">
      <alignment horizontal="center"/>
    </xf>
    <xf numFmtId="4" fontId="0" fillId="0" borderId="2" xfId="0" applyNumberFormat="1" applyBorder="1" applyAlignment="1">
      <alignment horizontal="center" vertical="center" wrapText="1"/>
    </xf>
  </cellXfs>
  <cellStyles count="18">
    <cellStyle name="20% - Accent2" xfId="3" builtinId="34"/>
    <cellStyle name="20% - Accent5" xfId="8" builtinId="46"/>
    <cellStyle name="20% - Accent6" xfId="11" builtinId="50"/>
    <cellStyle name="40% - Accent2" xfId="4" builtinId="35"/>
    <cellStyle name="40% - Accent4" xfId="6" builtinId="43"/>
    <cellStyle name="40% - Accent5" xfId="9" builtinId="47"/>
    <cellStyle name="40% - Accent6" xfId="12" builtinId="51"/>
    <cellStyle name="60% - Accent4" xfId="7" builtinId="44"/>
    <cellStyle name="Accent4" xfId="5" builtinId="41"/>
    <cellStyle name="Accent6" xfId="10" builtinId="49"/>
    <cellStyle name="Comma" xfId="14" builtinId="3"/>
    <cellStyle name="Currency" xfId="17" builtinId="4"/>
    <cellStyle name="Hyperlink" xfId="16" builtinId="8"/>
    <cellStyle name="Neutral" xfId="1" builtinId="28"/>
    <cellStyle name="Normal" xfId="0" builtinId="0"/>
    <cellStyle name="Normal 2" xfId="15"/>
    <cellStyle name="Note" xfId="2" builtinId="10"/>
    <cellStyle name="Percent" xfId="1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0000"/>
  </sheetPr>
  <dimension ref="A2:Q188"/>
  <sheetViews>
    <sheetView showGridLines="0" tabSelected="1" topLeftCell="A37" zoomScale="70" zoomScaleNormal="70" workbookViewId="0">
      <selection activeCell="F63" sqref="F63"/>
    </sheetView>
  </sheetViews>
  <sheetFormatPr defaultRowHeight="15" x14ac:dyDescent="0.25"/>
  <cols>
    <col min="1" max="1" width="14.85546875" customWidth="1"/>
    <col min="2" max="2" width="39.7109375" customWidth="1"/>
    <col min="3" max="3" width="17.42578125" customWidth="1"/>
    <col min="4" max="4" width="17.140625" customWidth="1"/>
    <col min="5" max="6" width="16.140625" customWidth="1"/>
    <col min="7" max="7" width="15.85546875" customWidth="1"/>
    <col min="8" max="8" width="18.140625" customWidth="1"/>
    <col min="9" max="9" width="18.7109375" customWidth="1"/>
    <col min="10" max="10" width="15.85546875" customWidth="1"/>
    <col min="11" max="12" width="12.5703125" customWidth="1"/>
    <col min="13" max="14" width="15.7109375" customWidth="1"/>
    <col min="15" max="15" width="16.5703125" customWidth="1"/>
    <col min="16" max="16" width="11.85546875" customWidth="1"/>
    <col min="17" max="17" width="12.85546875" customWidth="1"/>
  </cols>
  <sheetData>
    <row r="2" spans="1:17" ht="21" x14ac:dyDescent="0.35">
      <c r="B2" s="54" t="s">
        <v>75</v>
      </c>
    </row>
    <row r="3" spans="1:17" x14ac:dyDescent="0.25">
      <c r="B3" s="46"/>
      <c r="C3" s="46"/>
    </row>
    <row r="4" spans="1:17" ht="18.75" x14ac:dyDescent="0.25">
      <c r="B4" s="466" t="s">
        <v>69</v>
      </c>
      <c r="C4" s="466"/>
      <c r="D4" s="466"/>
      <c r="E4" s="466"/>
      <c r="F4" s="466"/>
      <c r="G4" s="466"/>
      <c r="H4" s="466"/>
      <c r="I4" s="466"/>
      <c r="J4" s="466"/>
      <c r="K4" s="466"/>
      <c r="L4" s="466"/>
      <c r="M4" s="466"/>
      <c r="N4" s="466"/>
      <c r="O4" s="83"/>
    </row>
    <row r="5" spans="1:17" x14ac:dyDescent="0.25">
      <c r="B5" s="467" t="s">
        <v>0</v>
      </c>
      <c r="C5" s="53" t="s">
        <v>235</v>
      </c>
      <c r="D5" s="53" t="s">
        <v>236</v>
      </c>
      <c r="E5" s="53" t="s">
        <v>235</v>
      </c>
      <c r="F5" s="53" t="s">
        <v>236</v>
      </c>
      <c r="G5" s="53" t="s">
        <v>235</v>
      </c>
      <c r="H5" s="53" t="s">
        <v>236</v>
      </c>
      <c r="I5" s="53" t="s">
        <v>237</v>
      </c>
      <c r="J5" s="53" t="s">
        <v>238</v>
      </c>
      <c r="K5" s="53" t="s">
        <v>237</v>
      </c>
      <c r="L5" s="53" t="s">
        <v>238</v>
      </c>
      <c r="M5" s="53" t="s">
        <v>237</v>
      </c>
      <c r="N5" s="53" t="s">
        <v>238</v>
      </c>
    </row>
    <row r="6" spans="1:17" x14ac:dyDescent="0.25">
      <c r="B6" s="468"/>
      <c r="C6" s="461" t="s">
        <v>72</v>
      </c>
      <c r="D6" s="462"/>
      <c r="E6" s="461" t="s">
        <v>70</v>
      </c>
      <c r="F6" s="462"/>
      <c r="G6" s="461" t="s">
        <v>73</v>
      </c>
      <c r="H6" s="462"/>
      <c r="I6" s="461" t="s">
        <v>72</v>
      </c>
      <c r="J6" s="462"/>
      <c r="K6" s="461" t="s">
        <v>70</v>
      </c>
      <c r="L6" s="462"/>
      <c r="M6" s="461" t="s">
        <v>73</v>
      </c>
      <c r="N6" s="462"/>
    </row>
    <row r="7" spans="1:17" x14ac:dyDescent="0.25">
      <c r="B7" s="469"/>
      <c r="C7" s="461" t="s">
        <v>93</v>
      </c>
      <c r="D7" s="462"/>
      <c r="E7" s="461" t="s">
        <v>94</v>
      </c>
      <c r="F7" s="462"/>
      <c r="G7" s="461" t="s">
        <v>95</v>
      </c>
      <c r="H7" s="462"/>
      <c r="I7" s="461" t="s">
        <v>93</v>
      </c>
      <c r="J7" s="462"/>
      <c r="K7" s="461" t="s">
        <v>94</v>
      </c>
      <c r="L7" s="462"/>
      <c r="M7" s="461" t="s">
        <v>95</v>
      </c>
      <c r="N7" s="462"/>
    </row>
    <row r="8" spans="1:17" ht="15.6" customHeight="1" x14ac:dyDescent="0.25">
      <c r="B8" s="79" t="s">
        <v>91</v>
      </c>
      <c r="C8" s="80">
        <v>-51951.157256680563</v>
      </c>
      <c r="D8" s="80">
        <f>'Eco BaU_Goat'!B25</f>
        <v>1220781.8674810156</v>
      </c>
      <c r="E8" s="80">
        <v>-1162565.0152115987</v>
      </c>
      <c r="F8" s="80">
        <f>'Eco RCP 4.5_Goat'!B25</f>
        <v>-116366.17497832185</v>
      </c>
      <c r="G8" s="80">
        <v>-1361290.8095890065</v>
      </c>
      <c r="H8" s="80">
        <f>'Eco RCP 8.5_Goat'!B25</f>
        <v>-355223.16340806475</v>
      </c>
      <c r="I8" s="81">
        <v>8.8557773908994664E-2</v>
      </c>
      <c r="J8" s="81">
        <f>'Eco BaU_Goat'!B27</f>
        <v>8.7869245767875803E-2</v>
      </c>
      <c r="K8" s="81">
        <v>5.8056380022040388E-2</v>
      </c>
      <c r="L8" s="81">
        <f>'Eco RCP 4.5_Goat'!B27</f>
        <v>5.7369687717638396E-2</v>
      </c>
      <c r="M8" s="81">
        <v>5.2679804999793634E-2</v>
      </c>
      <c r="N8" s="81">
        <f>'Eco RCP 8.5_Goat'!B27</f>
        <v>5.1988295842635424E-2</v>
      </c>
      <c r="O8" s="84"/>
    </row>
    <row r="9" spans="1:17" ht="18" customHeight="1" x14ac:dyDescent="0.25">
      <c r="A9" s="207" t="s">
        <v>228</v>
      </c>
      <c r="B9" s="208" t="s">
        <v>90</v>
      </c>
      <c r="C9" s="80">
        <v>2309725.8283812432</v>
      </c>
      <c r="D9" s="80">
        <f>'Eco BaU_Goat'!B58</f>
        <v>5825414.9003877742</v>
      </c>
      <c r="E9" s="80">
        <v>1199111.970426325</v>
      </c>
      <c r="F9" s="80">
        <f>'Eco RCP 4.5_Goat'!B58</f>
        <v>4488266.8579284372</v>
      </c>
      <c r="G9" s="80">
        <v>1000386.1760489163</v>
      </c>
      <c r="H9" s="80">
        <f>'Eco RCP 8.5_Goat'!B58</f>
        <v>4249409.8694986934</v>
      </c>
      <c r="I9" s="81">
        <v>0.16852309923599251</v>
      </c>
      <c r="J9" s="81">
        <f>'Eco BaU_Goat'!B60</f>
        <v>0.2279361083959266</v>
      </c>
      <c r="K9" s="81">
        <v>0.13020036796674805</v>
      </c>
      <c r="L9" s="81">
        <f>'Eco RCP 4.5_Goat'!B60</f>
        <v>0.1874160428443008</v>
      </c>
      <c r="M9" s="81">
        <v>0.12343933206665936</v>
      </c>
      <c r="N9" s="81">
        <f>'Eco RCP 8.5_Goat'!B60</f>
        <v>0.18025040704035344</v>
      </c>
      <c r="O9" s="84"/>
    </row>
    <row r="10" spans="1:17" ht="15" customHeight="1" x14ac:dyDescent="0.25">
      <c r="B10" s="82" t="s">
        <v>92</v>
      </c>
      <c r="C10" s="80">
        <v>5472686.0770034613</v>
      </c>
      <c r="D10" s="80">
        <f>'Eco BaU_Goat'!B93</f>
        <v>9351273.9667810798</v>
      </c>
      <c r="E10" s="80">
        <v>4362072.2190485438</v>
      </c>
      <c r="F10" s="80">
        <f>'Eco RCP 4.5_Goat'!B92</f>
        <v>8014125.9243217399</v>
      </c>
      <c r="G10" s="80">
        <v>4163346.4246711349</v>
      </c>
      <c r="H10" s="80">
        <f>'Eco RCP 8.5_Goat'!B92</f>
        <v>7775268.935891998</v>
      </c>
      <c r="I10" s="81">
        <v>0.35271974454405686</v>
      </c>
      <c r="J10" s="81">
        <f>'Eco BaU_Goat'!B95</f>
        <v>0.44382004845635348</v>
      </c>
      <c r="K10" s="81">
        <v>0.29621415497287429</v>
      </c>
      <c r="L10" s="81">
        <f>'Eco RCP 4.5_Goat'!B94</f>
        <v>0.38379543580689113</v>
      </c>
      <c r="M10" s="81">
        <v>0.28616118745334762</v>
      </c>
      <c r="N10" s="81">
        <f>'Eco RCP 8.5_Goat'!B94</f>
        <v>0.37307305250210665</v>
      </c>
      <c r="O10" s="84"/>
    </row>
    <row r="11" spans="1:17" ht="15" customHeight="1" x14ac:dyDescent="0.25">
      <c r="B11" s="359"/>
      <c r="C11" s="360"/>
      <c r="D11" s="360"/>
      <c r="E11" s="360"/>
      <c r="F11" s="360"/>
      <c r="G11" s="360"/>
      <c r="H11" s="360"/>
      <c r="I11" s="361"/>
      <c r="J11" s="361"/>
      <c r="K11" s="361"/>
      <c r="L11" s="361"/>
      <c r="M11" s="361"/>
      <c r="N11" s="361"/>
      <c r="O11" s="84"/>
    </row>
    <row r="12" spans="1:17" x14ac:dyDescent="0.25">
      <c r="B12" s="44"/>
      <c r="C12" s="55"/>
      <c r="D12" s="55"/>
      <c r="E12" s="55"/>
      <c r="F12" s="55"/>
      <c r="G12" s="55"/>
      <c r="H12" s="55"/>
      <c r="I12" s="56"/>
      <c r="J12" s="56"/>
      <c r="K12" s="56"/>
      <c r="L12" s="56"/>
      <c r="M12" s="56"/>
      <c r="N12" s="56"/>
    </row>
    <row r="13" spans="1:17" ht="22.9" customHeight="1" x14ac:dyDescent="0.25">
      <c r="B13" s="43"/>
      <c r="C13" s="459" t="str">
        <f>C6</f>
        <v>BaU</v>
      </c>
      <c r="D13" s="459"/>
      <c r="E13" s="459"/>
      <c r="F13" s="459"/>
      <c r="G13" s="459"/>
      <c r="H13" s="459" t="str">
        <f>E6</f>
        <v>RCP 4.5</v>
      </c>
      <c r="I13" s="459"/>
      <c r="J13" s="459"/>
      <c r="K13" s="459"/>
      <c r="L13" s="459"/>
      <c r="M13" s="460" t="str">
        <f>G6</f>
        <v>RCP 8.5</v>
      </c>
      <c r="N13" s="460"/>
      <c r="O13" s="460"/>
      <c r="P13" s="460"/>
      <c r="Q13" s="460"/>
    </row>
    <row r="14" spans="1:17" ht="45" x14ac:dyDescent="0.25">
      <c r="B14" s="43"/>
      <c r="C14" s="255" t="s">
        <v>319</v>
      </c>
      <c r="D14" s="255" t="s">
        <v>320</v>
      </c>
      <c r="E14" s="357" t="str">
        <f>D5</f>
        <v>ENPV</v>
      </c>
      <c r="F14" s="357" t="str">
        <f>J5</f>
        <v>EIRR</v>
      </c>
      <c r="G14" s="358" t="s">
        <v>330</v>
      </c>
      <c r="H14" s="362" t="str">
        <f>C14</f>
        <v>Economic Benefits in Present Value</v>
      </c>
      <c r="I14" s="362" t="str">
        <f t="shared" ref="I14:L14" si="0">D14</f>
        <v>Economic Costs in Present Value</v>
      </c>
      <c r="J14" s="362" t="str">
        <f t="shared" si="0"/>
        <v>ENPV</v>
      </c>
      <c r="K14" s="362" t="str">
        <f t="shared" si="0"/>
        <v>EIRR</v>
      </c>
      <c r="L14" s="362" t="str">
        <f t="shared" si="0"/>
        <v>Benefit to Cost ratio</v>
      </c>
      <c r="M14" s="358" t="str">
        <f>H14</f>
        <v>Economic Benefits in Present Value</v>
      </c>
      <c r="N14" s="358" t="str">
        <f t="shared" ref="N14:Q14" si="1">I14</f>
        <v>Economic Costs in Present Value</v>
      </c>
      <c r="O14" s="358" t="str">
        <f t="shared" si="1"/>
        <v>ENPV</v>
      </c>
      <c r="P14" s="358" t="str">
        <f t="shared" si="1"/>
        <v>EIRR</v>
      </c>
      <c r="Q14" s="358" t="str">
        <f t="shared" si="1"/>
        <v>Benefit to Cost ratio</v>
      </c>
    </row>
    <row r="15" spans="1:17" x14ac:dyDescent="0.25">
      <c r="B15" s="43"/>
      <c r="C15" s="47"/>
      <c r="D15" s="57"/>
      <c r="E15" s="57"/>
      <c r="F15" s="57"/>
      <c r="G15" s="57"/>
      <c r="H15" s="57"/>
      <c r="I15" s="58"/>
      <c r="J15" s="58"/>
      <c r="K15" s="58"/>
      <c r="L15" s="58"/>
      <c r="M15" s="58"/>
      <c r="N15" s="58"/>
      <c r="O15" s="47"/>
      <c r="P15" s="47"/>
      <c r="Q15" s="47"/>
    </row>
    <row r="16" spans="1:17" x14ac:dyDescent="0.25">
      <c r="B16" s="354" t="s">
        <v>91</v>
      </c>
      <c r="C16" s="57">
        <f>'Eco BaU_Goat'!Q22</f>
        <v>33185624.190854721</v>
      </c>
      <c r="D16" s="57">
        <f>'Eco BaU_Goat'!Q23</f>
        <v>31964842.323373713</v>
      </c>
      <c r="E16" s="57">
        <f>D8</f>
        <v>1220781.8674810156</v>
      </c>
      <c r="F16" s="378">
        <f>J8</f>
        <v>8.7869245767875803E-2</v>
      </c>
      <c r="G16" s="93">
        <f>C16/D16</f>
        <v>1.0381913933793545</v>
      </c>
      <c r="H16" s="57">
        <f>'Eco RCP 4.5_Goat'!Q22</f>
        <v>31934835.979465753</v>
      </c>
      <c r="I16" s="379">
        <f>'Eco RCP 4.5_Goat'!Q23</f>
        <v>32051202.15444408</v>
      </c>
      <c r="J16" s="57">
        <f>F8</f>
        <v>-116366.17497832185</v>
      </c>
      <c r="K16" s="58">
        <f>L8</f>
        <v>5.7369687717638396E-2</v>
      </c>
      <c r="L16" s="93">
        <f>H16/I16</f>
        <v>0.99636936629030026</v>
      </c>
      <c r="M16" s="380">
        <f>'Eco RCP 8.5_Goat'!Q22</f>
        <v>31746372.839388791</v>
      </c>
      <c r="N16" s="380">
        <f>'Eco RCP 8.5_Goat'!Q23</f>
        <v>32101596.002796866</v>
      </c>
      <c r="O16" s="57">
        <f>H8</f>
        <v>-355223.16340806475</v>
      </c>
      <c r="P16" s="58">
        <f>N8</f>
        <v>5.1988295842635424E-2</v>
      </c>
      <c r="Q16" s="381">
        <f>M16/N16</f>
        <v>0.98893440801581567</v>
      </c>
    </row>
    <row r="17" spans="1:17" x14ac:dyDescent="0.25">
      <c r="B17" s="355" t="s">
        <v>90</v>
      </c>
      <c r="C17" s="57">
        <f>'Eco BaU_Goat'!Q55</f>
        <v>37301084.914332472</v>
      </c>
      <c r="D17" s="57">
        <f>'Eco BaU_Goat'!Q56</f>
        <v>31475670.013944708</v>
      </c>
      <c r="E17" s="57">
        <f t="shared" ref="E17:E18" si="2">D9</f>
        <v>5825414.9003877742</v>
      </c>
      <c r="F17" s="378">
        <f t="shared" ref="F17:F18" si="3">J9</f>
        <v>0.2279361083959266</v>
      </c>
      <c r="G17" s="93">
        <f t="shared" ref="G17:G18" si="4">C17/D17</f>
        <v>1.1850767560406792</v>
      </c>
      <c r="H17" s="57">
        <f>'Eco RCP 4.5_Goat'!Q55</f>
        <v>36050296.702943511</v>
      </c>
      <c r="I17" s="379">
        <f>'Eco RCP 4.5_Goat'!Q56</f>
        <v>31562029.845015075</v>
      </c>
      <c r="J17" s="57">
        <f t="shared" ref="J17:J18" si="5">F9</f>
        <v>4488266.8579284372</v>
      </c>
      <c r="K17" s="58">
        <f t="shared" ref="K17:K18" si="6">L9</f>
        <v>0.1874160428443008</v>
      </c>
      <c r="L17" s="93">
        <f t="shared" ref="L17:L18" si="7">H17/I17</f>
        <v>1.1422046325907431</v>
      </c>
      <c r="M17" s="380">
        <f>'Eco RCP 8.5_Goat'!Q55</f>
        <v>35861833.562866546</v>
      </c>
      <c r="N17" s="380">
        <f>'Eco RCP 8.5_Goat'!Q56</f>
        <v>31612423.693367861</v>
      </c>
      <c r="O17" s="57">
        <f t="shared" ref="O17:O18" si="8">H9</f>
        <v>4249409.8694986934</v>
      </c>
      <c r="P17" s="58">
        <f t="shared" ref="P17:P18" si="9">N9</f>
        <v>0.18025040704035344</v>
      </c>
      <c r="Q17" s="381">
        <f t="shared" ref="Q17:Q18" si="10">M17/N17</f>
        <v>1.134422147150653</v>
      </c>
    </row>
    <row r="18" spans="1:17" x14ac:dyDescent="0.25">
      <c r="B18" s="356" t="s">
        <v>92</v>
      </c>
      <c r="C18" s="57">
        <f>'Eco BaU_Goat'!Q89</f>
        <v>37301084.914332472</v>
      </c>
      <c r="D18" s="57">
        <f>'Eco BaU_Goat'!Q90</f>
        <v>27949810.947551403</v>
      </c>
      <c r="E18" s="57">
        <f t="shared" si="2"/>
        <v>9351273.9667810798</v>
      </c>
      <c r="F18" s="378">
        <f t="shared" si="3"/>
        <v>0.44382004845635348</v>
      </c>
      <c r="G18" s="93">
        <f t="shared" si="4"/>
        <v>1.3345737824248254</v>
      </c>
      <c r="H18" s="57">
        <f>'Eco RCP 4.5_Goat'!Q89</f>
        <v>36050296.702943511</v>
      </c>
      <c r="I18" s="379">
        <f>'Eco RCP 4.5_Goat'!Q90</f>
        <v>28036170.778621774</v>
      </c>
      <c r="J18" s="57">
        <f t="shared" si="5"/>
        <v>8014125.9243217399</v>
      </c>
      <c r="K18" s="58">
        <f t="shared" si="6"/>
        <v>0.38379543580689113</v>
      </c>
      <c r="L18" s="93">
        <f t="shared" si="7"/>
        <v>1.2858495187378689</v>
      </c>
      <c r="M18" s="380">
        <f>'Eco RCP 8.5_Goat'!Q89</f>
        <v>35861833.562866546</v>
      </c>
      <c r="N18" s="380">
        <f>'Eco RCP 8.5_Goat'!Q90</f>
        <v>28086564.626974557</v>
      </c>
      <c r="O18" s="57">
        <f t="shared" si="8"/>
        <v>7775268.935891998</v>
      </c>
      <c r="P18" s="58">
        <f t="shared" si="9"/>
        <v>0.37307305250210665</v>
      </c>
      <c r="Q18" s="381">
        <f t="shared" si="10"/>
        <v>1.2768323231821865</v>
      </c>
    </row>
    <row r="19" spans="1:17" x14ac:dyDescent="0.25">
      <c r="B19" s="44"/>
      <c r="C19" s="55"/>
      <c r="D19" s="55"/>
      <c r="E19" s="55"/>
      <c r="F19" s="55"/>
      <c r="G19" s="55"/>
      <c r="H19" s="55"/>
      <c r="I19" s="56"/>
      <c r="J19" s="56"/>
      <c r="K19" s="56"/>
      <c r="L19" s="56"/>
      <c r="M19" s="56"/>
      <c r="N19" s="56"/>
    </row>
    <row r="20" spans="1:17" x14ac:dyDescent="0.25">
      <c r="B20" s="48"/>
      <c r="C20" s="45"/>
      <c r="D20" s="45"/>
      <c r="E20" s="45"/>
      <c r="F20" s="45"/>
      <c r="G20" s="45"/>
      <c r="H20" s="45"/>
      <c r="I20" s="45"/>
      <c r="J20" s="45"/>
      <c r="K20" s="45"/>
      <c r="L20" s="45"/>
      <c r="M20" s="45"/>
      <c r="N20" s="45"/>
    </row>
    <row r="21" spans="1:17" x14ac:dyDescent="0.25">
      <c r="B21" s="193"/>
      <c r="C21" s="46"/>
      <c r="D21" s="46"/>
      <c r="E21" s="45"/>
      <c r="F21" s="45"/>
      <c r="G21" s="45"/>
      <c r="H21" s="45"/>
      <c r="I21" s="45"/>
      <c r="J21" s="45"/>
      <c r="K21" s="45"/>
      <c r="L21" s="45"/>
      <c r="M21" s="45"/>
      <c r="N21" s="45"/>
    </row>
    <row r="22" spans="1:17" ht="21" x14ac:dyDescent="0.35">
      <c r="B22" s="54" t="s">
        <v>76</v>
      </c>
      <c r="C22" s="47"/>
    </row>
    <row r="23" spans="1:17" ht="18.75" x14ac:dyDescent="0.3">
      <c r="B23" s="51"/>
    </row>
    <row r="24" spans="1:17" ht="18.75" x14ac:dyDescent="0.25">
      <c r="B24" s="466" t="s">
        <v>69</v>
      </c>
      <c r="C24" s="466"/>
      <c r="D24" s="466"/>
      <c r="E24" s="466"/>
      <c r="F24" s="466"/>
      <c r="G24" s="466"/>
      <c r="H24" s="466"/>
      <c r="I24" s="466"/>
      <c r="J24" s="466"/>
      <c r="K24" s="466"/>
      <c r="L24" s="466"/>
      <c r="M24" s="466"/>
      <c r="N24" s="466"/>
    </row>
    <row r="25" spans="1:17" x14ac:dyDescent="0.25">
      <c r="B25" s="467" t="s">
        <v>0</v>
      </c>
      <c r="C25" s="53" t="str">
        <f>C5</f>
        <v>FNPV</v>
      </c>
      <c r="D25" s="53" t="str">
        <f>D5</f>
        <v>ENPV</v>
      </c>
      <c r="E25" s="53" t="str">
        <f t="shared" ref="E25:H25" si="11">E5</f>
        <v>FNPV</v>
      </c>
      <c r="F25" s="53" t="str">
        <f t="shared" si="11"/>
        <v>ENPV</v>
      </c>
      <c r="G25" s="53" t="str">
        <f t="shared" si="11"/>
        <v>FNPV</v>
      </c>
      <c r="H25" s="53" t="str">
        <f t="shared" si="11"/>
        <v>ENPV</v>
      </c>
      <c r="I25" s="53" t="str">
        <f>I5</f>
        <v>FIRR</v>
      </c>
      <c r="J25" s="53" t="str">
        <f t="shared" ref="J25:N25" si="12">J5</f>
        <v>EIRR</v>
      </c>
      <c r="K25" s="53" t="str">
        <f t="shared" si="12"/>
        <v>FIRR</v>
      </c>
      <c r="L25" s="53" t="str">
        <f t="shared" si="12"/>
        <v>EIRR</v>
      </c>
      <c r="M25" s="53" t="str">
        <f t="shared" si="12"/>
        <v>FIRR</v>
      </c>
      <c r="N25" s="53" t="str">
        <f t="shared" si="12"/>
        <v>EIRR</v>
      </c>
    </row>
    <row r="26" spans="1:17" x14ac:dyDescent="0.25">
      <c r="B26" s="468"/>
      <c r="C26" s="461" t="s">
        <v>72</v>
      </c>
      <c r="D26" s="462"/>
      <c r="E26" s="461" t="s">
        <v>70</v>
      </c>
      <c r="F26" s="462"/>
      <c r="G26" s="461" t="s">
        <v>73</v>
      </c>
      <c r="H26" s="462"/>
      <c r="I26" s="461" t="s">
        <v>72</v>
      </c>
      <c r="J26" s="462"/>
      <c r="K26" s="461" t="s">
        <v>70</v>
      </c>
      <c r="L26" s="462"/>
      <c r="M26" s="461" t="s">
        <v>73</v>
      </c>
      <c r="N26" s="462"/>
    </row>
    <row r="27" spans="1:17" x14ac:dyDescent="0.25">
      <c r="B27" s="469"/>
      <c r="C27" s="461" t="s">
        <v>93</v>
      </c>
      <c r="D27" s="462"/>
      <c r="E27" s="461" t="s">
        <v>94</v>
      </c>
      <c r="F27" s="462"/>
      <c r="G27" s="461" t="s">
        <v>95</v>
      </c>
      <c r="H27" s="462"/>
      <c r="I27" s="461" t="s">
        <v>93</v>
      </c>
      <c r="J27" s="462"/>
      <c r="K27" s="461" t="s">
        <v>94</v>
      </c>
      <c r="L27" s="462"/>
      <c r="M27" s="461" t="s">
        <v>95</v>
      </c>
      <c r="N27" s="462"/>
    </row>
    <row r="28" spans="1:17" x14ac:dyDescent="0.25">
      <c r="B28" s="43" t="str">
        <f>B8</f>
        <v>Without GCF (No grant/100% PKSF loan)</v>
      </c>
      <c r="C28" s="57">
        <v>-939211.19983040087</v>
      </c>
      <c r="D28" s="57">
        <f>BaU_Vegetables!B20</f>
        <v>-1049423.5605085143</v>
      </c>
      <c r="E28" s="57">
        <v>-954994.47831501812</v>
      </c>
      <c r="F28" s="57">
        <f>'RCP 4.5_Vegetables'!B20</f>
        <v>-1067654.3937351052</v>
      </c>
      <c r="G28" s="57">
        <v>-966356.72261277481</v>
      </c>
      <c r="H28" s="57">
        <f>'RCP 8.5_Vegetables'!B20</f>
        <v>-1073274.568877212</v>
      </c>
      <c r="I28" s="58" t="e">
        <v>#NUM!</v>
      </c>
      <c r="J28" s="58" t="e">
        <f>BaU_Vegetables!B22</f>
        <v>#NUM!</v>
      </c>
      <c r="K28" s="58" t="e">
        <v>#NUM!</v>
      </c>
      <c r="L28" s="58" t="e">
        <f>'RCP 4.5_Vegetables'!B22</f>
        <v>#NUM!</v>
      </c>
      <c r="M28" s="58" t="e">
        <v>#NUM!</v>
      </c>
      <c r="N28" s="58" t="e">
        <f>'RCP 8.5_Vegetables'!B22</f>
        <v>#NUM!</v>
      </c>
    </row>
    <row r="29" spans="1:17" x14ac:dyDescent="0.25">
      <c r="B29" s="43" t="str">
        <f t="shared" ref="B29:B30" si="13">B9</f>
        <v>With GCF (GCF grant+ PKSF Loan)</v>
      </c>
      <c r="C29" s="446">
        <v>-453639.60688158509</v>
      </c>
      <c r="D29" s="446">
        <f>BaU_Vegetables!B47</f>
        <v>-401269.32683781837</v>
      </c>
      <c r="E29" s="446">
        <v>-469422.88536620245</v>
      </c>
      <c r="F29" s="446">
        <f>'RCP 4.5_Vegetables'!B47</f>
        <v>-419500.16006440902</v>
      </c>
      <c r="G29" s="446">
        <v>-480785.1296639592</v>
      </c>
      <c r="H29" s="446">
        <f>'RCP 8.5_Vegetables'!B47</f>
        <v>-425120.33520651574</v>
      </c>
      <c r="I29" s="106" t="e">
        <v>#NUM!</v>
      </c>
      <c r="J29" s="106" t="e">
        <f>BaU_Vegetables!B49</f>
        <v>#NUM!</v>
      </c>
      <c r="K29" s="106" t="e">
        <v>#NUM!</v>
      </c>
      <c r="L29" s="106" t="e">
        <f>'RCP 4.5_Vegetables'!B49</f>
        <v>#NUM!</v>
      </c>
      <c r="M29" s="106" t="e">
        <v>#NUM!</v>
      </c>
      <c r="N29" s="106" t="e">
        <f>'RCP 8.5_Vegetables'!B49</f>
        <v>#NUM!</v>
      </c>
    </row>
    <row r="30" spans="1:17" x14ac:dyDescent="0.25">
      <c r="A30" s="207" t="s">
        <v>228</v>
      </c>
      <c r="B30" s="209" t="str">
        <f t="shared" si="13"/>
        <v>With GCF (100%GCF grant+0%PKSF loan)</v>
      </c>
      <c r="C30" s="446">
        <v>31931.986067230649</v>
      </c>
      <c r="D30" s="446">
        <f>BaU_Vegetables!B75</f>
        <v>123661.48381058803</v>
      </c>
      <c r="E30" s="446">
        <v>16148.707582613379</v>
      </c>
      <c r="F30" s="446">
        <f>'RCP 4.5_Vegetables'!B75</f>
        <v>105430.65058399738</v>
      </c>
      <c r="G30" s="446">
        <v>4786.463284856527</v>
      </c>
      <c r="H30" s="446">
        <f>'RCP 8.5_Vegetables'!B75</f>
        <v>99810.475441890667</v>
      </c>
      <c r="I30" s="106">
        <v>0.24</v>
      </c>
      <c r="J30" s="106" t="e">
        <f>BaU_Vegetables!B77</f>
        <v>#NUM!</v>
      </c>
      <c r="K30" s="106">
        <v>0.17</v>
      </c>
      <c r="L30" s="106" t="e">
        <f>'RCP 4.5_Vegetables'!B77</f>
        <v>#NUM!</v>
      </c>
      <c r="M30" s="106">
        <v>0.11</v>
      </c>
      <c r="N30" s="106" t="e">
        <f>'RCP 8.5_Vegetables'!B77</f>
        <v>#NUM!</v>
      </c>
    </row>
    <row r="31" spans="1:17" x14ac:dyDescent="0.25">
      <c r="B31" s="45"/>
      <c r="C31" s="45"/>
    </row>
    <row r="32" spans="1:17" x14ac:dyDescent="0.25">
      <c r="B32" s="193"/>
      <c r="C32" s="46"/>
    </row>
    <row r="33" spans="2:17" x14ac:dyDescent="0.25">
      <c r="B33" s="43"/>
      <c r="C33" s="459" t="str">
        <f>C26</f>
        <v>BaU</v>
      </c>
      <c r="D33" s="459"/>
      <c r="E33" s="459"/>
      <c r="F33" s="459"/>
      <c r="G33" s="459"/>
      <c r="H33" s="459" t="str">
        <f>E26</f>
        <v>RCP 4.5</v>
      </c>
      <c r="I33" s="459"/>
      <c r="J33" s="459"/>
      <c r="K33" s="459"/>
      <c r="L33" s="459"/>
      <c r="M33" s="460" t="str">
        <f>G26</f>
        <v>RCP 8.5</v>
      </c>
      <c r="N33" s="460"/>
      <c r="O33" s="460"/>
      <c r="P33" s="460"/>
      <c r="Q33" s="460"/>
    </row>
    <row r="34" spans="2:17" ht="45" x14ac:dyDescent="0.25">
      <c r="B34" s="43"/>
      <c r="C34" s="255" t="s">
        <v>319</v>
      </c>
      <c r="D34" s="255" t="s">
        <v>320</v>
      </c>
      <c r="E34" s="357" t="str">
        <f>D25</f>
        <v>ENPV</v>
      </c>
      <c r="F34" s="357" t="str">
        <f>J25</f>
        <v>EIRR</v>
      </c>
      <c r="G34" s="358" t="s">
        <v>330</v>
      </c>
      <c r="H34" s="362" t="str">
        <f>C34</f>
        <v>Economic Benefits in Present Value</v>
      </c>
      <c r="I34" s="362" t="str">
        <f t="shared" ref="I34" si="14">D34</f>
        <v>Economic Costs in Present Value</v>
      </c>
      <c r="J34" s="362" t="str">
        <f t="shared" ref="J34" si="15">E34</f>
        <v>ENPV</v>
      </c>
      <c r="K34" s="362" t="str">
        <f t="shared" ref="K34" si="16">F34</f>
        <v>EIRR</v>
      </c>
      <c r="L34" s="362" t="str">
        <f t="shared" ref="L34" si="17">G34</f>
        <v>Benefit to Cost ratio</v>
      </c>
      <c r="M34" s="358" t="str">
        <f>H34</f>
        <v>Economic Benefits in Present Value</v>
      </c>
      <c r="N34" s="358" t="str">
        <f t="shared" ref="N34" si="18">I34</f>
        <v>Economic Costs in Present Value</v>
      </c>
      <c r="O34" s="358" t="str">
        <f t="shared" ref="O34" si="19">J34</f>
        <v>ENPV</v>
      </c>
      <c r="P34" s="358" t="str">
        <f t="shared" ref="P34" si="20">K34</f>
        <v>EIRR</v>
      </c>
      <c r="Q34" s="358" t="str">
        <f t="shared" ref="Q34" si="21">L34</f>
        <v>Benefit to Cost ratio</v>
      </c>
    </row>
    <row r="35" spans="2:17" x14ac:dyDescent="0.25">
      <c r="B35" s="43"/>
      <c r="C35" s="47"/>
      <c r="D35" s="57"/>
      <c r="E35" s="57"/>
      <c r="F35" s="57"/>
      <c r="G35" s="57"/>
      <c r="H35" s="57"/>
      <c r="I35" s="58"/>
      <c r="J35" s="58"/>
      <c r="K35" s="58"/>
      <c r="L35" s="58"/>
      <c r="M35" s="58"/>
      <c r="N35" s="58"/>
      <c r="O35" s="47"/>
      <c r="P35" s="47"/>
      <c r="Q35" s="47"/>
    </row>
    <row r="36" spans="2:17" x14ac:dyDescent="0.25">
      <c r="B36" s="354" t="s">
        <v>91</v>
      </c>
      <c r="C36" s="57">
        <f>BaU_Vegetables!L17</f>
        <v>3222914.7597776502</v>
      </c>
      <c r="D36" s="57">
        <f>BaU_Vegetables!L18</f>
        <v>4272338.3202861641</v>
      </c>
      <c r="E36" s="57">
        <f>D28</f>
        <v>-1049423.5605085143</v>
      </c>
      <c r="F36" s="378">
        <f>F16</f>
        <v>8.7869245767875803E-2</v>
      </c>
      <c r="G36" s="93">
        <f>C36/D36</f>
        <v>0.75436787027713137</v>
      </c>
      <c r="H36" s="57">
        <f>'RCP 4.5_Vegetables'!L17</f>
        <v>3217736.4022847605</v>
      </c>
      <c r="I36" s="379">
        <f>'RCP 4.5_Vegetables'!L18</f>
        <v>4285390.7960198661</v>
      </c>
      <c r="J36" s="57">
        <f>F28</f>
        <v>-1067654.3937351052</v>
      </c>
      <c r="K36" s="58" t="e">
        <f>L28</f>
        <v>#NUM!</v>
      </c>
      <c r="L36" s="93">
        <f>H36/I36</f>
        <v>0.75086183628183711</v>
      </c>
      <c r="M36" s="380">
        <f>'RCP 8.5_Vegetables'!L17</f>
        <v>3207379.6872989829</v>
      </c>
      <c r="N36" s="380">
        <f>'RCP 8.5_Vegetables'!L18</f>
        <v>4280654.2561761942</v>
      </c>
      <c r="O36" s="57">
        <f>H28</f>
        <v>-1073274.568877212</v>
      </c>
      <c r="P36" s="58" t="e">
        <f>N28</f>
        <v>#NUM!</v>
      </c>
      <c r="Q36" s="381">
        <f>M36/N36</f>
        <v>0.74927324080689905</v>
      </c>
    </row>
    <row r="37" spans="2:17" x14ac:dyDescent="0.25">
      <c r="B37" s="354" t="s">
        <v>90</v>
      </c>
      <c r="C37" s="57">
        <f>BaU_Vegetables!L44</f>
        <v>13074602.435337016</v>
      </c>
      <c r="D37" s="57">
        <f>BaU_Vegetables!L45</f>
        <v>13475871.762174834</v>
      </c>
      <c r="E37" s="57">
        <f t="shared" ref="E37:E38" si="22">D29</f>
        <v>-401269.32683781837</v>
      </c>
      <c r="F37" s="378">
        <f t="shared" ref="F37:F38" si="23">F17</f>
        <v>0.2279361083959266</v>
      </c>
      <c r="G37" s="93">
        <f t="shared" ref="G37:G38" si="24">C37/D37</f>
        <v>0.97022312664297294</v>
      </c>
      <c r="H37" s="57">
        <f>'RCP 4.5_Vegetables'!L44</f>
        <v>13069424.077844126</v>
      </c>
      <c r="I37" s="379">
        <f>'RCP 4.5_Vegetables'!L45</f>
        <v>13488924.237908537</v>
      </c>
      <c r="J37" s="57">
        <f t="shared" ref="J37:J38" si="25">F29</f>
        <v>-419500.16006440902</v>
      </c>
      <c r="K37" s="58" t="e">
        <f t="shared" ref="K37:K38" si="26">L29</f>
        <v>#NUM!</v>
      </c>
      <c r="L37" s="93">
        <f t="shared" ref="L37:L38" si="27">H37/I37</f>
        <v>0.9689003991226024</v>
      </c>
      <c r="M37" s="380">
        <f>'RCP 8.5_Vegetables'!L44</f>
        <v>13059067.362858348</v>
      </c>
      <c r="N37" s="380">
        <f>'RCP 8.5_Vegetables'!L45</f>
        <v>13484187.698064864</v>
      </c>
      <c r="O37" s="57">
        <f t="shared" ref="O37:O38" si="28">H29</f>
        <v>-425120.33520651574</v>
      </c>
      <c r="P37" s="58" t="e">
        <f t="shared" ref="P37:P38" si="29">N29</f>
        <v>#NUM!</v>
      </c>
      <c r="Q37" s="381">
        <f t="shared" ref="Q37:Q38" si="30">M37/N37</f>
        <v>0.96847267742590637</v>
      </c>
    </row>
    <row r="38" spans="2:17" x14ac:dyDescent="0.25">
      <c r="B38" s="355" t="s">
        <v>92</v>
      </c>
      <c r="C38" s="57">
        <f>BaU_Vegetables!L72</f>
        <v>13074602.435337016</v>
      </c>
      <c r="D38" s="57">
        <f>BaU_Vegetables!L73</f>
        <v>12950940.951526426</v>
      </c>
      <c r="E38" s="57">
        <f t="shared" si="22"/>
        <v>123661.48381058803</v>
      </c>
      <c r="F38" s="378">
        <f t="shared" si="23"/>
        <v>0.44382004845635348</v>
      </c>
      <c r="G38" s="93">
        <f t="shared" si="24"/>
        <v>1.0095484555348866</v>
      </c>
      <c r="H38" s="57">
        <f>'RCP 4.5_Vegetables'!L72</f>
        <v>13069424.077844126</v>
      </c>
      <c r="I38" s="379">
        <f>'RCP 4.5_Vegetables'!L73</f>
        <v>12963993.427260131</v>
      </c>
      <c r="J38" s="57">
        <f t="shared" si="25"/>
        <v>105430.65058399738</v>
      </c>
      <c r="K38" s="58" t="e">
        <f t="shared" si="26"/>
        <v>#NUM!</v>
      </c>
      <c r="L38" s="93">
        <f t="shared" si="27"/>
        <v>1.0081325751340093</v>
      </c>
      <c r="M38" s="380">
        <f>'RCP 8.5_Vegetables'!L72</f>
        <v>13059067.362858348</v>
      </c>
      <c r="N38" s="380">
        <f>'RCP 8.5_Vegetables'!L73</f>
        <v>12959256.887416456</v>
      </c>
      <c r="O38" s="57">
        <f t="shared" si="28"/>
        <v>99810.475441890667</v>
      </c>
      <c r="P38" s="58" t="e">
        <f t="shared" si="29"/>
        <v>#NUM!</v>
      </c>
      <c r="Q38" s="381">
        <f t="shared" si="30"/>
        <v>1.007701867191074</v>
      </c>
    </row>
    <row r="39" spans="2:17" x14ac:dyDescent="0.25">
      <c r="B39" s="193"/>
      <c r="C39" s="46"/>
    </row>
    <row r="40" spans="2:17" x14ac:dyDescent="0.25">
      <c r="B40" s="193"/>
      <c r="C40" s="46"/>
    </row>
    <row r="41" spans="2:17" x14ac:dyDescent="0.25">
      <c r="B41" s="193"/>
      <c r="C41" s="46"/>
    </row>
    <row r="42" spans="2:17" ht="21" x14ac:dyDescent="0.35">
      <c r="B42" s="54" t="s">
        <v>344</v>
      </c>
      <c r="C42" s="47"/>
      <c r="D42" s="47"/>
      <c r="E42" s="47"/>
    </row>
    <row r="43" spans="2:17" x14ac:dyDescent="0.25">
      <c r="B43" s="86"/>
      <c r="C43" s="87"/>
    </row>
    <row r="44" spans="2:17" ht="18.75" x14ac:dyDescent="0.25">
      <c r="B44" s="466" t="s">
        <v>69</v>
      </c>
      <c r="C44" s="466"/>
      <c r="D44" s="466"/>
      <c r="E44" s="466"/>
      <c r="F44" s="466"/>
      <c r="G44" s="466"/>
      <c r="H44" s="466"/>
      <c r="I44" s="466"/>
      <c r="J44" s="466"/>
      <c r="K44" s="466"/>
      <c r="L44" s="466"/>
      <c r="M44" s="466"/>
      <c r="N44" s="466"/>
    </row>
    <row r="45" spans="2:17" x14ac:dyDescent="0.25">
      <c r="B45" s="467" t="s">
        <v>0</v>
      </c>
      <c r="C45" s="53" t="s">
        <v>235</v>
      </c>
      <c r="D45" s="53" t="s">
        <v>236</v>
      </c>
      <c r="E45" s="53" t="s">
        <v>235</v>
      </c>
      <c r="F45" s="53" t="s">
        <v>236</v>
      </c>
      <c r="G45" s="53" t="s">
        <v>235</v>
      </c>
      <c r="H45" s="53" t="s">
        <v>236</v>
      </c>
      <c r="I45" s="53" t="s">
        <v>237</v>
      </c>
      <c r="J45" s="53" t="s">
        <v>238</v>
      </c>
      <c r="K45" s="53" t="s">
        <v>237</v>
      </c>
      <c r="L45" s="53" t="s">
        <v>238</v>
      </c>
      <c r="M45" s="53" t="s">
        <v>237</v>
      </c>
      <c r="N45" s="53" t="s">
        <v>238</v>
      </c>
    </row>
    <row r="46" spans="2:17" x14ac:dyDescent="0.25">
      <c r="B46" s="468"/>
      <c r="C46" s="461" t="s">
        <v>72</v>
      </c>
      <c r="D46" s="462"/>
      <c r="E46" s="461" t="s">
        <v>70</v>
      </c>
      <c r="F46" s="462"/>
      <c r="G46" s="461" t="s">
        <v>73</v>
      </c>
      <c r="H46" s="462"/>
      <c r="I46" s="461" t="s">
        <v>72</v>
      </c>
      <c r="J46" s="462"/>
      <c r="K46" s="461" t="s">
        <v>70</v>
      </c>
      <c r="L46" s="462"/>
      <c r="M46" s="461" t="s">
        <v>73</v>
      </c>
      <c r="N46" s="462"/>
    </row>
    <row r="47" spans="2:17" x14ac:dyDescent="0.25">
      <c r="B47" s="469"/>
      <c r="C47" s="461" t="s">
        <v>93</v>
      </c>
      <c r="D47" s="462"/>
      <c r="E47" s="461" t="s">
        <v>94</v>
      </c>
      <c r="F47" s="462"/>
      <c r="G47" s="461" t="s">
        <v>95</v>
      </c>
      <c r="H47" s="462"/>
      <c r="I47" s="461" t="s">
        <v>93</v>
      </c>
      <c r="J47" s="462"/>
      <c r="K47" s="461" t="s">
        <v>94</v>
      </c>
      <c r="L47" s="462"/>
      <c r="M47" s="461" t="s">
        <v>95</v>
      </c>
      <c r="N47" s="462"/>
    </row>
    <row r="48" spans="2:17" x14ac:dyDescent="0.25">
      <c r="B48" s="426" t="s">
        <v>91</v>
      </c>
      <c r="C48" s="446">
        <f>'Fin_BaU_CRAB Value'!B25</f>
        <v>-1019385.3333598953</v>
      </c>
      <c r="D48" s="447">
        <f>'BaU_CRAB Value'!B22</f>
        <v>12179411.185559388</v>
      </c>
      <c r="E48" s="57">
        <f>'Fin_RCP 4.5_CRAB Value'!B25</f>
        <v>-5660811.2807352329</v>
      </c>
      <c r="F48" s="80">
        <f>'RCP 4.5_CRAB Value'!B22</f>
        <v>4971271.9560229313</v>
      </c>
      <c r="G48" s="57">
        <f>'Fin_RCP 8.5_CRAB Value'!B25</f>
        <v>-6809748.7819150249</v>
      </c>
      <c r="H48" s="80">
        <f>'RCP 8.5_CRAB Value'!B22</f>
        <v>3376849.8256589686</v>
      </c>
      <c r="I48" s="58">
        <f>'Fin_BaU_CRAB Value'!B27</f>
        <v>8.1472398322491202E-2</v>
      </c>
      <c r="J48" s="138">
        <f>'BaU_CRAB Value'!B24</f>
        <v>0.138782623039857</v>
      </c>
      <c r="K48" s="58">
        <f>'Fin_RCP 4.5_CRAB Value'!B27</f>
        <v>4.137626058113919E-2</v>
      </c>
      <c r="L48" s="138">
        <f>'RCP 4.5_CRAB Value'!B24</f>
        <v>9.2672646360118627E-2</v>
      </c>
      <c r="M48" s="58">
        <f>'Fin_RCP 8.5_CRAB Value'!B27</f>
        <v>3.0953366087907774E-2</v>
      </c>
      <c r="N48" s="395">
        <f>'RCP 8.5_CRAB Value'!B24</f>
        <v>8.2322029226221005E-2</v>
      </c>
    </row>
    <row r="49" spans="1:17" x14ac:dyDescent="0.25">
      <c r="A49" s="207" t="s">
        <v>228</v>
      </c>
      <c r="B49" s="428" t="s">
        <v>90</v>
      </c>
      <c r="C49" s="446">
        <f>'Fin_BaU_CRAB Value'!B52</f>
        <v>5666250.892716568</v>
      </c>
      <c r="D49" s="447">
        <f>'BaU_CRAB Value'!B51</f>
        <v>19351411.376242824</v>
      </c>
      <c r="E49" s="57">
        <f>'Fin_RCP 4.5_CRAB Value'!B52</f>
        <v>1024824.9453412285</v>
      </c>
      <c r="F49" s="80">
        <f>'RCP 4.5_CRAB Value'!B51</f>
        <v>12143272.146706358</v>
      </c>
      <c r="G49" s="57">
        <f>'Fin_RCP 8.5_CRAB Value'!B52</f>
        <v>-124112.55583856495</v>
      </c>
      <c r="H49" s="80">
        <f>'RCP 8.5_CRAB Value'!B51</f>
        <v>10548850.016342398</v>
      </c>
      <c r="I49" s="58">
        <f>'Fin_BaU_CRAB Value'!B54</f>
        <v>0.16382522652849429</v>
      </c>
      <c r="J49" s="138">
        <f>'BaU_CRAB Value'!B53</f>
        <v>0.26586026915528738</v>
      </c>
      <c r="K49" s="58">
        <f>'Fin_RCP 4.5_CRAB Value'!B54</f>
        <v>0.10323990553099405</v>
      </c>
      <c r="L49" s="138">
        <f>'RCP 4.5_CRAB Value'!B53</f>
        <v>0.18492771533181274</v>
      </c>
      <c r="M49" s="58">
        <f>'Fin_RCP 8.5_CRAB Value'!B54</f>
        <v>8.8394159437070519E-2</v>
      </c>
      <c r="N49" s="395">
        <f>'RCP 8.5_CRAB Value'!B53</f>
        <v>0.16803160480498325</v>
      </c>
    </row>
    <row r="50" spans="1:17" x14ac:dyDescent="0.25">
      <c r="B50" s="254" t="s">
        <v>92</v>
      </c>
      <c r="C50" s="446">
        <f>'Fin_BaU_CRAB Value'!B80</f>
        <v>9255906.681216849</v>
      </c>
      <c r="D50" s="448">
        <f>'BaU_CRAB Value'!B81</f>
        <v>23213220.943675719</v>
      </c>
      <c r="E50" s="57">
        <f>'Fin_RCP 4.5_CRAB Value'!B80</f>
        <v>8050020.7978164479</v>
      </c>
      <c r="F50" s="118">
        <f>'RCP 4.5_CRAB Value'!B81</f>
        <v>16005081.714139258</v>
      </c>
      <c r="G50" s="57">
        <f>'Fin_RCP 8.5_CRAB Value'!B80</f>
        <v>3465543.2326617162</v>
      </c>
      <c r="H50" s="118">
        <f>'RCP 8.5_CRAB Value'!B81</f>
        <v>14410659.583775297</v>
      </c>
      <c r="I50" s="58">
        <f>'Fin_BaU_CRAB Value'!B82</f>
        <v>0.27746025739182012</v>
      </c>
      <c r="J50" s="138">
        <f>'BaU_CRAB Value'!B83</f>
        <v>0.48914499843119619</v>
      </c>
      <c r="K50" s="58">
        <f>'Fin_RCP 4.5_CRAB Value'!B82</f>
        <v>0.27522230309563689</v>
      </c>
      <c r="L50" s="138">
        <f>'RCP 4.5_CRAB Value'!B83</f>
        <v>0.32259034603741066</v>
      </c>
      <c r="M50" s="58">
        <f>'Fin_RCP 8.5_CRAB Value'!B82</f>
        <v>0.15478299462839629</v>
      </c>
      <c r="N50" s="138">
        <f>'RCP 8.5_CRAB Value'!B83</f>
        <v>0.29100940945989673</v>
      </c>
    </row>
    <row r="51" spans="1:17" x14ac:dyDescent="0.25">
      <c r="C51" s="91"/>
      <c r="D51" s="91"/>
      <c r="E51" s="91"/>
      <c r="F51" s="91"/>
      <c r="G51" s="91"/>
      <c r="H51" s="91"/>
      <c r="I51" s="91"/>
      <c r="J51" s="91"/>
      <c r="K51" s="91"/>
      <c r="L51" s="91"/>
      <c r="M51" s="91"/>
      <c r="N51" s="91"/>
    </row>
    <row r="52" spans="1:17" x14ac:dyDescent="0.25">
      <c r="B52" s="86"/>
      <c r="C52" s="87"/>
    </row>
    <row r="53" spans="1:17" x14ac:dyDescent="0.25">
      <c r="B53" s="43"/>
      <c r="C53" s="459" t="str">
        <f>C46</f>
        <v>BaU</v>
      </c>
      <c r="D53" s="459"/>
      <c r="E53" s="459"/>
      <c r="F53" s="459"/>
      <c r="G53" s="459"/>
      <c r="H53" s="459" t="str">
        <f>E46</f>
        <v>RCP 4.5</v>
      </c>
      <c r="I53" s="459"/>
      <c r="J53" s="459"/>
      <c r="K53" s="459"/>
      <c r="L53" s="459"/>
      <c r="M53" s="460" t="str">
        <f>G46</f>
        <v>RCP 8.5</v>
      </c>
      <c r="N53" s="460"/>
      <c r="O53" s="460"/>
      <c r="P53" s="460"/>
      <c r="Q53" s="460"/>
    </row>
    <row r="54" spans="1:17" ht="45" x14ac:dyDescent="0.25">
      <c r="B54" s="43"/>
      <c r="C54" s="255" t="s">
        <v>319</v>
      </c>
      <c r="D54" s="255" t="s">
        <v>320</v>
      </c>
      <c r="E54" s="357" t="str">
        <f>D45</f>
        <v>ENPV</v>
      </c>
      <c r="F54" s="357" t="str">
        <f>J45</f>
        <v>EIRR</v>
      </c>
      <c r="G54" s="358" t="s">
        <v>330</v>
      </c>
      <c r="H54" s="358" t="str">
        <f>C54</f>
        <v>Economic Benefits in Present Value</v>
      </c>
      <c r="I54" s="358" t="str">
        <f t="shared" ref="I54" si="31">D54</f>
        <v>Economic Costs in Present Value</v>
      </c>
      <c r="J54" s="358" t="str">
        <f t="shared" ref="J54" si="32">E54</f>
        <v>ENPV</v>
      </c>
      <c r="K54" s="358" t="str">
        <f t="shared" ref="K54" si="33">F54</f>
        <v>EIRR</v>
      </c>
      <c r="L54" s="358" t="str">
        <f t="shared" ref="L54" si="34">G54</f>
        <v>Benefit to Cost ratio</v>
      </c>
      <c r="M54" s="358" t="str">
        <f>H54</f>
        <v>Economic Benefits in Present Value</v>
      </c>
      <c r="N54" s="358" t="str">
        <f t="shared" ref="N54" si="35">I54</f>
        <v>Economic Costs in Present Value</v>
      </c>
      <c r="O54" s="358" t="str">
        <f t="shared" ref="O54" si="36">J54</f>
        <v>ENPV</v>
      </c>
      <c r="P54" s="358" t="str">
        <f t="shared" ref="P54" si="37">K54</f>
        <v>EIRR</v>
      </c>
      <c r="Q54" s="358" t="str">
        <f t="shared" ref="Q54" si="38">L54</f>
        <v>Benefit to Cost ratio</v>
      </c>
    </row>
    <row r="55" spans="1:17" x14ac:dyDescent="0.25">
      <c r="B55" s="43"/>
      <c r="C55" s="47"/>
      <c r="D55" s="57"/>
      <c r="G55" s="57"/>
      <c r="H55" s="57"/>
      <c r="I55" s="58"/>
      <c r="L55" s="58"/>
      <c r="M55" s="58"/>
      <c r="N55" s="58"/>
      <c r="Q55" s="47"/>
    </row>
    <row r="56" spans="1:17" x14ac:dyDescent="0.25">
      <c r="B56" s="354" t="s">
        <v>91</v>
      </c>
      <c r="C56" s="57">
        <f>'BaU_CRAB Value'!AA19</f>
        <v>112162818.60778503</v>
      </c>
      <c r="D56" s="57">
        <f>'BaU_CRAB Value'!AA20</f>
        <v>99983407.422225654</v>
      </c>
      <c r="E56" s="57">
        <f>D48</f>
        <v>12179411.185559388</v>
      </c>
      <c r="F56" s="138">
        <f>J48</f>
        <v>0.138782623039857</v>
      </c>
      <c r="G56" s="93">
        <f>C56/D56</f>
        <v>1.1218143239920424</v>
      </c>
      <c r="H56" s="57">
        <f>'RCP 4.5_CRAB Value'!AA19</f>
        <v>105866329.8756687</v>
      </c>
      <c r="I56" s="379">
        <f>'RCP 4.5_CRAB Value'!AA20</f>
        <v>100895057.9196458</v>
      </c>
      <c r="J56" s="57">
        <f>F48</f>
        <v>4971271.9560229313</v>
      </c>
      <c r="K56" s="58">
        <f>L48</f>
        <v>9.2672646360118627E-2</v>
      </c>
      <c r="L56" s="93">
        <f>H56/I56</f>
        <v>1.0492717092246688</v>
      </c>
      <c r="M56" s="380">
        <f>'RCP 8.5_CRAB Value'!AA19</f>
        <v>104707624.99803789</v>
      </c>
      <c r="N56" s="380">
        <f>'RCP 8.5_CRAB Value'!AA20</f>
        <v>101330775.17237894</v>
      </c>
      <c r="O56" s="57">
        <f>H48</f>
        <v>3376849.8256589686</v>
      </c>
      <c r="P56" s="58">
        <f>N48</f>
        <v>8.2322029226221005E-2</v>
      </c>
      <c r="Q56" s="381">
        <f>M56/N56</f>
        <v>1.0333250172014812</v>
      </c>
    </row>
    <row r="57" spans="1:17" x14ac:dyDescent="0.25">
      <c r="B57" s="355" t="s">
        <v>90</v>
      </c>
      <c r="C57" s="57">
        <f>'BaU_CRAB Value'!AA48</f>
        <v>112164387.40247601</v>
      </c>
      <c r="D57" s="57">
        <f>'BaU_CRAB Value'!AA49</f>
        <v>92812976.026233166</v>
      </c>
      <c r="E57" s="57">
        <f>D49</f>
        <v>19351411.376242824</v>
      </c>
      <c r="F57" s="418">
        <f>J49</f>
        <v>0.26586026915528738</v>
      </c>
      <c r="G57" s="93">
        <f t="shared" ref="G57:G58" si="39">C57/D57</f>
        <v>1.208498985861344</v>
      </c>
      <c r="H57" s="57">
        <f>'RCP 4.5_CRAB Value'!AA48</f>
        <v>105867898.67035969</v>
      </c>
      <c r="I57" s="379">
        <f>'RCP 4.5_CRAB Value'!AA49</f>
        <v>93724626.523653328</v>
      </c>
      <c r="J57" s="57">
        <f>F49</f>
        <v>12143272.146706358</v>
      </c>
      <c r="K57" s="58">
        <f>L49</f>
        <v>0.18492771533181274</v>
      </c>
      <c r="L57" s="93">
        <f t="shared" ref="L57:L58" si="40">H57/I57</f>
        <v>1.1295633025930678</v>
      </c>
      <c r="M57" s="380">
        <f>'RCP 8.5_CRAB Value'!AA48</f>
        <v>104709193.79272887</v>
      </c>
      <c r="N57" s="380">
        <f>'RCP 8.5_CRAB Value'!AA49</f>
        <v>94160343.77638647</v>
      </c>
      <c r="O57" s="57">
        <f>H49</f>
        <v>10548850.016342398</v>
      </c>
      <c r="P57" s="58">
        <f>N49</f>
        <v>0.16803160480498325</v>
      </c>
      <c r="Q57" s="381">
        <f t="shared" ref="Q57:Q58" si="41">M57/N57</f>
        <v>1.1120307083987924</v>
      </c>
    </row>
    <row r="58" spans="1:17" x14ac:dyDescent="0.25">
      <c r="B58" s="356" t="s">
        <v>92</v>
      </c>
      <c r="C58" s="57">
        <f>'BaU_CRAB Value'!AA78</f>
        <v>112164387.40247601</v>
      </c>
      <c r="D58" s="57">
        <f>'BaU_CRAB Value'!AA79</f>
        <v>88951166.458800271</v>
      </c>
      <c r="E58" s="57">
        <f>D50</f>
        <v>23213220.943675719</v>
      </c>
      <c r="F58" s="418">
        <f>J50</f>
        <v>0.48914499843119619</v>
      </c>
      <c r="G58" s="93">
        <f t="shared" si="39"/>
        <v>1.2609658969950379</v>
      </c>
      <c r="H58" s="57">
        <f>'RCP 4.5_CRAB Value'!AA78</f>
        <v>105867898.67035969</v>
      </c>
      <c r="I58" s="379">
        <f>'RCP 4.5_CRAB Value'!AA79</f>
        <v>89862816.956220433</v>
      </c>
      <c r="J58" s="57">
        <f>F50</f>
        <v>16005081.714139258</v>
      </c>
      <c r="K58" s="58">
        <f>L50</f>
        <v>0.32259034603741066</v>
      </c>
      <c r="L58" s="93">
        <f t="shared" si="40"/>
        <v>1.1781057199880196</v>
      </c>
      <c r="M58" s="380">
        <f>'RCP 8.5_CRAB Value'!AA78</f>
        <v>104709193.79272887</v>
      </c>
      <c r="N58" s="380">
        <f>'RCP 8.5_CRAB Value'!AA79</f>
        <v>90298534.208953574</v>
      </c>
      <c r="O58" s="57">
        <f>H50</f>
        <v>14410659.583775297</v>
      </c>
      <c r="P58" s="58">
        <f>N50</f>
        <v>0.29100940945989673</v>
      </c>
      <c r="Q58" s="381">
        <f t="shared" si="41"/>
        <v>1.1595890753932792</v>
      </c>
    </row>
    <row r="59" spans="1:17" x14ac:dyDescent="0.25">
      <c r="B59" s="48"/>
      <c r="C59" s="45"/>
    </row>
    <row r="60" spans="1:17" x14ac:dyDescent="0.25">
      <c r="B60" s="48"/>
      <c r="C60" s="45"/>
    </row>
    <row r="61" spans="1:17" x14ac:dyDescent="0.25">
      <c r="B61" s="48"/>
      <c r="C61" s="45"/>
    </row>
    <row r="62" spans="1:17" x14ac:dyDescent="0.25">
      <c r="B62" s="48"/>
      <c r="C62" s="45"/>
    </row>
    <row r="63" spans="1:17" x14ac:dyDescent="0.25">
      <c r="B63" s="48"/>
      <c r="C63" s="45"/>
    </row>
    <row r="64" spans="1:17" x14ac:dyDescent="0.25">
      <c r="B64" s="48"/>
      <c r="C64" s="45"/>
    </row>
    <row r="65" spans="1:15" x14ac:dyDescent="0.25">
      <c r="B65" s="48"/>
      <c r="C65" s="45"/>
    </row>
    <row r="66" spans="1:15" x14ac:dyDescent="0.25">
      <c r="B66" s="48"/>
      <c r="C66" s="45"/>
    </row>
    <row r="67" spans="1:15" x14ac:dyDescent="0.25">
      <c r="B67" s="48"/>
      <c r="C67" s="45"/>
    </row>
    <row r="68" spans="1:15" x14ac:dyDescent="0.25">
      <c r="B68" s="48"/>
      <c r="C68" s="45"/>
    </row>
    <row r="69" spans="1:15" x14ac:dyDescent="0.25">
      <c r="B69" s="48"/>
      <c r="C69" s="45"/>
    </row>
    <row r="70" spans="1:15" x14ac:dyDescent="0.25">
      <c r="B70" s="48"/>
      <c r="C70" s="45"/>
    </row>
    <row r="71" spans="1:15" x14ac:dyDescent="0.25">
      <c r="B71" s="48"/>
      <c r="C71" s="45"/>
    </row>
    <row r="72" spans="1:15" x14ac:dyDescent="0.25">
      <c r="B72" s="48"/>
      <c r="C72" s="45"/>
      <c r="D72" s="45"/>
      <c r="E72" s="45"/>
      <c r="F72" s="45"/>
      <c r="G72" s="45"/>
      <c r="H72" s="45"/>
      <c r="I72" s="45"/>
      <c r="J72" s="45"/>
      <c r="K72" s="45"/>
      <c r="L72" s="45"/>
      <c r="M72" s="45"/>
      <c r="N72" s="45"/>
      <c r="O72" s="85"/>
    </row>
    <row r="73" spans="1:15" ht="21" hidden="1" x14ac:dyDescent="0.35">
      <c r="B73" s="54" t="s">
        <v>196</v>
      </c>
    </row>
    <row r="74" spans="1:15" hidden="1" x14ac:dyDescent="0.25">
      <c r="B74" s="46"/>
      <c r="C74" s="46"/>
    </row>
    <row r="75" spans="1:15" ht="18.75" hidden="1" x14ac:dyDescent="0.25">
      <c r="B75" s="466" t="s">
        <v>69</v>
      </c>
      <c r="C75" s="466"/>
      <c r="D75" s="466"/>
      <c r="E75" s="466"/>
      <c r="F75" s="466"/>
      <c r="G75" s="466"/>
      <c r="H75" s="466"/>
      <c r="I75" s="466"/>
      <c r="J75" s="466"/>
      <c r="K75" s="466"/>
      <c r="L75" s="466"/>
      <c r="M75" s="466"/>
      <c r="N75" s="466"/>
    </row>
    <row r="76" spans="1:15" hidden="1" x14ac:dyDescent="0.25">
      <c r="B76" s="471" t="s">
        <v>0</v>
      </c>
      <c r="C76" s="470" t="s">
        <v>1</v>
      </c>
      <c r="D76" s="470"/>
      <c r="E76" s="470"/>
      <c r="F76" s="470"/>
      <c r="G76" s="470"/>
      <c r="H76" s="53"/>
      <c r="I76" s="470" t="s">
        <v>2</v>
      </c>
      <c r="J76" s="470"/>
      <c r="K76" s="470"/>
      <c r="L76" s="470"/>
      <c r="M76" s="470"/>
      <c r="N76" s="53"/>
    </row>
    <row r="77" spans="1:15" hidden="1" x14ac:dyDescent="0.25">
      <c r="B77" s="471"/>
      <c r="C77" s="53" t="s">
        <v>72</v>
      </c>
      <c r="D77" s="53"/>
      <c r="E77" s="53" t="s">
        <v>70</v>
      </c>
      <c r="F77" s="53"/>
      <c r="G77" s="53" t="s">
        <v>73</v>
      </c>
      <c r="H77" s="53"/>
      <c r="I77" s="53" t="s">
        <v>72</v>
      </c>
      <c r="J77" s="53"/>
      <c r="K77" s="53" t="s">
        <v>70</v>
      </c>
      <c r="L77" s="53"/>
      <c r="M77" s="53" t="s">
        <v>73</v>
      </c>
      <c r="N77" s="53"/>
    </row>
    <row r="78" spans="1:15" hidden="1" x14ac:dyDescent="0.25">
      <c r="B78" s="471"/>
      <c r="C78" s="53" t="s">
        <v>93</v>
      </c>
      <c r="D78" s="53"/>
      <c r="E78" s="53" t="s">
        <v>94</v>
      </c>
      <c r="F78" s="53"/>
      <c r="G78" s="53" t="s">
        <v>95</v>
      </c>
      <c r="H78" s="53"/>
      <c r="I78" s="53" t="s">
        <v>93</v>
      </c>
      <c r="J78" s="53"/>
      <c r="K78" s="53" t="s">
        <v>94</v>
      </c>
      <c r="L78" s="53"/>
      <c r="M78" s="53" t="s">
        <v>95</v>
      </c>
      <c r="N78" s="53"/>
    </row>
    <row r="79" spans="1:15" hidden="1" x14ac:dyDescent="0.25">
      <c r="B79" s="79" t="s">
        <v>91</v>
      </c>
      <c r="C79" s="57">
        <v>-262665.74066508148</v>
      </c>
      <c r="D79" s="57"/>
      <c r="E79" s="57">
        <v>-361450.23425186909</v>
      </c>
      <c r="F79" s="57"/>
      <c r="G79" s="57">
        <v>-442453.94843600655</v>
      </c>
      <c r="H79" s="57"/>
      <c r="I79" s="58">
        <v>5.1409868089747013E-2</v>
      </c>
      <c r="J79" s="58"/>
      <c r="K79" s="58">
        <v>5.1409868089747013E-2</v>
      </c>
      <c r="L79" s="58"/>
      <c r="M79" s="58">
        <v>4.2597008474320353E-2</v>
      </c>
      <c r="N79" s="58"/>
      <c r="O79" s="463"/>
    </row>
    <row r="80" spans="1:15" hidden="1" x14ac:dyDescent="0.25">
      <c r="A80" s="207" t="s">
        <v>228</v>
      </c>
      <c r="B80" s="208" t="s">
        <v>90</v>
      </c>
      <c r="C80" s="57">
        <v>227060.03708120971</v>
      </c>
      <c r="D80" s="57"/>
      <c r="E80" s="57">
        <v>128275.54349442174</v>
      </c>
      <c r="F80" s="57"/>
      <c r="G80" s="57">
        <v>47271.829310284564</v>
      </c>
      <c r="H80" s="57"/>
      <c r="I80" s="58">
        <v>0.12335426227935131</v>
      </c>
      <c r="J80" s="58"/>
      <c r="K80" s="58">
        <v>0.10881005714507785</v>
      </c>
      <c r="L80" s="58"/>
      <c r="M80" s="58">
        <v>9.6924536941986217E-2</v>
      </c>
      <c r="N80" s="58"/>
      <c r="O80" s="463"/>
    </row>
    <row r="81" spans="1:15" hidden="1" x14ac:dyDescent="0.25">
      <c r="B81" s="82" t="s">
        <v>92</v>
      </c>
      <c r="C81" s="57">
        <v>618840.6592782425</v>
      </c>
      <c r="D81" s="57"/>
      <c r="E81" s="57">
        <v>520056.16569145472</v>
      </c>
      <c r="F81" s="57"/>
      <c r="G81" s="57">
        <v>439052.45150731731</v>
      </c>
      <c r="H81" s="57"/>
      <c r="I81" s="58">
        <v>0.22474763809099829</v>
      </c>
      <c r="J81" s="58"/>
      <c r="K81" s="58">
        <v>0.20220657638461015</v>
      </c>
      <c r="L81" s="58"/>
      <c r="M81" s="58">
        <v>0.18408344575573299</v>
      </c>
      <c r="N81" s="58"/>
      <c r="O81" s="463"/>
    </row>
    <row r="82" spans="1:15" hidden="1" x14ac:dyDescent="0.25"/>
    <row r="83" spans="1:15" hidden="1" x14ac:dyDescent="0.25"/>
    <row r="84" spans="1:15" ht="21" hidden="1" x14ac:dyDescent="0.35">
      <c r="B84" s="54" t="s">
        <v>197</v>
      </c>
    </row>
    <row r="85" spans="1:15" hidden="1" x14ac:dyDescent="0.25">
      <c r="B85" s="45"/>
      <c r="C85" s="45"/>
    </row>
    <row r="86" spans="1:15" hidden="1" x14ac:dyDescent="0.25">
      <c r="B86" s="46"/>
      <c r="C86" s="46"/>
    </row>
    <row r="87" spans="1:15" ht="18.75" hidden="1" x14ac:dyDescent="0.25">
      <c r="B87" s="464" t="s">
        <v>69</v>
      </c>
      <c r="C87" s="465"/>
      <c r="D87" s="465"/>
      <c r="E87" s="465"/>
      <c r="F87" s="465"/>
      <c r="G87" s="465"/>
      <c r="H87" s="465"/>
      <c r="I87" s="465"/>
      <c r="J87" s="465"/>
      <c r="K87" s="465"/>
      <c r="L87" s="465"/>
      <c r="M87" s="465"/>
      <c r="N87" s="465"/>
    </row>
    <row r="88" spans="1:15" hidden="1" x14ac:dyDescent="0.25">
      <c r="B88" s="467" t="s">
        <v>0</v>
      </c>
      <c r="C88" s="470" t="s">
        <v>1</v>
      </c>
      <c r="D88" s="470"/>
      <c r="E88" s="470"/>
      <c r="F88" s="470"/>
      <c r="G88" s="470"/>
      <c r="H88" s="53"/>
      <c r="I88" s="470" t="s">
        <v>2</v>
      </c>
      <c r="J88" s="470"/>
      <c r="K88" s="470"/>
      <c r="L88" s="470"/>
      <c r="M88" s="470"/>
      <c r="N88" s="53"/>
    </row>
    <row r="89" spans="1:15" hidden="1" x14ac:dyDescent="0.25">
      <c r="B89" s="468"/>
      <c r="C89" s="53" t="s">
        <v>72</v>
      </c>
      <c r="D89" s="53"/>
      <c r="E89" s="53" t="s">
        <v>70</v>
      </c>
      <c r="F89" s="53"/>
      <c r="G89" s="53" t="s">
        <v>73</v>
      </c>
      <c r="H89" s="53"/>
      <c r="I89" s="53" t="s">
        <v>72</v>
      </c>
      <c r="J89" s="53"/>
      <c r="K89" s="53" t="s">
        <v>70</v>
      </c>
      <c r="L89" s="53"/>
      <c r="M89" s="53" t="s">
        <v>73</v>
      </c>
      <c r="N89" s="53"/>
    </row>
    <row r="90" spans="1:15" hidden="1" x14ac:dyDescent="0.25">
      <c r="B90" s="469"/>
      <c r="C90" s="53" t="s">
        <v>93</v>
      </c>
      <c r="D90" s="53"/>
      <c r="E90" s="53" t="s">
        <v>94</v>
      </c>
      <c r="F90" s="53"/>
      <c r="G90" s="53" t="s">
        <v>95</v>
      </c>
      <c r="H90" s="53"/>
      <c r="I90" s="53" t="s">
        <v>93</v>
      </c>
      <c r="J90" s="53"/>
      <c r="K90" s="53" t="s">
        <v>94</v>
      </c>
      <c r="L90" s="53"/>
      <c r="M90" s="53" t="s">
        <v>95</v>
      </c>
      <c r="N90" s="53"/>
    </row>
    <row r="91" spans="1:15" hidden="1" x14ac:dyDescent="0.25">
      <c r="B91" s="79" t="s">
        <v>91</v>
      </c>
      <c r="C91" s="57">
        <v>-27989.159358463872</v>
      </c>
      <c r="D91" s="57"/>
      <c r="E91" s="57">
        <v>-173262.41822599227</v>
      </c>
      <c r="F91" s="57"/>
      <c r="G91" s="57">
        <v>-272350.5731801365</v>
      </c>
      <c r="H91" s="57"/>
      <c r="I91" s="58">
        <v>8.4984624681674559E-2</v>
      </c>
      <c r="J91" s="58"/>
      <c r="K91" s="59">
        <v>5.9250638034703762E-2</v>
      </c>
      <c r="L91" s="59"/>
      <c r="M91" s="58">
        <v>4.1847689875542882E-2</v>
      </c>
      <c r="N91" s="58"/>
    </row>
    <row r="92" spans="1:15" hidden="1" x14ac:dyDescent="0.25">
      <c r="A92" s="207" t="s">
        <v>228</v>
      </c>
      <c r="B92" s="208" t="s">
        <v>90</v>
      </c>
      <c r="C92" s="57">
        <v>172724.76068190837</v>
      </c>
      <c r="D92" s="57"/>
      <c r="E92" s="57">
        <v>27451.501814380281</v>
      </c>
      <c r="F92" s="57"/>
      <c r="G92" s="57">
        <v>-71636.653139764137</v>
      </c>
      <c r="H92" s="57"/>
      <c r="I92" s="58">
        <v>0.1332566241757549</v>
      </c>
      <c r="J92" s="58"/>
      <c r="K92" s="59">
        <v>9.6585087839360151E-2</v>
      </c>
      <c r="L92" s="59"/>
      <c r="M92" s="58">
        <v>7.3216533351125879E-2</v>
      </c>
      <c r="N92" s="58"/>
    </row>
    <row r="93" spans="1:15" hidden="1" x14ac:dyDescent="0.25">
      <c r="B93" s="82" t="s">
        <v>92</v>
      </c>
      <c r="C93" s="57">
        <v>273081.72070209455</v>
      </c>
      <c r="D93" s="57"/>
      <c r="E93" s="57">
        <v>127808.46183456642</v>
      </c>
      <c r="F93" s="57"/>
      <c r="G93" s="57">
        <v>28720.306880421987</v>
      </c>
      <c r="H93" s="57"/>
      <c r="I93" s="58">
        <v>0.18052562288918339</v>
      </c>
      <c r="J93" s="58"/>
      <c r="K93" s="59">
        <v>0.12866186107651822</v>
      </c>
      <c r="L93" s="59"/>
      <c r="M93" s="58">
        <v>9.8273336490084517E-2</v>
      </c>
      <c r="N93" s="58"/>
    </row>
    <row r="94" spans="1:15" hidden="1" x14ac:dyDescent="0.25">
      <c r="B94" s="48"/>
      <c r="C94" s="45"/>
      <c r="D94" s="45"/>
      <c r="E94" s="45"/>
      <c r="F94" s="45"/>
      <c r="G94" s="45"/>
      <c r="H94" s="45"/>
      <c r="I94" s="45"/>
      <c r="J94" s="45"/>
      <c r="K94" s="45"/>
      <c r="L94" s="45"/>
      <c r="M94" s="45"/>
      <c r="N94" s="45"/>
    </row>
    <row r="95" spans="1:15" ht="22.9" hidden="1" customHeight="1" x14ac:dyDescent="0.35">
      <c r="B95" s="54" t="s">
        <v>198</v>
      </c>
    </row>
    <row r="96" spans="1:15" hidden="1" x14ac:dyDescent="0.25">
      <c r="B96" s="46"/>
      <c r="C96" s="46"/>
    </row>
    <row r="97" spans="1:14" ht="18.75" hidden="1" x14ac:dyDescent="0.25">
      <c r="B97" s="464" t="s">
        <v>69</v>
      </c>
      <c r="C97" s="465"/>
      <c r="D97" s="465"/>
      <c r="E97" s="465"/>
      <c r="F97" s="465"/>
      <c r="G97" s="465"/>
      <c r="H97" s="465"/>
      <c r="I97" s="465"/>
      <c r="J97" s="465"/>
      <c r="K97" s="465"/>
      <c r="L97" s="465"/>
      <c r="M97" s="465"/>
      <c r="N97" s="465"/>
    </row>
    <row r="98" spans="1:14" hidden="1" x14ac:dyDescent="0.25">
      <c r="B98" s="467" t="s">
        <v>0</v>
      </c>
      <c r="C98" s="470" t="s">
        <v>1</v>
      </c>
      <c r="D98" s="470"/>
      <c r="E98" s="470"/>
      <c r="F98" s="470"/>
      <c r="G98" s="470"/>
      <c r="H98" s="53"/>
      <c r="I98" s="470" t="s">
        <v>2</v>
      </c>
      <c r="J98" s="470"/>
      <c r="K98" s="470"/>
      <c r="L98" s="470"/>
      <c r="M98" s="470"/>
      <c r="N98" s="53"/>
    </row>
    <row r="99" spans="1:14" hidden="1" x14ac:dyDescent="0.25">
      <c r="B99" s="468"/>
      <c r="C99" s="53" t="s">
        <v>72</v>
      </c>
      <c r="D99" s="53"/>
      <c r="E99" s="53" t="s">
        <v>70</v>
      </c>
      <c r="F99" s="53"/>
      <c r="G99" s="53" t="s">
        <v>73</v>
      </c>
      <c r="H99" s="53"/>
      <c r="I99" s="53" t="s">
        <v>72</v>
      </c>
      <c r="J99" s="53"/>
      <c r="K99" s="53" t="s">
        <v>70</v>
      </c>
      <c r="L99" s="53"/>
      <c r="M99" s="53" t="s">
        <v>73</v>
      </c>
      <c r="N99" s="53"/>
    </row>
    <row r="100" spans="1:14" hidden="1" x14ac:dyDescent="0.25">
      <c r="B100" s="469"/>
      <c r="C100" s="53" t="s">
        <v>93</v>
      </c>
      <c r="D100" s="53"/>
      <c r="E100" s="53" t="s">
        <v>94</v>
      </c>
      <c r="F100" s="53"/>
      <c r="G100" s="53" t="s">
        <v>95</v>
      </c>
      <c r="H100" s="53"/>
      <c r="I100" s="53" t="s">
        <v>93</v>
      </c>
      <c r="J100" s="53"/>
      <c r="K100" s="53" t="s">
        <v>94</v>
      </c>
      <c r="L100" s="53"/>
      <c r="M100" s="53" t="s">
        <v>95</v>
      </c>
      <c r="N100" s="53"/>
    </row>
    <row r="101" spans="1:14" hidden="1" x14ac:dyDescent="0.25">
      <c r="B101" s="79" t="s">
        <v>91</v>
      </c>
      <c r="C101" s="57">
        <v>-728730.43333635048</v>
      </c>
      <c r="D101" s="57"/>
      <c r="E101" s="57">
        <v>-5126098.6282573752</v>
      </c>
      <c r="F101" s="57"/>
      <c r="G101" s="57">
        <v>-6094944.2602988854</v>
      </c>
      <c r="H101" s="57"/>
      <c r="I101" s="58">
        <v>8.3033731913726427E-2</v>
      </c>
      <c r="J101" s="58"/>
      <c r="K101" s="59">
        <v>3.934794080923254E-2</v>
      </c>
      <c r="L101" s="59"/>
      <c r="M101" s="58">
        <v>2.9154210083468746E-2</v>
      </c>
      <c r="N101" s="58"/>
    </row>
    <row r="102" spans="1:14" hidden="1" x14ac:dyDescent="0.25">
      <c r="A102" s="207" t="s">
        <v>228</v>
      </c>
      <c r="B102" s="208" t="s">
        <v>90</v>
      </c>
      <c r="C102" s="57">
        <v>5266466.0949534466</v>
      </c>
      <c r="D102" s="57"/>
      <c r="E102" s="57">
        <v>869097.900032426</v>
      </c>
      <c r="F102" s="57"/>
      <c r="G102" s="57">
        <v>-99747.732009089013</v>
      </c>
      <c r="H102" s="57"/>
      <c r="I102" s="58">
        <v>0.16960362626933212</v>
      </c>
      <c r="J102" s="58"/>
      <c r="K102" s="59">
        <v>0.10307949012865403</v>
      </c>
      <c r="L102" s="59"/>
      <c r="M102" s="58">
        <v>8.8494943334344711E-2</v>
      </c>
      <c r="N102" s="58"/>
    </row>
    <row r="103" spans="1:14" hidden="1" x14ac:dyDescent="0.25">
      <c r="B103" s="82" t="s">
        <v>92</v>
      </c>
      <c r="C103" s="57">
        <v>8363984.301236514</v>
      </c>
      <c r="D103" s="57"/>
      <c r="E103" s="57">
        <v>3966616.1063154875</v>
      </c>
      <c r="F103" s="57"/>
      <c r="G103" s="57">
        <v>2997770.474273975</v>
      </c>
      <c r="H103" s="57"/>
      <c r="I103" s="58">
        <v>0.28865504787104834</v>
      </c>
      <c r="J103" s="58"/>
      <c r="K103" s="59">
        <v>0.17782784804133245</v>
      </c>
      <c r="L103" s="59"/>
      <c r="M103" s="58">
        <v>0.15566538695963783</v>
      </c>
      <c r="N103" s="58"/>
    </row>
    <row r="105" spans="1:14" x14ac:dyDescent="0.25">
      <c r="B105" s="86"/>
      <c r="C105" s="87"/>
      <c r="D105" s="87"/>
      <c r="E105" s="87"/>
      <c r="F105" s="87"/>
      <c r="G105" s="87"/>
      <c r="H105" s="87"/>
      <c r="I105" s="87"/>
      <c r="J105" s="87"/>
      <c r="K105" s="87"/>
      <c r="L105" s="87"/>
      <c r="M105" s="87"/>
      <c r="N105" s="87"/>
    </row>
    <row r="106" spans="1:14" x14ac:dyDescent="0.25">
      <c r="B106" s="48"/>
      <c r="C106" s="45"/>
      <c r="D106" s="45"/>
      <c r="E106" s="45"/>
      <c r="F106" s="45"/>
      <c r="G106" s="45"/>
      <c r="H106" s="45"/>
      <c r="I106" s="45"/>
      <c r="J106" s="45"/>
      <c r="K106" s="45"/>
      <c r="L106" s="45"/>
      <c r="M106" s="45"/>
      <c r="N106" s="45"/>
    </row>
    <row r="107" spans="1:14" x14ac:dyDescent="0.25">
      <c r="B107" s="48"/>
      <c r="C107" s="45"/>
      <c r="D107" s="45"/>
      <c r="E107" s="45"/>
      <c r="F107" s="45"/>
      <c r="G107" s="45"/>
      <c r="H107" s="45"/>
      <c r="I107" s="45"/>
      <c r="J107" s="45"/>
      <c r="K107" s="45"/>
      <c r="L107" s="45"/>
      <c r="M107" s="45"/>
      <c r="N107" s="45"/>
    </row>
    <row r="108" spans="1:14" x14ac:dyDescent="0.25">
      <c r="B108" s="48"/>
      <c r="C108" s="45"/>
      <c r="D108" s="45"/>
      <c r="E108" s="45"/>
      <c r="F108" s="45"/>
      <c r="G108" s="45"/>
      <c r="H108" s="45"/>
      <c r="I108" s="45"/>
      <c r="J108" s="45"/>
      <c r="K108" s="45"/>
      <c r="L108" s="45"/>
      <c r="M108" s="45"/>
      <c r="N108" s="45"/>
    </row>
    <row r="109" spans="1:14" x14ac:dyDescent="0.25">
      <c r="B109" s="48"/>
      <c r="C109" s="45"/>
      <c r="D109" s="45"/>
      <c r="E109" s="45"/>
      <c r="F109" s="45"/>
      <c r="G109" s="45"/>
      <c r="H109" s="45"/>
      <c r="I109" s="45"/>
      <c r="J109" s="45"/>
      <c r="K109" s="45"/>
      <c r="L109" s="45"/>
      <c r="M109" s="45"/>
      <c r="N109" s="45"/>
    </row>
    <row r="110" spans="1:14" x14ac:dyDescent="0.25">
      <c r="B110" s="48"/>
      <c r="C110" s="45"/>
      <c r="D110" s="45"/>
      <c r="E110" s="45"/>
      <c r="F110" s="45"/>
      <c r="G110" s="45"/>
      <c r="H110" s="45"/>
      <c r="I110" s="45"/>
      <c r="J110" s="45"/>
      <c r="K110" s="45"/>
      <c r="L110" s="45"/>
      <c r="M110" s="45"/>
      <c r="N110" s="45"/>
    </row>
    <row r="111" spans="1:14" x14ac:dyDescent="0.25">
      <c r="B111" s="48"/>
      <c r="C111" s="45"/>
      <c r="D111" s="45"/>
      <c r="E111" s="45"/>
      <c r="F111" s="45"/>
      <c r="G111" s="45"/>
      <c r="H111" s="45"/>
      <c r="I111" s="45"/>
      <c r="J111" s="45"/>
      <c r="K111" s="45"/>
      <c r="L111" s="45"/>
      <c r="M111" s="45"/>
      <c r="N111" s="45"/>
    </row>
    <row r="112" spans="1:14" x14ac:dyDescent="0.25">
      <c r="B112" s="48"/>
      <c r="C112" s="45"/>
      <c r="D112" s="45"/>
      <c r="E112" s="45"/>
      <c r="F112" s="45"/>
      <c r="G112" s="45"/>
      <c r="H112" s="45"/>
      <c r="I112" s="45"/>
      <c r="J112" s="45"/>
      <c r="K112" s="45"/>
      <c r="L112" s="45"/>
      <c r="M112" s="45"/>
      <c r="N112" s="45"/>
    </row>
    <row r="113" spans="2:14" x14ac:dyDescent="0.25">
      <c r="B113" s="48"/>
      <c r="C113" s="45"/>
      <c r="D113" s="45"/>
      <c r="E113" s="45"/>
      <c r="F113" s="45"/>
      <c r="G113" s="45"/>
      <c r="H113" s="45"/>
      <c r="I113" s="45"/>
      <c r="J113" s="45"/>
      <c r="K113" s="45"/>
      <c r="L113" s="45"/>
      <c r="M113" s="45"/>
      <c r="N113" s="45"/>
    </row>
    <row r="114" spans="2:14" x14ac:dyDescent="0.25">
      <c r="B114" s="48"/>
      <c r="C114" s="45"/>
      <c r="D114" s="45"/>
      <c r="E114" s="45"/>
      <c r="F114" s="45"/>
      <c r="G114" s="45"/>
      <c r="H114" s="45"/>
      <c r="I114" s="45"/>
      <c r="J114" s="45"/>
      <c r="K114" s="45"/>
      <c r="L114" s="45"/>
      <c r="M114" s="45"/>
      <c r="N114" s="45"/>
    </row>
    <row r="115" spans="2:14" x14ac:dyDescent="0.25">
      <c r="B115" s="48"/>
      <c r="C115" s="45"/>
      <c r="D115" s="45"/>
      <c r="E115" s="45"/>
      <c r="F115" s="45"/>
      <c r="G115" s="45"/>
      <c r="H115" s="45"/>
      <c r="I115" s="45"/>
      <c r="J115" s="45"/>
      <c r="K115" s="45"/>
      <c r="L115" s="45"/>
      <c r="M115" s="45"/>
      <c r="N115" s="45"/>
    </row>
    <row r="116" spans="2:14" x14ac:dyDescent="0.25">
      <c r="B116" s="48"/>
      <c r="C116" s="45"/>
      <c r="D116" s="45"/>
      <c r="E116" s="45"/>
      <c r="F116" s="45"/>
      <c r="G116" s="45"/>
      <c r="H116" s="45"/>
      <c r="I116" s="45"/>
      <c r="J116" s="45"/>
      <c r="K116" s="45"/>
      <c r="L116" s="45"/>
      <c r="M116" s="45"/>
      <c r="N116" s="45"/>
    </row>
    <row r="117" spans="2:14" x14ac:dyDescent="0.25">
      <c r="B117" s="48"/>
      <c r="C117" s="45"/>
      <c r="D117" s="45"/>
      <c r="E117" s="45"/>
      <c r="F117" s="45"/>
      <c r="G117" s="45"/>
      <c r="H117" s="45"/>
      <c r="I117" s="45"/>
      <c r="J117" s="45"/>
      <c r="K117" s="45"/>
      <c r="L117" s="45"/>
      <c r="M117" s="45"/>
      <c r="N117" s="45"/>
    </row>
    <row r="118" spans="2:14" x14ac:dyDescent="0.25">
      <c r="B118" s="48"/>
      <c r="C118" s="45"/>
      <c r="D118" s="45"/>
      <c r="E118" s="45"/>
      <c r="F118" s="45"/>
      <c r="G118" s="45"/>
      <c r="H118" s="45"/>
      <c r="I118" s="45"/>
      <c r="J118" s="45"/>
      <c r="K118" s="45"/>
      <c r="L118" s="45"/>
      <c r="M118" s="45"/>
      <c r="N118" s="45"/>
    </row>
    <row r="119" spans="2:14" x14ac:dyDescent="0.25">
      <c r="B119" s="48"/>
      <c r="C119" s="45"/>
      <c r="D119" s="45"/>
      <c r="E119" s="45"/>
      <c r="F119" s="45"/>
      <c r="G119" s="45"/>
      <c r="H119" s="45"/>
      <c r="I119" s="45"/>
      <c r="J119" s="45"/>
      <c r="K119" s="45"/>
      <c r="L119" s="45"/>
      <c r="M119" s="45"/>
      <c r="N119" s="45"/>
    </row>
    <row r="120" spans="2:14" x14ac:dyDescent="0.25">
      <c r="B120" s="48"/>
      <c r="C120" s="45"/>
      <c r="D120" s="45"/>
      <c r="E120" s="45"/>
      <c r="F120" s="45"/>
      <c r="G120" s="45"/>
      <c r="H120" s="45"/>
      <c r="I120" s="45"/>
      <c r="J120" s="45"/>
      <c r="K120" s="45"/>
      <c r="L120" s="45"/>
      <c r="M120" s="45"/>
      <c r="N120" s="45"/>
    </row>
    <row r="121" spans="2:14" x14ac:dyDescent="0.25">
      <c r="B121" s="48"/>
      <c r="C121" s="45"/>
      <c r="D121" s="45"/>
      <c r="E121" s="45"/>
      <c r="F121" s="45"/>
      <c r="G121" s="45"/>
      <c r="H121" s="45"/>
      <c r="I121" s="45"/>
      <c r="J121" s="45"/>
      <c r="K121" s="45"/>
      <c r="L121" s="45"/>
      <c r="M121" s="45"/>
      <c r="N121" s="45"/>
    </row>
    <row r="122" spans="2:14" x14ac:dyDescent="0.25">
      <c r="B122" s="48"/>
      <c r="C122" s="45"/>
      <c r="D122" s="45"/>
      <c r="E122" s="45"/>
      <c r="F122" s="45"/>
      <c r="G122" s="45"/>
      <c r="H122" s="45"/>
      <c r="I122" s="45"/>
      <c r="J122" s="45"/>
      <c r="K122" s="45"/>
      <c r="L122" s="45"/>
      <c r="M122" s="45"/>
      <c r="N122" s="45"/>
    </row>
    <row r="123" spans="2:14" x14ac:dyDescent="0.25">
      <c r="B123" s="48"/>
      <c r="C123" s="45"/>
      <c r="D123" s="45"/>
      <c r="E123" s="45"/>
      <c r="F123" s="45"/>
      <c r="G123" s="45"/>
      <c r="H123" s="45"/>
      <c r="I123" s="45"/>
      <c r="J123" s="45"/>
      <c r="K123" s="45"/>
      <c r="L123" s="45"/>
      <c r="M123" s="45"/>
      <c r="N123" s="45"/>
    </row>
    <row r="124" spans="2:14" x14ac:dyDescent="0.25">
      <c r="B124" s="48"/>
      <c r="C124" s="45"/>
      <c r="D124" s="45"/>
      <c r="E124" s="45"/>
      <c r="F124" s="45"/>
      <c r="G124" s="45"/>
      <c r="H124" s="45"/>
      <c r="I124" s="45"/>
      <c r="J124" s="45"/>
      <c r="K124" s="45"/>
      <c r="L124" s="45"/>
      <c r="M124" s="45"/>
      <c r="N124" s="45"/>
    </row>
    <row r="125" spans="2:14" x14ac:dyDescent="0.25">
      <c r="B125" s="48"/>
      <c r="C125" s="45"/>
      <c r="D125" s="45"/>
      <c r="E125" s="45"/>
      <c r="F125" s="45"/>
      <c r="G125" s="45"/>
      <c r="H125" s="45"/>
      <c r="I125" s="45"/>
      <c r="J125" s="45"/>
      <c r="K125" s="45"/>
      <c r="L125" s="45"/>
      <c r="M125" s="45"/>
      <c r="N125" s="45"/>
    </row>
    <row r="126" spans="2:14" x14ac:dyDescent="0.25">
      <c r="B126" s="48"/>
      <c r="C126" s="45"/>
      <c r="D126" s="45"/>
      <c r="E126" s="45"/>
      <c r="F126" s="45"/>
      <c r="G126" s="45"/>
      <c r="H126" s="45"/>
      <c r="I126" s="45"/>
      <c r="J126" s="45"/>
      <c r="K126" s="45"/>
      <c r="L126" s="45"/>
      <c r="M126" s="45"/>
      <c r="N126" s="45"/>
    </row>
    <row r="127" spans="2:14" x14ac:dyDescent="0.25">
      <c r="B127" s="48"/>
      <c r="C127" s="45"/>
      <c r="D127" s="45"/>
      <c r="E127" s="45"/>
      <c r="F127" s="45"/>
      <c r="G127" s="45"/>
      <c r="H127" s="45"/>
      <c r="I127" s="45"/>
      <c r="J127" s="45"/>
      <c r="K127" s="45"/>
      <c r="L127" s="45"/>
      <c r="M127" s="45"/>
      <c r="N127" s="45"/>
    </row>
    <row r="128" spans="2:14" x14ac:dyDescent="0.25">
      <c r="B128" s="48"/>
      <c r="C128" s="45"/>
      <c r="D128" s="45"/>
      <c r="E128" s="45"/>
      <c r="F128" s="45"/>
      <c r="G128" s="45"/>
      <c r="H128" s="45"/>
      <c r="I128" s="45"/>
      <c r="J128" s="45"/>
      <c r="K128" s="45"/>
      <c r="L128" s="45"/>
      <c r="M128" s="45"/>
      <c r="N128" s="45"/>
    </row>
    <row r="129" spans="2:14" x14ac:dyDescent="0.25">
      <c r="B129" s="48"/>
      <c r="C129" s="45"/>
      <c r="D129" s="45"/>
      <c r="E129" s="45"/>
      <c r="F129" s="45"/>
      <c r="G129" s="45"/>
      <c r="H129" s="45"/>
      <c r="I129" s="45"/>
      <c r="J129" s="45"/>
      <c r="K129" s="45"/>
      <c r="L129" s="45"/>
      <c r="M129" s="45"/>
      <c r="N129" s="45"/>
    </row>
    <row r="130" spans="2:14" x14ac:dyDescent="0.25">
      <c r="B130" s="48"/>
      <c r="C130" s="45"/>
      <c r="D130" s="45"/>
      <c r="E130" s="45"/>
      <c r="F130" s="45"/>
      <c r="G130" s="45"/>
      <c r="H130" s="45"/>
      <c r="I130" s="45"/>
      <c r="J130" s="45"/>
      <c r="K130" s="45"/>
      <c r="L130" s="45"/>
      <c r="M130" s="45"/>
      <c r="N130" s="45"/>
    </row>
    <row r="131" spans="2:14" x14ac:dyDescent="0.25">
      <c r="B131" s="48"/>
      <c r="C131" s="45"/>
      <c r="D131" s="45"/>
      <c r="E131" s="45"/>
      <c r="F131" s="45"/>
      <c r="G131" s="45"/>
      <c r="H131" s="45"/>
      <c r="I131" s="45"/>
      <c r="J131" s="45"/>
      <c r="K131" s="45"/>
      <c r="L131" s="45"/>
      <c r="M131" s="45"/>
      <c r="N131" s="45"/>
    </row>
    <row r="132" spans="2:14" x14ac:dyDescent="0.25">
      <c r="B132" s="48"/>
      <c r="C132" s="45"/>
      <c r="D132" s="45"/>
      <c r="E132" s="45"/>
      <c r="F132" s="45"/>
      <c r="G132" s="45"/>
      <c r="H132" s="45"/>
      <c r="I132" s="45"/>
      <c r="J132" s="45"/>
      <c r="K132" s="45"/>
      <c r="L132" s="45"/>
      <c r="M132" s="45"/>
      <c r="N132" s="45"/>
    </row>
    <row r="133" spans="2:14" x14ac:dyDescent="0.25">
      <c r="B133" s="48"/>
      <c r="C133" s="45"/>
      <c r="D133" s="45"/>
      <c r="E133" s="45"/>
      <c r="F133" s="45"/>
      <c r="G133" s="45"/>
      <c r="H133" s="45"/>
      <c r="I133" s="45"/>
      <c r="J133" s="45"/>
      <c r="K133" s="45"/>
      <c r="L133" s="45"/>
      <c r="M133" s="45"/>
      <c r="N133" s="45"/>
    </row>
    <row r="134" spans="2:14" x14ac:dyDescent="0.25">
      <c r="B134" s="48"/>
      <c r="C134" s="45"/>
      <c r="D134" s="45"/>
      <c r="E134" s="45"/>
      <c r="F134" s="45"/>
      <c r="G134" s="45"/>
      <c r="H134" s="45"/>
      <c r="I134" s="45"/>
      <c r="J134" s="45"/>
      <c r="K134" s="45"/>
      <c r="L134" s="45"/>
      <c r="M134" s="45"/>
      <c r="N134" s="45"/>
    </row>
    <row r="135" spans="2:14" x14ac:dyDescent="0.25">
      <c r="B135" s="48"/>
      <c r="C135" s="45"/>
      <c r="D135" s="45"/>
      <c r="E135" s="45"/>
      <c r="F135" s="45"/>
      <c r="G135" s="45"/>
      <c r="H135" s="45"/>
      <c r="I135" s="45"/>
      <c r="J135" s="45"/>
      <c r="K135" s="45"/>
      <c r="L135" s="45"/>
      <c r="M135" s="45"/>
      <c r="N135" s="45"/>
    </row>
    <row r="136" spans="2:14" x14ac:dyDescent="0.25">
      <c r="B136" s="48"/>
      <c r="C136" s="45"/>
      <c r="D136" s="45"/>
      <c r="E136" s="45"/>
      <c r="F136" s="45"/>
      <c r="G136" s="45"/>
      <c r="H136" s="45"/>
      <c r="I136" s="45"/>
      <c r="J136" s="45"/>
      <c r="K136" s="45"/>
      <c r="L136" s="45"/>
      <c r="M136" s="45"/>
      <c r="N136" s="45"/>
    </row>
    <row r="137" spans="2:14" x14ac:dyDescent="0.25">
      <c r="B137" s="48"/>
      <c r="C137" s="45"/>
      <c r="D137" s="45"/>
      <c r="E137" s="45"/>
      <c r="F137" s="45"/>
      <c r="G137" s="45"/>
      <c r="H137" s="45"/>
      <c r="I137" s="45"/>
      <c r="J137" s="45"/>
      <c r="K137" s="45"/>
      <c r="L137" s="45"/>
      <c r="M137" s="45"/>
      <c r="N137" s="45"/>
    </row>
    <row r="138" spans="2:14" x14ac:dyDescent="0.25">
      <c r="B138" s="48"/>
      <c r="C138" s="45"/>
      <c r="D138" s="45"/>
      <c r="E138" s="45"/>
      <c r="F138" s="45"/>
      <c r="G138" s="45"/>
      <c r="H138" s="45"/>
      <c r="I138" s="45"/>
      <c r="J138" s="45"/>
      <c r="K138" s="45"/>
      <c r="L138" s="45"/>
      <c r="M138" s="45"/>
      <c r="N138" s="45"/>
    </row>
    <row r="139" spans="2:14" x14ac:dyDescent="0.25">
      <c r="B139" s="48"/>
      <c r="C139" s="45"/>
      <c r="D139" s="45"/>
      <c r="E139" s="45"/>
      <c r="F139" s="45"/>
      <c r="G139" s="45"/>
      <c r="H139" s="45"/>
      <c r="I139" s="45"/>
      <c r="J139" s="45"/>
      <c r="K139" s="45"/>
      <c r="L139" s="45"/>
      <c r="M139" s="45"/>
      <c r="N139" s="45"/>
    </row>
    <row r="140" spans="2:14" x14ac:dyDescent="0.25">
      <c r="B140" s="48"/>
      <c r="C140" s="45"/>
      <c r="D140" s="45"/>
      <c r="E140" s="45"/>
      <c r="F140" s="45"/>
      <c r="G140" s="45"/>
      <c r="H140" s="45"/>
      <c r="I140" s="45"/>
      <c r="J140" s="45"/>
      <c r="K140" s="45"/>
      <c r="L140" s="45"/>
      <c r="M140" s="45"/>
      <c r="N140" s="45"/>
    </row>
    <row r="141" spans="2:14" x14ac:dyDescent="0.25">
      <c r="B141" s="48"/>
      <c r="C141" s="45"/>
      <c r="D141" s="45"/>
      <c r="E141" s="45"/>
      <c r="F141" s="45"/>
      <c r="G141" s="45"/>
      <c r="H141" s="45"/>
      <c r="I141" s="45"/>
      <c r="J141" s="45"/>
      <c r="K141" s="45"/>
      <c r="L141" s="45"/>
      <c r="M141" s="45"/>
      <c r="N141" s="45"/>
    </row>
    <row r="142" spans="2:14" x14ac:dyDescent="0.25">
      <c r="B142" s="48"/>
      <c r="C142" s="45"/>
      <c r="D142" s="45"/>
      <c r="E142" s="45"/>
      <c r="F142" s="45"/>
      <c r="G142" s="45"/>
      <c r="H142" s="45"/>
      <c r="I142" s="45"/>
      <c r="J142" s="45"/>
      <c r="K142" s="45"/>
      <c r="L142" s="45"/>
      <c r="M142" s="45"/>
      <c r="N142" s="45"/>
    </row>
    <row r="143" spans="2:14" x14ac:dyDescent="0.25">
      <c r="B143" s="48"/>
      <c r="C143" s="45"/>
      <c r="D143" s="45"/>
      <c r="E143" s="45"/>
      <c r="F143" s="45"/>
      <c r="G143" s="45"/>
      <c r="H143" s="45"/>
      <c r="I143" s="45"/>
      <c r="J143" s="45"/>
      <c r="K143" s="45"/>
      <c r="L143" s="45"/>
      <c r="M143" s="45"/>
      <c r="N143" s="45"/>
    </row>
    <row r="144" spans="2:14" x14ac:dyDescent="0.25">
      <c r="B144" s="48"/>
      <c r="C144" s="45"/>
      <c r="D144" s="45"/>
      <c r="E144" s="45"/>
      <c r="F144" s="45"/>
      <c r="G144" s="45"/>
      <c r="H144" s="45"/>
      <c r="I144" s="45"/>
      <c r="J144" s="45"/>
      <c r="K144" s="45"/>
      <c r="L144" s="45"/>
      <c r="M144" s="45"/>
      <c r="N144" s="45"/>
    </row>
    <row r="145" spans="2:14" x14ac:dyDescent="0.25">
      <c r="B145" s="48"/>
      <c r="C145" s="45"/>
      <c r="D145" s="45"/>
      <c r="E145" s="45"/>
      <c r="F145" s="45"/>
      <c r="G145" s="45"/>
      <c r="H145" s="45"/>
      <c r="I145" s="45"/>
      <c r="J145" s="45"/>
      <c r="K145" s="45"/>
      <c r="L145" s="45"/>
      <c r="M145" s="45"/>
      <c r="N145" s="45"/>
    </row>
    <row r="146" spans="2:14" x14ac:dyDescent="0.25">
      <c r="B146" s="48"/>
      <c r="C146" s="45"/>
      <c r="D146" s="45"/>
      <c r="E146" s="45"/>
      <c r="F146" s="45"/>
      <c r="G146" s="45"/>
      <c r="H146" s="45"/>
      <c r="I146" s="45"/>
      <c r="J146" s="45"/>
      <c r="K146" s="45"/>
      <c r="L146" s="45"/>
      <c r="M146" s="45"/>
      <c r="N146" s="45"/>
    </row>
    <row r="147" spans="2:14" x14ac:dyDescent="0.25">
      <c r="B147" s="48"/>
      <c r="C147" s="45"/>
      <c r="D147" s="45"/>
      <c r="E147" s="45"/>
      <c r="F147" s="45"/>
      <c r="G147" s="45"/>
      <c r="H147" s="45"/>
      <c r="I147" s="45"/>
      <c r="J147" s="45"/>
      <c r="K147" s="45"/>
      <c r="L147" s="45"/>
      <c r="M147" s="45"/>
      <c r="N147" s="45"/>
    </row>
    <row r="148" spans="2:14" x14ac:dyDescent="0.25">
      <c r="B148" s="48"/>
      <c r="C148" s="45"/>
      <c r="D148" s="45"/>
      <c r="E148" s="45"/>
      <c r="F148" s="45"/>
      <c r="G148" s="45"/>
      <c r="H148" s="45"/>
      <c r="I148" s="45"/>
      <c r="J148" s="45"/>
      <c r="K148" s="45"/>
      <c r="L148" s="45"/>
      <c r="M148" s="45"/>
      <c r="N148" s="45"/>
    </row>
    <row r="149" spans="2:14" x14ac:dyDescent="0.25">
      <c r="B149" s="48"/>
      <c r="C149" s="45"/>
      <c r="D149" s="45"/>
      <c r="E149" s="45"/>
      <c r="F149" s="45"/>
      <c r="G149" s="45"/>
      <c r="H149" s="45"/>
      <c r="I149" s="45"/>
      <c r="J149" s="45"/>
      <c r="K149" s="45"/>
      <c r="L149" s="45"/>
      <c r="M149" s="45"/>
      <c r="N149" s="45"/>
    </row>
    <row r="150" spans="2:14" x14ac:dyDescent="0.25">
      <c r="B150" s="48"/>
      <c r="C150" s="45"/>
      <c r="D150" s="45"/>
      <c r="E150" s="45"/>
      <c r="F150" s="45"/>
      <c r="G150" s="45"/>
      <c r="H150" s="45"/>
      <c r="I150" s="45"/>
      <c r="J150" s="45"/>
      <c r="K150" s="45"/>
      <c r="L150" s="45"/>
      <c r="M150" s="45"/>
      <c r="N150" s="45"/>
    </row>
    <row r="151" spans="2:14" x14ac:dyDescent="0.25">
      <c r="B151" s="48"/>
      <c r="C151" s="45"/>
      <c r="D151" s="45"/>
      <c r="E151" s="45"/>
      <c r="F151" s="45"/>
      <c r="G151" s="45"/>
      <c r="H151" s="45"/>
      <c r="I151" s="45"/>
      <c r="J151" s="45"/>
      <c r="K151" s="45"/>
      <c r="L151" s="45"/>
      <c r="M151" s="45"/>
      <c r="N151" s="45"/>
    </row>
    <row r="152" spans="2:14" x14ac:dyDescent="0.25">
      <c r="B152" s="48"/>
      <c r="C152" s="45"/>
      <c r="D152" s="45"/>
      <c r="E152" s="45"/>
      <c r="F152" s="45"/>
      <c r="G152" s="45"/>
      <c r="H152" s="45"/>
      <c r="I152" s="45"/>
      <c r="J152" s="45"/>
      <c r="K152" s="45"/>
      <c r="L152" s="45"/>
      <c r="M152" s="45"/>
      <c r="N152" s="45"/>
    </row>
    <row r="153" spans="2:14" x14ac:dyDescent="0.25">
      <c r="B153" s="48"/>
      <c r="C153" s="45"/>
      <c r="D153" s="45"/>
      <c r="E153" s="45"/>
      <c r="F153" s="45"/>
      <c r="G153" s="45"/>
      <c r="H153" s="45"/>
      <c r="I153" s="45"/>
      <c r="J153" s="45"/>
      <c r="K153" s="45"/>
      <c r="L153" s="45"/>
      <c r="M153" s="45"/>
      <c r="N153" s="45"/>
    </row>
    <row r="154" spans="2:14" x14ac:dyDescent="0.25">
      <c r="B154" s="48"/>
      <c r="C154" s="45"/>
      <c r="D154" s="45"/>
      <c r="E154" s="45"/>
      <c r="F154" s="45"/>
      <c r="G154" s="45"/>
      <c r="H154" s="45"/>
      <c r="I154" s="45"/>
      <c r="J154" s="45"/>
      <c r="K154" s="45"/>
      <c r="L154" s="45"/>
      <c r="M154" s="45"/>
      <c r="N154" s="45"/>
    </row>
    <row r="155" spans="2:14" x14ac:dyDescent="0.25">
      <c r="B155" s="48"/>
      <c r="C155" s="45"/>
      <c r="D155" s="45"/>
      <c r="E155" s="45"/>
      <c r="F155" s="45"/>
      <c r="G155" s="45"/>
      <c r="H155" s="45"/>
      <c r="I155" s="45"/>
      <c r="J155" s="45"/>
      <c r="K155" s="45"/>
      <c r="L155" s="45"/>
      <c r="M155" s="45"/>
      <c r="N155" s="45"/>
    </row>
    <row r="156" spans="2:14" x14ac:dyDescent="0.25">
      <c r="B156" s="48"/>
      <c r="C156" s="45"/>
      <c r="D156" s="45"/>
      <c r="E156" s="45"/>
      <c r="F156" s="45"/>
      <c r="G156" s="45"/>
      <c r="H156" s="45"/>
      <c r="I156" s="45"/>
      <c r="J156" s="45"/>
      <c r="K156" s="45"/>
      <c r="L156" s="45"/>
      <c r="M156" s="45"/>
      <c r="N156" s="45"/>
    </row>
    <row r="157" spans="2:14" x14ac:dyDescent="0.25">
      <c r="B157" s="48"/>
      <c r="C157" s="45"/>
      <c r="D157" s="45"/>
      <c r="E157" s="45"/>
      <c r="F157" s="45"/>
      <c r="G157" s="45"/>
      <c r="H157" s="45"/>
      <c r="I157" s="45"/>
      <c r="J157" s="45"/>
      <c r="K157" s="45"/>
      <c r="L157" s="45"/>
      <c r="M157" s="45"/>
      <c r="N157" s="45"/>
    </row>
    <row r="158" spans="2:14" x14ac:dyDescent="0.25">
      <c r="B158" s="48"/>
      <c r="C158" s="45"/>
      <c r="D158" s="45"/>
      <c r="E158" s="45"/>
      <c r="F158" s="45"/>
      <c r="G158" s="45"/>
      <c r="H158" s="45"/>
      <c r="I158" s="45"/>
      <c r="J158" s="45"/>
      <c r="K158" s="45"/>
      <c r="L158" s="45"/>
      <c r="M158" s="45"/>
      <c r="N158" s="45"/>
    </row>
    <row r="159" spans="2:14" x14ac:dyDescent="0.25">
      <c r="B159" s="48"/>
      <c r="C159" s="45"/>
      <c r="D159" s="45"/>
      <c r="E159" s="45"/>
      <c r="F159" s="45"/>
      <c r="G159" s="45"/>
      <c r="H159" s="45"/>
      <c r="I159" s="45"/>
      <c r="J159" s="45"/>
      <c r="K159" s="45"/>
      <c r="L159" s="45"/>
      <c r="M159" s="45"/>
      <c r="N159" s="45"/>
    </row>
    <row r="160" spans="2:14" x14ac:dyDescent="0.25">
      <c r="B160" s="48"/>
      <c r="C160" s="45"/>
      <c r="D160" s="45"/>
      <c r="E160" s="45"/>
      <c r="F160" s="45"/>
      <c r="G160" s="45"/>
      <c r="H160" s="45"/>
      <c r="I160" s="45"/>
      <c r="J160" s="45"/>
      <c r="K160" s="45"/>
      <c r="L160" s="45"/>
      <c r="M160" s="45"/>
      <c r="N160" s="45"/>
    </row>
    <row r="161" spans="2:14" x14ac:dyDescent="0.25">
      <c r="B161" s="48"/>
      <c r="C161" s="45"/>
      <c r="D161" s="45"/>
      <c r="E161" s="45"/>
      <c r="F161" s="45"/>
      <c r="G161" s="45"/>
      <c r="H161" s="45"/>
      <c r="I161" s="45"/>
      <c r="J161" s="45"/>
      <c r="K161" s="45"/>
      <c r="L161" s="45"/>
      <c r="M161" s="45"/>
      <c r="N161" s="45"/>
    </row>
    <row r="162" spans="2:14" x14ac:dyDescent="0.25">
      <c r="B162" s="48"/>
      <c r="C162" s="45"/>
      <c r="D162" s="45"/>
      <c r="E162" s="45"/>
      <c r="F162" s="45"/>
      <c r="G162" s="45"/>
      <c r="H162" s="45"/>
      <c r="I162" s="45"/>
      <c r="J162" s="45"/>
      <c r="K162" s="45"/>
      <c r="L162" s="45"/>
      <c r="M162" s="45"/>
      <c r="N162" s="45"/>
    </row>
    <row r="163" spans="2:14" x14ac:dyDescent="0.25">
      <c r="B163" s="48"/>
      <c r="C163" s="45"/>
      <c r="D163" s="45"/>
      <c r="E163" s="45"/>
      <c r="F163" s="45"/>
      <c r="G163" s="45"/>
      <c r="H163" s="45"/>
      <c r="I163" s="45"/>
      <c r="J163" s="45"/>
      <c r="K163" s="45"/>
      <c r="L163" s="45"/>
      <c r="M163" s="45"/>
      <c r="N163" s="45"/>
    </row>
    <row r="164" spans="2:14" x14ac:dyDescent="0.25">
      <c r="B164" s="48"/>
      <c r="C164" s="45"/>
      <c r="D164" s="45"/>
      <c r="E164" s="45"/>
      <c r="F164" s="45"/>
      <c r="G164" s="45"/>
      <c r="H164" s="45"/>
      <c r="I164" s="45"/>
      <c r="J164" s="45"/>
      <c r="K164" s="45"/>
      <c r="L164" s="45"/>
      <c r="M164" s="45"/>
      <c r="N164" s="45"/>
    </row>
    <row r="165" spans="2:14" x14ac:dyDescent="0.25">
      <c r="B165" s="48"/>
      <c r="C165" s="45"/>
      <c r="D165" s="45"/>
      <c r="E165" s="45"/>
      <c r="F165" s="45"/>
      <c r="G165" s="45"/>
      <c r="H165" s="45"/>
      <c r="I165" s="45"/>
      <c r="J165" s="45"/>
      <c r="K165" s="45"/>
      <c r="L165" s="45"/>
      <c r="M165" s="45"/>
      <c r="N165" s="45"/>
    </row>
    <row r="166" spans="2:14" x14ac:dyDescent="0.25">
      <c r="B166" s="48"/>
      <c r="C166" s="45"/>
      <c r="D166" s="45"/>
      <c r="E166" s="45"/>
      <c r="F166" s="45"/>
      <c r="G166" s="45"/>
      <c r="H166" s="45"/>
      <c r="I166" s="45"/>
      <c r="J166" s="45"/>
      <c r="K166" s="45"/>
      <c r="L166" s="45"/>
      <c r="M166" s="45"/>
      <c r="N166" s="45"/>
    </row>
    <row r="167" spans="2:14" x14ac:dyDescent="0.25">
      <c r="B167" s="48"/>
      <c r="C167" s="45"/>
      <c r="D167" s="45"/>
      <c r="E167" s="45"/>
      <c r="F167" s="45"/>
      <c r="G167" s="45"/>
      <c r="H167" s="45"/>
      <c r="I167" s="45"/>
      <c r="J167" s="45"/>
      <c r="K167" s="45"/>
      <c r="L167" s="45"/>
      <c r="M167" s="45"/>
      <c r="N167" s="45"/>
    </row>
    <row r="168" spans="2:14" x14ac:dyDescent="0.25">
      <c r="B168" s="48"/>
      <c r="C168" s="45"/>
      <c r="D168" s="45"/>
      <c r="E168" s="45"/>
      <c r="F168" s="45"/>
      <c r="G168" s="45"/>
      <c r="H168" s="45"/>
      <c r="I168" s="45"/>
      <c r="J168" s="45"/>
      <c r="K168" s="45"/>
      <c r="L168" s="45"/>
      <c r="M168" s="45"/>
      <c r="N168" s="45"/>
    </row>
    <row r="169" spans="2:14" x14ac:dyDescent="0.25">
      <c r="B169" s="48"/>
      <c r="C169" s="45"/>
      <c r="D169" s="45"/>
      <c r="E169" s="45"/>
      <c r="F169" s="45"/>
      <c r="G169" s="45"/>
      <c r="H169" s="45"/>
      <c r="I169" s="45"/>
      <c r="J169" s="45"/>
      <c r="K169" s="45"/>
      <c r="L169" s="45"/>
      <c r="M169" s="45"/>
      <c r="N169" s="45"/>
    </row>
    <row r="170" spans="2:14" x14ac:dyDescent="0.25">
      <c r="B170" s="48"/>
      <c r="C170" s="45"/>
      <c r="D170" s="45"/>
      <c r="E170" s="45"/>
      <c r="F170" s="45"/>
      <c r="G170" s="45"/>
      <c r="H170" s="45"/>
      <c r="I170" s="45"/>
      <c r="J170" s="45"/>
      <c r="K170" s="45"/>
      <c r="L170" s="45"/>
      <c r="M170" s="45"/>
      <c r="N170" s="45"/>
    </row>
    <row r="171" spans="2:14" x14ac:dyDescent="0.25">
      <c r="B171" s="48"/>
      <c r="C171" s="45"/>
      <c r="D171" s="45"/>
      <c r="E171" s="45"/>
      <c r="F171" s="45"/>
      <c r="G171" s="45"/>
      <c r="H171" s="45"/>
      <c r="I171" s="45"/>
      <c r="J171" s="45"/>
      <c r="K171" s="45"/>
      <c r="L171" s="45"/>
      <c r="M171" s="45"/>
      <c r="N171" s="45"/>
    </row>
    <row r="172" spans="2:14" x14ac:dyDescent="0.25">
      <c r="B172" s="48"/>
      <c r="C172" s="45"/>
      <c r="D172" s="45"/>
      <c r="E172" s="45"/>
      <c r="F172" s="45"/>
      <c r="G172" s="45"/>
      <c r="H172" s="45"/>
      <c r="I172" s="45"/>
      <c r="J172" s="45"/>
      <c r="K172" s="45"/>
      <c r="L172" s="45"/>
      <c r="M172" s="45"/>
      <c r="N172" s="45"/>
    </row>
    <row r="173" spans="2:14" x14ac:dyDescent="0.25">
      <c r="B173" s="48"/>
      <c r="C173" s="45"/>
      <c r="D173" s="45"/>
      <c r="E173" s="45"/>
      <c r="F173" s="45"/>
      <c r="G173" s="45"/>
      <c r="H173" s="45"/>
      <c r="I173" s="45"/>
      <c r="J173" s="45"/>
      <c r="K173" s="45"/>
      <c r="L173" s="45"/>
      <c r="M173" s="45"/>
      <c r="N173" s="45"/>
    </row>
    <row r="174" spans="2:14" x14ac:dyDescent="0.25">
      <c r="B174" s="48"/>
      <c r="C174" s="45"/>
      <c r="D174" s="45"/>
      <c r="E174" s="45"/>
      <c r="F174" s="45"/>
      <c r="G174" s="45"/>
      <c r="H174" s="45"/>
      <c r="I174" s="45"/>
      <c r="J174" s="45"/>
      <c r="K174" s="45"/>
      <c r="L174" s="45"/>
      <c r="M174" s="45"/>
      <c r="N174" s="45"/>
    </row>
    <row r="175" spans="2:14" x14ac:dyDescent="0.25">
      <c r="B175" s="48"/>
      <c r="C175" s="45"/>
      <c r="D175" s="45"/>
      <c r="E175" s="45"/>
      <c r="F175" s="45"/>
      <c r="G175" s="45"/>
      <c r="H175" s="45"/>
      <c r="I175" s="45"/>
      <c r="J175" s="45"/>
      <c r="K175" s="45"/>
      <c r="L175" s="45"/>
      <c r="M175" s="45"/>
      <c r="N175" s="45"/>
    </row>
    <row r="176" spans="2:14" x14ac:dyDescent="0.25">
      <c r="B176" s="48"/>
      <c r="C176" s="45"/>
      <c r="D176" s="45"/>
      <c r="E176" s="45"/>
      <c r="F176" s="45"/>
      <c r="G176" s="45"/>
      <c r="H176" s="45"/>
      <c r="I176" s="45"/>
      <c r="J176" s="45"/>
      <c r="K176" s="45"/>
      <c r="L176" s="45"/>
      <c r="M176" s="45"/>
      <c r="N176" s="45"/>
    </row>
    <row r="177" spans="2:14" x14ac:dyDescent="0.25">
      <c r="B177" s="48"/>
      <c r="C177" s="45"/>
      <c r="D177" s="45"/>
      <c r="E177" s="45"/>
      <c r="F177" s="45"/>
      <c r="G177" s="45"/>
      <c r="H177" s="45"/>
      <c r="I177" s="45"/>
      <c r="J177" s="45"/>
      <c r="K177" s="45"/>
      <c r="L177" s="45"/>
      <c r="M177" s="45"/>
      <c r="N177" s="45"/>
    </row>
    <row r="178" spans="2:14" x14ac:dyDescent="0.25">
      <c r="B178" s="48"/>
      <c r="C178" s="45"/>
      <c r="D178" s="45"/>
      <c r="E178" s="45"/>
      <c r="F178" s="45"/>
      <c r="G178" s="45"/>
      <c r="H178" s="45"/>
      <c r="I178" s="45"/>
      <c r="J178" s="45"/>
      <c r="K178" s="45"/>
      <c r="L178" s="45"/>
      <c r="M178" s="45"/>
      <c r="N178" s="45"/>
    </row>
    <row r="179" spans="2:14" x14ac:dyDescent="0.25">
      <c r="B179" s="48"/>
      <c r="C179" s="45"/>
      <c r="D179" s="45"/>
      <c r="E179" s="45"/>
      <c r="F179" s="45"/>
      <c r="G179" s="45"/>
      <c r="H179" s="45"/>
      <c r="I179" s="45"/>
      <c r="J179" s="45"/>
      <c r="K179" s="45"/>
      <c r="L179" s="45"/>
      <c r="M179" s="45"/>
      <c r="N179" s="45"/>
    </row>
    <row r="180" spans="2:14" x14ac:dyDescent="0.25">
      <c r="B180" s="48"/>
      <c r="C180" s="45"/>
      <c r="D180" s="45"/>
      <c r="E180" s="45"/>
      <c r="F180" s="45"/>
      <c r="G180" s="45"/>
      <c r="H180" s="45"/>
      <c r="I180" s="45"/>
      <c r="J180" s="45"/>
      <c r="K180" s="45"/>
      <c r="L180" s="45"/>
      <c r="M180" s="45"/>
      <c r="N180" s="45"/>
    </row>
    <row r="181" spans="2:14" x14ac:dyDescent="0.25">
      <c r="B181" s="48"/>
      <c r="C181" s="45"/>
      <c r="D181" s="45"/>
      <c r="E181" s="45"/>
      <c r="F181" s="45"/>
      <c r="G181" s="45"/>
      <c r="H181" s="45"/>
      <c r="I181" s="45"/>
      <c r="J181" s="45"/>
      <c r="K181" s="45"/>
      <c r="L181" s="45"/>
      <c r="M181" s="45"/>
      <c r="N181" s="45"/>
    </row>
    <row r="182" spans="2:14" x14ac:dyDescent="0.25">
      <c r="B182" s="48"/>
      <c r="C182" s="45"/>
      <c r="D182" s="45"/>
      <c r="E182" s="45"/>
      <c r="F182" s="45"/>
      <c r="G182" s="45"/>
      <c r="H182" s="45"/>
      <c r="I182" s="45"/>
      <c r="J182" s="45"/>
      <c r="K182" s="45"/>
      <c r="L182" s="45"/>
      <c r="M182" s="45"/>
      <c r="N182" s="45"/>
    </row>
    <row r="183" spans="2:14" x14ac:dyDescent="0.25">
      <c r="B183" s="48"/>
      <c r="C183" s="45"/>
      <c r="D183" s="45"/>
      <c r="E183" s="45"/>
      <c r="F183" s="45"/>
      <c r="G183" s="45"/>
      <c r="H183" s="45"/>
      <c r="I183" s="45"/>
      <c r="J183" s="45"/>
      <c r="K183" s="45"/>
      <c r="L183" s="45"/>
      <c r="M183" s="45"/>
      <c r="N183" s="45"/>
    </row>
    <row r="184" spans="2:14" x14ac:dyDescent="0.25">
      <c r="B184" s="48"/>
      <c r="C184" s="45"/>
      <c r="D184" s="45"/>
      <c r="E184" s="45"/>
      <c r="F184" s="45"/>
      <c r="G184" s="45"/>
      <c r="H184" s="45"/>
      <c r="I184" s="45"/>
      <c r="J184" s="45"/>
      <c r="K184" s="45"/>
      <c r="L184" s="45"/>
      <c r="M184" s="45"/>
      <c r="N184" s="45"/>
    </row>
    <row r="185" spans="2:14" x14ac:dyDescent="0.25">
      <c r="B185" s="48"/>
      <c r="C185" s="45"/>
      <c r="D185" s="45"/>
      <c r="E185" s="45"/>
      <c r="F185" s="45"/>
      <c r="G185" s="45"/>
      <c r="H185" s="45"/>
      <c r="I185" s="45"/>
      <c r="J185" s="45"/>
      <c r="K185" s="45"/>
      <c r="L185" s="45"/>
      <c r="M185" s="45"/>
      <c r="N185" s="45"/>
    </row>
    <row r="186" spans="2:14" x14ac:dyDescent="0.25">
      <c r="B186" s="48"/>
      <c r="C186" s="45"/>
      <c r="D186" s="45"/>
      <c r="E186" s="45"/>
      <c r="F186" s="45"/>
      <c r="G186" s="45"/>
      <c r="H186" s="45"/>
      <c r="I186" s="45"/>
      <c r="J186" s="45"/>
      <c r="K186" s="45"/>
      <c r="L186" s="45"/>
      <c r="M186" s="45"/>
      <c r="N186" s="45"/>
    </row>
    <row r="187" spans="2:14" x14ac:dyDescent="0.25">
      <c r="B187" s="48"/>
      <c r="C187" s="45"/>
      <c r="D187" s="45"/>
      <c r="E187" s="45"/>
      <c r="F187" s="45"/>
      <c r="G187" s="45"/>
      <c r="H187" s="45"/>
      <c r="I187" s="45"/>
      <c r="J187" s="45"/>
      <c r="K187" s="45"/>
      <c r="L187" s="45"/>
      <c r="M187" s="45"/>
      <c r="N187" s="45"/>
    </row>
    <row r="188" spans="2:14" x14ac:dyDescent="0.25">
      <c r="B188" s="48"/>
      <c r="C188" s="45"/>
      <c r="D188" s="45"/>
      <c r="E188" s="45"/>
      <c r="F188" s="45"/>
      <c r="G188" s="45"/>
      <c r="H188" s="45"/>
      <c r="I188" s="45"/>
      <c r="J188" s="45"/>
      <c r="K188" s="45"/>
      <c r="L188" s="45"/>
      <c r="M188" s="45"/>
      <c r="N188" s="45"/>
    </row>
  </sheetData>
  <mergeCells count="64">
    <mergeCell ref="B97:N97"/>
    <mergeCell ref="C98:G98"/>
    <mergeCell ref="I98:M98"/>
    <mergeCell ref="I88:M88"/>
    <mergeCell ref="C13:G13"/>
    <mergeCell ref="H13:L13"/>
    <mergeCell ref="B75:N75"/>
    <mergeCell ref="B88:B90"/>
    <mergeCell ref="B98:B100"/>
    <mergeCell ref="C76:G76"/>
    <mergeCell ref="I76:M76"/>
    <mergeCell ref="B76:B78"/>
    <mergeCell ref="G47:H47"/>
    <mergeCell ref="I47:J47"/>
    <mergeCell ref="K47:L47"/>
    <mergeCell ref="M47:N47"/>
    <mergeCell ref="C88:G88"/>
    <mergeCell ref="K7:L7"/>
    <mergeCell ref="M7:N7"/>
    <mergeCell ref="I7:J7"/>
    <mergeCell ref="B44:N44"/>
    <mergeCell ref="B45:B47"/>
    <mergeCell ref="C46:D46"/>
    <mergeCell ref="E46:F46"/>
    <mergeCell ref="G46:H46"/>
    <mergeCell ref="I46:J46"/>
    <mergeCell ref="K46:L46"/>
    <mergeCell ref="M46:N46"/>
    <mergeCell ref="C47:D47"/>
    <mergeCell ref="E47:F47"/>
    <mergeCell ref="I26:J26"/>
    <mergeCell ref="I27:J27"/>
    <mergeCell ref="O79:O81"/>
    <mergeCell ref="B87:N87"/>
    <mergeCell ref="M13:Q13"/>
    <mergeCell ref="B4:N4"/>
    <mergeCell ref="B24:N24"/>
    <mergeCell ref="B25:B27"/>
    <mergeCell ref="B5:B7"/>
    <mergeCell ref="C6:D6"/>
    <mergeCell ref="E6:F6"/>
    <mergeCell ref="G6:H6"/>
    <mergeCell ref="I6:J6"/>
    <mergeCell ref="K6:L6"/>
    <mergeCell ref="M6:N6"/>
    <mergeCell ref="C7:D7"/>
    <mergeCell ref="E7:F7"/>
    <mergeCell ref="G7:H7"/>
    <mergeCell ref="K26:L26"/>
    <mergeCell ref="K27:L27"/>
    <mergeCell ref="M26:N26"/>
    <mergeCell ref="M27:N27"/>
    <mergeCell ref="C26:D26"/>
    <mergeCell ref="C27:D27"/>
    <mergeCell ref="E26:F26"/>
    <mergeCell ref="E27:F27"/>
    <mergeCell ref="G26:H26"/>
    <mergeCell ref="G27:H27"/>
    <mergeCell ref="C53:G53"/>
    <mergeCell ref="H53:L53"/>
    <mergeCell ref="M53:Q53"/>
    <mergeCell ref="C33:G33"/>
    <mergeCell ref="H33:L33"/>
    <mergeCell ref="M33:Q33"/>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2:L77"/>
  <sheetViews>
    <sheetView showGridLines="0" topLeftCell="A55" zoomScale="85" zoomScaleNormal="85" workbookViewId="0">
      <selection activeCell="C67" sqref="C67"/>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6" width="12.57031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3.42578125" style="3" customWidth="1"/>
    <col min="13" max="16384" width="9" style="3"/>
  </cols>
  <sheetData>
    <row r="2" spans="1:12" ht="38.25" customHeight="1" x14ac:dyDescent="0.25">
      <c r="A2" s="11" t="s">
        <v>332</v>
      </c>
      <c r="B2" s="30"/>
      <c r="C2" s="69"/>
      <c r="D2" s="70"/>
      <c r="E2" s="30"/>
      <c r="F2" s="116" t="s">
        <v>91</v>
      </c>
      <c r="G2" s="30"/>
      <c r="H2" s="30"/>
      <c r="I2" s="30"/>
      <c r="J2" s="30"/>
      <c r="K2" s="30"/>
    </row>
    <row r="3" spans="1:12" ht="15" customHeight="1" x14ac:dyDescent="0.25">
      <c r="A3" s="22"/>
      <c r="B3" s="30"/>
      <c r="C3" s="30"/>
      <c r="D3" s="30"/>
      <c r="E3" s="30"/>
      <c r="F3" s="30"/>
      <c r="G3" s="30"/>
      <c r="H3" s="30"/>
      <c r="I3" s="30"/>
      <c r="J3" s="30"/>
      <c r="K3" s="30"/>
    </row>
    <row r="4" spans="1:12" x14ac:dyDescent="0.25">
      <c r="A4" s="10" t="s">
        <v>19</v>
      </c>
      <c r="B4" s="26">
        <v>0</v>
      </c>
      <c r="C4" s="26">
        <v>1</v>
      </c>
      <c r="D4" s="26">
        <v>2</v>
      </c>
      <c r="E4" s="26">
        <v>3</v>
      </c>
      <c r="F4" s="26">
        <v>4</v>
      </c>
      <c r="G4" s="26">
        <v>5</v>
      </c>
      <c r="H4" s="26">
        <v>6</v>
      </c>
      <c r="I4" s="26">
        <v>7</v>
      </c>
      <c r="J4" s="26">
        <v>8</v>
      </c>
      <c r="K4" s="26">
        <v>9</v>
      </c>
    </row>
    <row r="5" spans="1:12" x14ac:dyDescent="0.25">
      <c r="A5" s="23" t="s">
        <v>3</v>
      </c>
    </row>
    <row r="6" spans="1:12" x14ac:dyDescent="0.25">
      <c r="A6" s="10" t="s">
        <v>223</v>
      </c>
      <c r="B6" s="31">
        <f>Assumption_Vegatables!D11*Assumption_Vegatables!D155*Assumption_Vegatables!D156*Assumption_Vegatables!D158*(1+Assumption_Vegatables!D157)^Assumption_Vegatables!D154</f>
        <v>0</v>
      </c>
      <c r="C6" s="31">
        <f>Assumption_Vegatables!E11*Assumption_Vegatables!E155*Assumption_Vegatables!E156*Assumption_Vegatables!E158*(1+Assumption_Vegatables!E157)^Assumption_Vegatables!E154</f>
        <v>103020.00000000001</v>
      </c>
      <c r="D6" s="31">
        <f>Assumption_Vegatables!F11*Assumption_Vegatables!F155*Assumption_Vegatables!F156*Assumption_Vegatables!F159*(1+Assumption_Vegatables!F157)^Assumption_Vegatables!F154</f>
        <v>408040</v>
      </c>
      <c r="E6" s="136">
        <f>Assumption_Vegatables!G11*Assumption_Vegatables!G155*Assumption_Vegatables!G156*Assumption_Vegatables!G159*(1+Assumption_Vegatables!G157)^Assumption_Vegatables!G154*(1+Assumption_Vegatables!$S140)</f>
        <v>641359.15280937497</v>
      </c>
      <c r="F6" s="31">
        <f>Assumption_Vegatables!H11*Assumption_Vegatables!H155*Assumption_Vegatables!H156*Assumption_Vegatables!H159*(1+Assumption_Vegatables!H157)^Assumption_Vegatables!H154</f>
        <v>936543.60900000005</v>
      </c>
      <c r="G6" s="31">
        <f>Assumption_Vegatables!I11*Assumption_Vegatables!I155*Assumption_Vegatables!I156*Assumption_Vegatables!I159*(1+Assumption_Vegatables!I157)^Assumption_Vegatables!I154</f>
        <v>893358.54258499993</v>
      </c>
      <c r="H6" s="136">
        <f>Assumption_Vegatables!J11*Assumption_Vegatables!J155*Assumption_Vegatables!J156*Assumption_Vegatables!J159*(1+Assumption_Vegatables!J157)^Assumption_Vegatables!J154*(1+Assumption_Vegatables!$S140)</f>
        <v>609962.7475372171</v>
      </c>
      <c r="I6" s="31">
        <f>Assumption_Vegatables!K11*Assumption_Vegatables!K155*Assumption_Vegatables!K156*Assumption_Vegatables!K159*(1+Assumption_Vegatables!K157)^Assumption_Vegatables!K154</f>
        <v>375247.37323745346</v>
      </c>
      <c r="J6" s="31">
        <f>Assumption_Vegatables!L11*Assumption_Vegatables!L155*Assumption_Vegatables!L156*Assumption_Vegatables!L159*(1+Assumption_Vegatables!L157)^Assumption_Vegatables!L154</f>
        <v>108285.67056280802</v>
      </c>
      <c r="K6" s="136">
        <f>Assumption_Vegatables!M11*Assumption_Vegatables!M155*Assumption_Vegatables!M156*Assumption_Vegatables!M159*(1+Assumption_Vegatables!M157)^Assumption_Vegatables!M154*(1+Assumption_Vegatables!$S140)</f>
        <v>104740.87145839041</v>
      </c>
    </row>
    <row r="7" spans="1:12" s="12" customFormat="1" x14ac:dyDescent="0.25">
      <c r="A7" s="23" t="s">
        <v>53</v>
      </c>
      <c r="B7" s="38">
        <f>B6</f>
        <v>0</v>
      </c>
      <c r="C7" s="38">
        <f t="shared" ref="C7:K7" si="0">C6</f>
        <v>103020.00000000001</v>
      </c>
      <c r="D7" s="38">
        <f t="shared" si="0"/>
        <v>408040</v>
      </c>
      <c r="E7" s="38">
        <f t="shared" si="0"/>
        <v>641359.15280937497</v>
      </c>
      <c r="F7" s="38">
        <f t="shared" si="0"/>
        <v>936543.60900000005</v>
      </c>
      <c r="G7" s="38">
        <f t="shared" si="0"/>
        <v>893358.54258499993</v>
      </c>
      <c r="H7" s="38">
        <f t="shared" si="0"/>
        <v>609962.7475372171</v>
      </c>
      <c r="I7" s="38">
        <f t="shared" si="0"/>
        <v>375247.37323745346</v>
      </c>
      <c r="J7" s="38">
        <f t="shared" si="0"/>
        <v>108285.67056280802</v>
      </c>
      <c r="K7" s="38">
        <f t="shared" si="0"/>
        <v>104740.87145839041</v>
      </c>
    </row>
    <row r="8" spans="1:12" x14ac:dyDescent="0.25">
      <c r="A8" s="23"/>
      <c r="B8" s="41"/>
      <c r="C8" s="41"/>
      <c r="D8" s="41"/>
      <c r="E8" s="41"/>
      <c r="F8" s="41"/>
      <c r="G8" s="41"/>
      <c r="H8" s="41"/>
      <c r="I8" s="41"/>
      <c r="J8" s="41"/>
      <c r="K8" s="41"/>
    </row>
    <row r="9" spans="1:12" x14ac:dyDescent="0.25">
      <c r="A9" s="23" t="s">
        <v>20</v>
      </c>
    </row>
    <row r="10" spans="1:12" ht="30" x14ac:dyDescent="0.25">
      <c r="A10" s="9" t="str">
        <f>Assumption_Vegatables!B162</f>
        <v>Land Preparation for cultivation (fenching.etc)</v>
      </c>
      <c r="B10" s="33">
        <f>Assumption_Vegatables!D162*Assumption_Vegatables!D11</f>
        <v>0</v>
      </c>
      <c r="C10" s="33">
        <f>Assumption_Vegatables!E162*Assumption_Vegatables!E11</f>
        <v>69000</v>
      </c>
      <c r="D10" s="33">
        <f>Assumption_Vegatables!F162*Assumption_Vegatables!F11</f>
        <v>184000</v>
      </c>
      <c r="E10" s="33">
        <f>Assumption_Vegatables!G162*Assumption_Vegatables!G11</f>
        <v>299000</v>
      </c>
      <c r="F10" s="33">
        <f>Assumption_Vegatables!H162*Assumption_Vegatables!H11</f>
        <v>414000</v>
      </c>
      <c r="G10" s="33">
        <f>Assumption_Vegatables!I162*Assumption_Vegatables!I11</f>
        <v>391000</v>
      </c>
      <c r="H10" s="33">
        <f>Assumption_Vegatables!J162*Assumption_Vegatables!J11</f>
        <v>276000</v>
      </c>
      <c r="I10" s="33">
        <f>Assumption_Vegatables!K162*Assumption_Vegatables!K11</f>
        <v>161000</v>
      </c>
      <c r="J10" s="33">
        <f>Assumption_Vegatables!L162*Assumption_Vegatables!L11</f>
        <v>46000</v>
      </c>
      <c r="K10" s="33">
        <f>Assumption_Vegatables!M162*Assumption_Vegatables!M11</f>
        <v>46000</v>
      </c>
    </row>
    <row r="11" spans="1:12" x14ac:dyDescent="0.25">
      <c r="A11" s="109" t="str">
        <f>Assumption_Vegatables!B163</f>
        <v>Organic Fartilizer/Seeds/Saplings etc.</v>
      </c>
      <c r="B11" s="33">
        <f>Assumption_Vegatables!D11*Assumption_Vegatables!D163</f>
        <v>0</v>
      </c>
      <c r="C11" s="33">
        <f>Assumption_Vegatables!E11*Assumption_Vegatables!E163</f>
        <v>82993.235294117636</v>
      </c>
      <c r="D11" s="33">
        <f>Assumption_Vegatables!F11*Assumption_Vegatables!F163</f>
        <v>221315.29411764702</v>
      </c>
      <c r="E11" s="189">
        <f>Assumption_Vegatables!G11*Assumption_Vegatables!G163*(1+Assumption_Vegatables!$S148)</f>
        <v>375083.77724999998</v>
      </c>
      <c r="F11" s="33">
        <f>Assumption_Vegatables!H11*Assumption_Vegatables!H163</f>
        <v>497959.41176470579</v>
      </c>
      <c r="G11" s="33">
        <f>Assumption_Vegatables!I11*Assumption_Vegatables!I163</f>
        <v>470294.99999999994</v>
      </c>
      <c r="H11" s="189">
        <f>Assumption_Vegatables!J11*Assumption_Vegatables!J163*(1+Assumption_Vegatables!$S148)</f>
        <v>346231.17899999995</v>
      </c>
      <c r="I11" s="33">
        <f>Assumption_Vegatables!K11*Assumption_Vegatables!K163</f>
        <v>193650.88235294115</v>
      </c>
      <c r="J11" s="33">
        <f>Assumption_Vegatables!L11*Assumption_Vegatables!L163</f>
        <v>55328.823529411755</v>
      </c>
      <c r="K11" s="189">
        <f>Assumption_Vegatables!M11*Assumption_Vegatables!M163*(1+Assumption_Vegatables!$S148)</f>
        <v>57705.196499999991</v>
      </c>
    </row>
    <row r="12" spans="1:12" s="50" customFormat="1" x14ac:dyDescent="0.25">
      <c r="A12" s="52" t="s">
        <v>131</v>
      </c>
      <c r="B12" s="49">
        <f>Assumption_Vegatables!D40</f>
        <v>0</v>
      </c>
      <c r="C12" s="49">
        <f>Assumption_Vegatables!E40</f>
        <v>186000</v>
      </c>
      <c r="D12" s="49">
        <f>Assumption_Vegatables!F40</f>
        <v>310000</v>
      </c>
      <c r="E12" s="49">
        <f>Assumption_Vegatables!G40</f>
        <v>310000</v>
      </c>
      <c r="F12" s="49">
        <f>Assumption_Vegatables!H40</f>
        <v>310000</v>
      </c>
      <c r="G12" s="49">
        <f>Assumption_Vegatables!I40</f>
        <v>124000</v>
      </c>
      <c r="H12" s="49">
        <f>Assumption_Vegatables!J40</f>
        <v>0</v>
      </c>
      <c r="I12" s="49">
        <f>Assumption_Vegatables!K40</f>
        <v>0</v>
      </c>
      <c r="J12" s="49">
        <f>Assumption_Vegatables!L40</f>
        <v>0</v>
      </c>
      <c r="K12" s="49">
        <f>Assumption_Vegatables!M40</f>
        <v>0</v>
      </c>
    </row>
    <row r="13" spans="1:12" x14ac:dyDescent="0.25">
      <c r="A13" s="117" t="s">
        <v>54</v>
      </c>
      <c r="B13" s="37">
        <f t="shared" ref="B13:K13" si="1">SUM(B10:B12)</f>
        <v>0</v>
      </c>
      <c r="C13" s="37">
        <f t="shared" si="1"/>
        <v>337993.23529411765</v>
      </c>
      <c r="D13" s="37">
        <f t="shared" si="1"/>
        <v>715315.29411764699</v>
      </c>
      <c r="E13" s="37">
        <f t="shared" si="1"/>
        <v>984083.77725000004</v>
      </c>
      <c r="F13" s="37">
        <f t="shared" si="1"/>
        <v>1221959.4117647058</v>
      </c>
      <c r="G13" s="37">
        <f t="shared" si="1"/>
        <v>985295</v>
      </c>
      <c r="H13" s="37">
        <f t="shared" si="1"/>
        <v>622231.179</v>
      </c>
      <c r="I13" s="37">
        <f t="shared" si="1"/>
        <v>354650.88235294115</v>
      </c>
      <c r="J13" s="37">
        <f t="shared" si="1"/>
        <v>101328.82352941175</v>
      </c>
      <c r="K13" s="37">
        <f t="shared" si="1"/>
        <v>103705.19649999999</v>
      </c>
    </row>
    <row r="14" spans="1:12" x14ac:dyDescent="0.25">
      <c r="B14" s="32"/>
      <c r="C14" s="32"/>
      <c r="D14" s="32"/>
      <c r="E14" s="32"/>
      <c r="F14" s="32"/>
      <c r="G14" s="32"/>
      <c r="H14" s="32"/>
      <c r="I14" s="32"/>
      <c r="J14" s="32"/>
      <c r="K14" s="32"/>
    </row>
    <row r="15" spans="1:12" x14ac:dyDescent="0.25">
      <c r="A15" s="23" t="s">
        <v>55</v>
      </c>
      <c r="B15" s="34">
        <f t="shared" ref="B15:K15" si="2">B7-B13</f>
        <v>0</v>
      </c>
      <c r="C15" s="34">
        <f t="shared" si="2"/>
        <v>-234973.23529411765</v>
      </c>
      <c r="D15" s="34">
        <f t="shared" si="2"/>
        <v>-307275.29411764699</v>
      </c>
      <c r="E15" s="34">
        <f t="shared" si="2"/>
        <v>-342724.62444062508</v>
      </c>
      <c r="F15" s="34">
        <f t="shared" si="2"/>
        <v>-285415.80276470573</v>
      </c>
      <c r="G15" s="34">
        <f t="shared" si="2"/>
        <v>-91936.45741500007</v>
      </c>
      <c r="H15" s="34">
        <f t="shared" si="2"/>
        <v>-12268.431462782901</v>
      </c>
      <c r="I15" s="34">
        <f t="shared" si="2"/>
        <v>20596.490884512314</v>
      </c>
      <c r="J15" s="34">
        <f t="shared" si="2"/>
        <v>6956.8470333962759</v>
      </c>
      <c r="K15" s="34">
        <f t="shared" si="2"/>
        <v>1035.6749583904166</v>
      </c>
    </row>
    <row r="16" spans="1:12" x14ac:dyDescent="0.25">
      <c r="A16" s="23"/>
      <c r="B16" s="344"/>
      <c r="C16" s="344"/>
      <c r="D16" s="344"/>
      <c r="E16" s="344"/>
      <c r="F16" s="344"/>
      <c r="G16" s="344"/>
      <c r="H16" s="344"/>
      <c r="I16" s="344"/>
      <c r="J16" s="344"/>
      <c r="K16" s="344"/>
      <c r="L16" s="12"/>
    </row>
    <row r="17" spans="1:12" x14ac:dyDescent="0.25">
      <c r="A17" s="10" t="s">
        <v>319</v>
      </c>
      <c r="B17" s="346">
        <f>B7/(1+Assumption_Vegatables!$C73)^'RCP 4.5_Vegetables'!B4</f>
        <v>0</v>
      </c>
      <c r="C17" s="346">
        <f>C7/(1+Assumption_Vegatables!$C73)^'RCP 4.5_Vegetables'!C4</f>
        <v>97188.679245283027</v>
      </c>
      <c r="D17" s="346">
        <f>D7/(1+Assumption_Vegatables!$C73)^'RCP 4.5_Vegetables'!D4</f>
        <v>363154.14738341043</v>
      </c>
      <c r="E17" s="346">
        <f>E7/(1+Assumption_Vegatables!$C73)^'RCP 4.5_Vegetables'!E4</f>
        <v>538497.51204801176</v>
      </c>
      <c r="F17" s="346">
        <f>F7/(1+Assumption_Vegatables!$C73)^'RCP 4.5_Vegetables'!F4</f>
        <v>741830.2580349663</v>
      </c>
      <c r="G17" s="346">
        <f>G7/(1+Assumption_Vegatables!$C73)^'RCP 4.5_Vegetables'!G4</f>
        <v>667569.47224635049</v>
      </c>
      <c r="H17" s="346">
        <f>H7/(1+Assumption_Vegatables!$C73)^'RCP 4.5_Vegetables'!H4</f>
        <v>429999.6681519064</v>
      </c>
      <c r="I17" s="346">
        <f>I7/(1+Assumption_Vegatables!$C73)^'RCP 4.5_Vegetables'!I4</f>
        <v>249560.93493966421</v>
      </c>
      <c r="J17" s="346">
        <f>J7/(1+Assumption_Vegatables!$C73)^'RCP 4.5_Vegetables'!J4</f>
        <v>67939.769350151197</v>
      </c>
      <c r="K17" s="346">
        <f>K7/(1+Assumption_Vegatables!$C73)^'RCP 4.5_Vegetables'!K4</f>
        <v>61995.960885017128</v>
      </c>
      <c r="L17" s="343">
        <f>SUM(B17:K17)</f>
        <v>3217736.4022847605</v>
      </c>
    </row>
    <row r="18" spans="1:12" s="12" customFormat="1" x14ac:dyDescent="0.25">
      <c r="A18" s="10" t="s">
        <v>320</v>
      </c>
      <c r="B18" s="346">
        <f>B13/(1+Assumption_Vegatables!$C73)^'RCP 4.5_Vegetables'!B4</f>
        <v>0</v>
      </c>
      <c r="C18" s="346">
        <f>C13/(1+Assumption_Vegatables!$C73)^'RCP 4.5_Vegetables'!C4</f>
        <v>318861.54273029964</v>
      </c>
      <c r="D18" s="346">
        <f>D13/(1+Assumption_Vegatables!$C73)^'RCP 4.5_Vegetables'!D4</f>
        <v>636628.06525244471</v>
      </c>
      <c r="E18" s="346">
        <f>E13/(1+Assumption_Vegatables!$C73)^'RCP 4.5_Vegetables'!E4</f>
        <v>826255.7154983643</v>
      </c>
      <c r="F18" s="346">
        <f>F13/(1+Assumption_Vegatables!$C73)^'RCP 4.5_Vegetables'!F4</f>
        <v>967906.30679288239</v>
      </c>
      <c r="G18" s="346">
        <f>G13/(1+Assumption_Vegatables!$C73)^'RCP 4.5_Vegetables'!G4</f>
        <v>736269.74143406155</v>
      </c>
      <c r="H18" s="346">
        <f>H13/(1+Assumption_Vegatables!$C73)^'RCP 4.5_Vegetables'!H4</f>
        <v>438648.42822625698</v>
      </c>
      <c r="I18" s="346">
        <f>I13/(1+Assumption_Vegatables!$C73)^'RCP 4.5_Vegetables'!I4</f>
        <v>235863.09216126171</v>
      </c>
      <c r="J18" s="346">
        <f>J13/(1+Assumption_Vegatables!$C73)^'RCP 4.5_Vegetables'!J4</f>
        <v>63574.95745586569</v>
      </c>
      <c r="K18" s="346">
        <f>K13/(1+Assumption_Vegatables!$C73)^'RCP 4.5_Vegetables'!K4</f>
        <v>61382.94646842932</v>
      </c>
      <c r="L18" s="343">
        <f>SUM(B18:K18)</f>
        <v>4285390.7960198661</v>
      </c>
    </row>
    <row r="19" spans="1:12" x14ac:dyDescent="0.25">
      <c r="B19" s="32"/>
      <c r="C19" s="32"/>
      <c r="D19" s="32"/>
      <c r="E19" s="32"/>
      <c r="F19" s="32"/>
      <c r="G19" s="32"/>
      <c r="H19" s="32"/>
      <c r="I19" s="32"/>
      <c r="J19" s="32"/>
      <c r="K19" s="32"/>
      <c r="L19" s="12"/>
    </row>
    <row r="20" spans="1:12" s="12" customFormat="1" x14ac:dyDescent="0.25">
      <c r="A20" s="25" t="s">
        <v>318</v>
      </c>
      <c r="B20" s="35">
        <f>NPV(Assumption_Vegatables!$C73,C15:K15)+B15</f>
        <v>-1067654.3937351052</v>
      </c>
      <c r="C20" s="40"/>
      <c r="D20" s="40"/>
      <c r="E20" s="40"/>
      <c r="F20" s="40"/>
      <c r="G20" s="40"/>
      <c r="H20" s="40"/>
      <c r="I20" s="40"/>
      <c r="J20" s="40"/>
      <c r="K20" s="40"/>
    </row>
    <row r="22" spans="1:12" s="12" customFormat="1" x14ac:dyDescent="0.25">
      <c r="A22" s="25" t="s">
        <v>238</v>
      </c>
      <c r="B22" s="36" t="e">
        <f>IRR(B15:K15)</f>
        <v>#NUM!</v>
      </c>
      <c r="C22" s="4"/>
      <c r="D22" s="4"/>
      <c r="E22" s="4"/>
      <c r="F22" s="4"/>
      <c r="G22" s="4"/>
      <c r="H22" s="4"/>
      <c r="I22" s="4"/>
      <c r="J22" s="4"/>
      <c r="K22" s="4"/>
    </row>
    <row r="25" spans="1:12" s="1" customFormat="1" x14ac:dyDescent="0.25">
      <c r="A25" s="24"/>
      <c r="B25" s="42"/>
      <c r="C25" s="42"/>
      <c r="D25" s="42"/>
      <c r="E25" s="42"/>
      <c r="F25" s="42"/>
      <c r="G25" s="42"/>
      <c r="H25" s="42"/>
      <c r="I25" s="42"/>
      <c r="J25" s="42"/>
      <c r="K25" s="42"/>
    </row>
    <row r="27" spans="1:12" ht="38.25" customHeight="1" x14ac:dyDescent="0.25">
      <c r="A27" s="11" t="str">
        <f>A2</f>
        <v>Aggregate Economic Analysis</v>
      </c>
      <c r="B27" s="30"/>
      <c r="C27" s="69"/>
      <c r="D27" s="70"/>
      <c r="E27" s="30"/>
      <c r="F27" s="116" t="s">
        <v>90</v>
      </c>
      <c r="G27" s="30"/>
      <c r="H27" s="30"/>
      <c r="I27" s="30"/>
      <c r="J27" s="30"/>
      <c r="K27" s="30"/>
    </row>
    <row r="28" spans="1:12" ht="38.25" customHeight="1" x14ac:dyDescent="0.25">
      <c r="A28" s="11"/>
      <c r="B28" s="30"/>
      <c r="C28" s="69"/>
      <c r="D28" s="70"/>
      <c r="E28" s="30"/>
      <c r="F28" s="116"/>
      <c r="G28" s="30"/>
      <c r="H28" s="30"/>
      <c r="I28" s="30"/>
      <c r="J28" s="30"/>
      <c r="K28" s="30"/>
    </row>
    <row r="29" spans="1:12" x14ac:dyDescent="0.25">
      <c r="A29" s="10" t="s">
        <v>19</v>
      </c>
      <c r="B29" s="26">
        <v>0</v>
      </c>
      <c r="C29" s="26">
        <v>1</v>
      </c>
      <c r="D29" s="26">
        <v>2</v>
      </c>
      <c r="E29" s="26">
        <v>3</v>
      </c>
      <c r="F29" s="26">
        <v>4</v>
      </c>
      <c r="G29" s="26">
        <v>5</v>
      </c>
      <c r="H29" s="26">
        <v>6</v>
      </c>
      <c r="I29" s="26">
        <v>7</v>
      </c>
      <c r="J29" s="26">
        <v>8</v>
      </c>
      <c r="K29" s="26">
        <v>9</v>
      </c>
    </row>
    <row r="30" spans="1:12" x14ac:dyDescent="0.25">
      <c r="A30" s="23" t="str">
        <f>A5</f>
        <v>Benefits</v>
      </c>
    </row>
    <row r="31" spans="1:12" x14ac:dyDescent="0.25">
      <c r="A31" s="10" t="str">
        <f>A6</f>
        <v>Vagetable Sale ($)</v>
      </c>
      <c r="B31" s="31">
        <f t="shared" ref="B31:K31" si="3">B6</f>
        <v>0</v>
      </c>
      <c r="C31" s="31">
        <f t="shared" si="3"/>
        <v>103020.00000000001</v>
      </c>
      <c r="D31" s="31">
        <f t="shared" si="3"/>
        <v>408040</v>
      </c>
      <c r="E31" s="31">
        <f t="shared" si="3"/>
        <v>641359.15280937497</v>
      </c>
      <c r="F31" s="31">
        <f t="shared" si="3"/>
        <v>936543.60900000005</v>
      </c>
      <c r="G31" s="31">
        <f t="shared" si="3"/>
        <v>893358.54258499993</v>
      </c>
      <c r="H31" s="31">
        <f t="shared" si="3"/>
        <v>609962.7475372171</v>
      </c>
      <c r="I31" s="31">
        <f t="shared" si="3"/>
        <v>375247.37323745346</v>
      </c>
      <c r="J31" s="31">
        <f t="shared" si="3"/>
        <v>108285.67056280802</v>
      </c>
      <c r="K31" s="31">
        <f t="shared" si="3"/>
        <v>104740.87145839041</v>
      </c>
    </row>
    <row r="32" spans="1:12" s="377" customFormat="1" x14ac:dyDescent="0.25">
      <c r="A32" s="376" t="str">
        <f>BaU_Vegetables!A32</f>
        <v>Consumption price of vegetables</v>
      </c>
      <c r="B32" s="136">
        <f>BaU_Vegetables!B32</f>
        <v>0</v>
      </c>
      <c r="C32" s="136">
        <f>BaU_Vegetables!C32</f>
        <v>502980</v>
      </c>
      <c r="D32" s="136">
        <f>BaU_Vegetables!D32</f>
        <v>1224120</v>
      </c>
      <c r="E32" s="136">
        <f>BaU_Vegetables!E32</f>
        <v>1933746.1893750001</v>
      </c>
      <c r="F32" s="136">
        <f>BaU_Vegetables!F32</f>
        <v>2809630.827</v>
      </c>
      <c r="G32" s="136">
        <f>BaU_Vegetables!G32</f>
        <v>2680075.6277549998</v>
      </c>
      <c r="H32" s="136">
        <f>BaU_Vegetables!H32</f>
        <v>1839083.6609162325</v>
      </c>
      <c r="I32" s="136">
        <f>BaU_Vegetables!I32</f>
        <v>1125742.1197123604</v>
      </c>
      <c r="J32" s="136">
        <f>BaU_Vegetables!J32</f>
        <v>324857.01168842404</v>
      </c>
      <c r="K32" s="136">
        <f>BaU_Vegetables!K32</f>
        <v>315801.62248760927</v>
      </c>
    </row>
    <row r="33" spans="1:12" s="12" customFormat="1" x14ac:dyDescent="0.25">
      <c r="A33" s="23" t="s">
        <v>53</v>
      </c>
      <c r="B33" s="38">
        <f>B31+B32</f>
        <v>0</v>
      </c>
      <c r="C33" s="38">
        <f t="shared" ref="C33:K33" si="4">C31+C32</f>
        <v>606000</v>
      </c>
      <c r="D33" s="38">
        <f t="shared" si="4"/>
        <v>1632160</v>
      </c>
      <c r="E33" s="38">
        <f t="shared" si="4"/>
        <v>2575105.342184375</v>
      </c>
      <c r="F33" s="38">
        <f t="shared" si="4"/>
        <v>3746174.4360000002</v>
      </c>
      <c r="G33" s="38">
        <f t="shared" si="4"/>
        <v>3573434.1703399997</v>
      </c>
      <c r="H33" s="38">
        <f t="shared" si="4"/>
        <v>2449046.4084534496</v>
      </c>
      <c r="I33" s="38">
        <f t="shared" si="4"/>
        <v>1500989.4929498138</v>
      </c>
      <c r="J33" s="38">
        <f t="shared" si="4"/>
        <v>433142.68225123209</v>
      </c>
      <c r="K33" s="38">
        <f t="shared" si="4"/>
        <v>420542.49394599965</v>
      </c>
    </row>
    <row r="34" spans="1:12" x14ac:dyDescent="0.25">
      <c r="A34" s="23"/>
      <c r="B34" s="41"/>
      <c r="C34" s="41"/>
      <c r="D34" s="41"/>
      <c r="E34" s="41"/>
      <c r="F34" s="41"/>
      <c r="G34" s="41"/>
      <c r="H34" s="41"/>
      <c r="I34" s="41"/>
      <c r="J34" s="41"/>
      <c r="K34" s="41"/>
    </row>
    <row r="35" spans="1:12" x14ac:dyDescent="0.25">
      <c r="A35" s="23" t="s">
        <v>20</v>
      </c>
    </row>
    <row r="36" spans="1:12" ht="30" x14ac:dyDescent="0.25">
      <c r="A36" s="9" t="str">
        <f t="shared" ref="A36:K36" si="5">A10</f>
        <v>Land Preparation for cultivation (fenching.etc)</v>
      </c>
      <c r="B36" s="33">
        <f t="shared" si="5"/>
        <v>0</v>
      </c>
      <c r="C36" s="33">
        <f t="shared" si="5"/>
        <v>69000</v>
      </c>
      <c r="D36" s="33">
        <f t="shared" si="5"/>
        <v>184000</v>
      </c>
      <c r="E36" s="33">
        <f t="shared" si="5"/>
        <v>299000</v>
      </c>
      <c r="F36" s="33">
        <f t="shared" si="5"/>
        <v>414000</v>
      </c>
      <c r="G36" s="33">
        <f t="shared" si="5"/>
        <v>391000</v>
      </c>
      <c r="H36" s="33">
        <f t="shared" si="5"/>
        <v>276000</v>
      </c>
      <c r="I36" s="33">
        <f t="shared" si="5"/>
        <v>161000</v>
      </c>
      <c r="J36" s="33">
        <f t="shared" si="5"/>
        <v>46000</v>
      </c>
      <c r="K36" s="33">
        <f t="shared" si="5"/>
        <v>46000</v>
      </c>
    </row>
    <row r="37" spans="1:12" x14ac:dyDescent="0.25">
      <c r="A37" s="9" t="str">
        <f t="shared" ref="A37:K37" si="6">A11</f>
        <v>Organic Fartilizer/Seeds/Saplings etc.</v>
      </c>
      <c r="B37" s="33">
        <f t="shared" si="6"/>
        <v>0</v>
      </c>
      <c r="C37" s="33">
        <f t="shared" si="6"/>
        <v>82993.235294117636</v>
      </c>
      <c r="D37" s="33">
        <f t="shared" si="6"/>
        <v>221315.29411764702</v>
      </c>
      <c r="E37" s="33">
        <f t="shared" si="6"/>
        <v>375083.77724999998</v>
      </c>
      <c r="F37" s="33">
        <f t="shared" si="6"/>
        <v>497959.41176470579</v>
      </c>
      <c r="G37" s="33">
        <f t="shared" si="6"/>
        <v>470294.99999999994</v>
      </c>
      <c r="H37" s="33">
        <f t="shared" si="6"/>
        <v>346231.17899999995</v>
      </c>
      <c r="I37" s="33">
        <f t="shared" si="6"/>
        <v>193650.88235294115</v>
      </c>
      <c r="J37" s="33">
        <f t="shared" si="6"/>
        <v>55328.823529411755</v>
      </c>
      <c r="K37" s="33">
        <f t="shared" si="6"/>
        <v>57705.196499999991</v>
      </c>
    </row>
    <row r="38" spans="1:12" s="50" customFormat="1" x14ac:dyDescent="0.25">
      <c r="A38" s="52" t="s">
        <v>131</v>
      </c>
      <c r="B38" s="49">
        <f>Assumption_Vegatables!D50</f>
        <v>0</v>
      </c>
      <c r="C38" s="49">
        <f>Assumption_Vegatables!E50</f>
        <v>93000</v>
      </c>
      <c r="D38" s="49">
        <f>Assumption_Vegatables!F50</f>
        <v>155000</v>
      </c>
      <c r="E38" s="49">
        <f>Assumption_Vegatables!G50</f>
        <v>155000</v>
      </c>
      <c r="F38" s="49">
        <f>Assumption_Vegatables!H50</f>
        <v>155000</v>
      </c>
      <c r="G38" s="49">
        <f>Assumption_Vegatables!I50</f>
        <v>62000</v>
      </c>
      <c r="H38" s="49">
        <f>Assumption_Vegatables!J50</f>
        <v>0</v>
      </c>
      <c r="I38" s="49">
        <f>Assumption_Vegatables!K50</f>
        <v>0</v>
      </c>
      <c r="J38" s="49">
        <f>Assumption_Vegatables!L50</f>
        <v>0</v>
      </c>
      <c r="K38" s="49">
        <f>Assumption_Vegatables!M50</f>
        <v>0</v>
      </c>
    </row>
    <row r="39" spans="1:12" s="377" customFormat="1" ht="30" x14ac:dyDescent="0.25">
      <c r="A39" s="121" t="str">
        <f>BaU_Vegetables!A39</f>
        <v>Opportunity cost of labor by women households</v>
      </c>
      <c r="B39" s="137">
        <f>BaU_Vegetables!B39</f>
        <v>0</v>
      </c>
      <c r="C39" s="137">
        <f>BaU_Vegetables!C39</f>
        <v>445410</v>
      </c>
      <c r="D39" s="137">
        <f>BaU_Vegetables!D39</f>
        <v>1199637.6000000001</v>
      </c>
      <c r="E39" s="137">
        <f>BaU_Vegetables!E39</f>
        <v>1968905.2109999999</v>
      </c>
      <c r="F39" s="137">
        <f>BaU_Vegetables!F39</f>
        <v>2753438.2104600002</v>
      </c>
      <c r="G39" s="137">
        <f>BaU_Vegetables!G39</f>
        <v>2626474.1151998998</v>
      </c>
      <c r="H39" s="137">
        <f>BaU_Vegetables!H39</f>
        <v>1872521.5456601642</v>
      </c>
      <c r="I39" s="137">
        <f>BaU_Vegetables!I39</f>
        <v>1103227.277318113</v>
      </c>
      <c r="J39" s="137">
        <f>BaU_Vegetables!J39</f>
        <v>318359.8714546556</v>
      </c>
      <c r="K39" s="137">
        <f>BaU_Vegetables!K39</f>
        <v>321543.47016920219</v>
      </c>
    </row>
    <row r="40" spans="1:12" x14ac:dyDescent="0.25">
      <c r="A40" s="117" t="s">
        <v>54</v>
      </c>
      <c r="B40" s="37">
        <f>SUM(B36:B39)</f>
        <v>0</v>
      </c>
      <c r="C40" s="37">
        <f t="shared" ref="C40:K40" si="7">SUM(C36:C39)</f>
        <v>690403.23529411759</v>
      </c>
      <c r="D40" s="37">
        <f t="shared" si="7"/>
        <v>1759952.8941176471</v>
      </c>
      <c r="E40" s="37">
        <f t="shared" si="7"/>
        <v>2797988.9882499999</v>
      </c>
      <c r="F40" s="37">
        <f t="shared" si="7"/>
        <v>3820397.6222247062</v>
      </c>
      <c r="G40" s="37">
        <f t="shared" si="7"/>
        <v>3549769.1151998998</v>
      </c>
      <c r="H40" s="37">
        <f t="shared" si="7"/>
        <v>2494752.7246601642</v>
      </c>
      <c r="I40" s="37">
        <f t="shared" si="7"/>
        <v>1457878.1596710542</v>
      </c>
      <c r="J40" s="37">
        <f t="shared" si="7"/>
        <v>419688.69498406735</v>
      </c>
      <c r="K40" s="37">
        <f t="shared" si="7"/>
        <v>425248.66666920215</v>
      </c>
    </row>
    <row r="41" spans="1:12" x14ac:dyDescent="0.25">
      <c r="B41" s="32"/>
      <c r="C41" s="32"/>
      <c r="D41" s="32"/>
      <c r="E41" s="32"/>
      <c r="F41" s="32"/>
      <c r="G41" s="32"/>
      <c r="H41" s="32"/>
      <c r="I41" s="32"/>
      <c r="J41" s="32"/>
      <c r="K41" s="32"/>
    </row>
    <row r="42" spans="1:12" x14ac:dyDescent="0.25">
      <c r="A42" s="23" t="s">
        <v>55</v>
      </c>
      <c r="B42" s="34">
        <f t="shared" ref="B42:K42" si="8">B33-B40</f>
        <v>0</v>
      </c>
      <c r="C42" s="34">
        <f t="shared" si="8"/>
        <v>-84403.235294117592</v>
      </c>
      <c r="D42" s="34">
        <f t="shared" si="8"/>
        <v>-127792.89411764708</v>
      </c>
      <c r="E42" s="34">
        <f t="shared" si="8"/>
        <v>-222883.6460656249</v>
      </c>
      <c r="F42" s="34">
        <f t="shared" si="8"/>
        <v>-74223.186224706005</v>
      </c>
      <c r="G42" s="34">
        <f t="shared" si="8"/>
        <v>23665.055140099954</v>
      </c>
      <c r="H42" s="34">
        <f t="shared" si="8"/>
        <v>-45706.316206714604</v>
      </c>
      <c r="I42" s="34">
        <f t="shared" si="8"/>
        <v>43111.333278759615</v>
      </c>
      <c r="J42" s="34">
        <f t="shared" si="8"/>
        <v>13453.987267164746</v>
      </c>
      <c r="K42" s="34">
        <f t="shared" si="8"/>
        <v>-4706.1727232025005</v>
      </c>
    </row>
    <row r="43" spans="1:12" x14ac:dyDescent="0.25">
      <c r="B43" s="32"/>
      <c r="C43" s="32"/>
      <c r="D43" s="32"/>
      <c r="E43" s="32"/>
      <c r="F43" s="32"/>
      <c r="G43" s="32"/>
      <c r="H43" s="32"/>
      <c r="I43" s="32"/>
      <c r="J43" s="32"/>
      <c r="K43" s="32"/>
    </row>
    <row r="44" spans="1:12" s="12" customFormat="1" x14ac:dyDescent="0.25">
      <c r="A44" s="10" t="s">
        <v>319</v>
      </c>
      <c r="B44" s="346">
        <f>B33/(1+Assumption_Vegatables!$C73)^'RCP 4.5_Vegetables'!B29</f>
        <v>0</v>
      </c>
      <c r="C44" s="346">
        <f>C33/(1+Assumption_Vegatables!$C73)^'RCP 4.5_Vegetables'!C29</f>
        <v>571698.11320754711</v>
      </c>
      <c r="D44" s="346">
        <f>D33/(1+Assumption_Vegatables!$C73)^'RCP 4.5_Vegetables'!D29</f>
        <v>1452616.5895336417</v>
      </c>
      <c r="E44" s="346">
        <f>E33/(1+Assumption_Vegatables!$C73)^'RCP 4.5_Vegetables'!E29</f>
        <v>2162108.1011374947</v>
      </c>
      <c r="F44" s="346">
        <f>F33/(1+Assumption_Vegatables!$C73)^'RCP 4.5_Vegetables'!F29</f>
        <v>2967321.0321398652</v>
      </c>
      <c r="G44" s="346">
        <f>G33/(1+Assumption_Vegatables!$C73)^'RCP 4.5_Vegetables'!G29</f>
        <v>2670277.888985402</v>
      </c>
      <c r="H44" s="346">
        <f>H33/(1+Assumption_Vegatables!$C73)^'RCP 4.5_Vegetables'!H29</f>
        <v>1726481.0796651919</v>
      </c>
      <c r="I44" s="346">
        <f>I33/(1+Assumption_Vegatables!$C73)^'RCP 4.5_Vegetables'!I29</f>
        <v>998243.73975865683</v>
      </c>
      <c r="J44" s="346">
        <f>J33/(1+Assumption_Vegatables!$C73)^'RCP 4.5_Vegetables'!J29</f>
        <v>271759.07740060479</v>
      </c>
      <c r="K44" s="346">
        <f>K33/(1+Assumption_Vegatables!$C73)^'RCP 4.5_Vegetables'!K29</f>
        <v>248918.45601572204</v>
      </c>
      <c r="L44" s="343">
        <f>SUM(B44:K44)</f>
        <v>13069424.077844126</v>
      </c>
    </row>
    <row r="45" spans="1:12" s="12" customFormat="1" x14ac:dyDescent="0.25">
      <c r="A45" s="10" t="s">
        <v>320</v>
      </c>
      <c r="B45" s="346">
        <f>B40/(1+Assumption_Vegatables!$C73)^'RCP 4.5_Vegetables'!B29</f>
        <v>0</v>
      </c>
      <c r="C45" s="346">
        <f>C40/(1+Assumption_Vegatables!$C73)^'RCP 4.5_Vegetables'!C29</f>
        <v>651323.80688124301</v>
      </c>
      <c r="D45" s="346">
        <f>D40/(1+Assumption_Vegatables!$C73)^'RCP 4.5_Vegetables'!D29</f>
        <v>1566351.8103574642</v>
      </c>
      <c r="E45" s="346">
        <f>E40/(1+Assumption_Vegatables!$C73)^'RCP 4.5_Vegetables'!E29</f>
        <v>2349245.5082467399</v>
      </c>
      <c r="F45" s="346">
        <f>F40/(1+Assumption_Vegatables!$C73)^'RCP 4.5_Vegetables'!F29</f>
        <v>3026112.7476137904</v>
      </c>
      <c r="G45" s="346">
        <f>G40/(1+Assumption_Vegatables!$C73)^'RCP 4.5_Vegetables'!G29</f>
        <v>2652593.9831206365</v>
      </c>
      <c r="H45" s="346">
        <f>H40/(1+Assumption_Vegatables!$C73)^'RCP 4.5_Vegetables'!H29</f>
        <v>1758702.2290397843</v>
      </c>
      <c r="I45" s="346">
        <f>I40/(1+Assumption_Vegatables!$C73)^'RCP 4.5_Vegetables'!I29</f>
        <v>969572.24088387447</v>
      </c>
      <c r="J45" s="346">
        <f>J40/(1+Assumption_Vegatables!$C73)^'RCP 4.5_Vegetables'!J29</f>
        <v>263317.87934531021</v>
      </c>
      <c r="K45" s="346">
        <f>K40/(1+Assumption_Vegatables!$C73)^'RCP 4.5_Vegetables'!K29</f>
        <v>251704.03241969252</v>
      </c>
      <c r="L45" s="343">
        <f>SUM(B45:K45)</f>
        <v>13488924.237908537</v>
      </c>
    </row>
    <row r="46" spans="1:12" x14ac:dyDescent="0.25">
      <c r="B46" s="32"/>
      <c r="C46" s="32"/>
      <c r="D46" s="32"/>
      <c r="E46" s="32"/>
      <c r="F46" s="32"/>
      <c r="G46" s="32"/>
      <c r="H46" s="32"/>
      <c r="I46" s="32"/>
      <c r="J46" s="32"/>
      <c r="K46" s="32"/>
    </row>
    <row r="47" spans="1:12" s="12" customFormat="1" x14ac:dyDescent="0.25">
      <c r="A47" s="25" t="s">
        <v>318</v>
      </c>
      <c r="B47" s="35">
        <f>NPV(Assumption_Hatchery!C76,C42:K42)+B42</f>
        <v>-419500.16006440902</v>
      </c>
      <c r="C47" s="40"/>
      <c r="D47" s="40"/>
      <c r="E47" s="40"/>
      <c r="F47" s="40"/>
      <c r="G47" s="40"/>
      <c r="H47" s="40"/>
      <c r="I47" s="40"/>
      <c r="J47" s="40"/>
      <c r="K47" s="40"/>
    </row>
    <row r="49" spans="1:11" s="12" customFormat="1" x14ac:dyDescent="0.25">
      <c r="A49" s="25" t="s">
        <v>238</v>
      </c>
      <c r="B49" s="36" t="e">
        <f>IRR(B42:K42)</f>
        <v>#NUM!</v>
      </c>
      <c r="C49" s="4"/>
      <c r="D49" s="4"/>
      <c r="E49" s="4"/>
      <c r="F49" s="4"/>
      <c r="G49" s="4"/>
      <c r="H49" s="4"/>
      <c r="I49" s="4"/>
      <c r="J49" s="4"/>
      <c r="K49" s="4"/>
    </row>
    <row r="51" spans="1:11" ht="38.25" customHeight="1" x14ac:dyDescent="0.25">
      <c r="A51" s="11"/>
      <c r="B51" s="30"/>
      <c r="C51" s="69"/>
      <c r="D51" s="70"/>
      <c r="E51" s="30"/>
      <c r="F51" s="116"/>
      <c r="G51" s="30"/>
      <c r="H51" s="30"/>
      <c r="I51" s="30"/>
      <c r="J51" s="30"/>
      <c r="K51" s="30"/>
    </row>
    <row r="52" spans="1:11" s="1" customFormat="1" x14ac:dyDescent="0.25">
      <c r="A52" s="24"/>
      <c r="B52" s="42"/>
      <c r="C52" s="42"/>
      <c r="D52" s="42"/>
      <c r="E52" s="42"/>
      <c r="F52" s="42"/>
      <c r="G52" s="42"/>
      <c r="H52" s="42"/>
      <c r="I52" s="42"/>
      <c r="J52" s="42"/>
      <c r="K52" s="42"/>
    </row>
    <row r="54" spans="1:11" ht="26.25" x14ac:dyDescent="0.25">
      <c r="F54" s="19" t="s">
        <v>92</v>
      </c>
    </row>
    <row r="55" spans="1:11" ht="38.25" customHeight="1" x14ac:dyDescent="0.25">
      <c r="A55" s="11" t="str">
        <f>A2</f>
        <v>Aggregate Economic Analysis</v>
      </c>
      <c r="B55" s="30"/>
      <c r="C55" s="69"/>
      <c r="D55" s="70"/>
      <c r="E55" s="30"/>
      <c r="F55" s="30"/>
      <c r="G55" s="30"/>
      <c r="H55" s="30"/>
      <c r="I55" s="30"/>
      <c r="J55" s="30"/>
      <c r="K55" s="30"/>
    </row>
    <row r="57" spans="1:11" x14ac:dyDescent="0.25">
      <c r="A57" s="10" t="s">
        <v>19</v>
      </c>
      <c r="B57" s="26">
        <v>0</v>
      </c>
      <c r="C57" s="26">
        <v>1</v>
      </c>
      <c r="D57" s="26">
        <v>2</v>
      </c>
      <c r="E57" s="26">
        <v>3</v>
      </c>
      <c r="F57" s="26">
        <v>4</v>
      </c>
      <c r="G57" s="26">
        <v>5</v>
      </c>
      <c r="H57" s="26">
        <v>6</v>
      </c>
      <c r="I57" s="26">
        <v>7</v>
      </c>
      <c r="J57" s="26">
        <v>8</v>
      </c>
      <c r="K57" s="26">
        <v>9</v>
      </c>
    </row>
    <row r="58" spans="1:11" x14ac:dyDescent="0.25">
      <c r="A58" s="23" t="str">
        <f>A5</f>
        <v>Benefits</v>
      </c>
    </row>
    <row r="59" spans="1:11" x14ac:dyDescent="0.25">
      <c r="A59" s="10" t="str">
        <f>A6</f>
        <v>Vagetable Sale ($)</v>
      </c>
      <c r="B59" s="31">
        <f t="shared" ref="B59:K59" si="9">B6</f>
        <v>0</v>
      </c>
      <c r="C59" s="31">
        <f t="shared" si="9"/>
        <v>103020.00000000001</v>
      </c>
      <c r="D59" s="31">
        <f t="shared" si="9"/>
        <v>408040</v>
      </c>
      <c r="E59" s="31">
        <f t="shared" si="9"/>
        <v>641359.15280937497</v>
      </c>
      <c r="F59" s="31">
        <f t="shared" si="9"/>
        <v>936543.60900000005</v>
      </c>
      <c r="G59" s="31">
        <f t="shared" si="9"/>
        <v>893358.54258499993</v>
      </c>
      <c r="H59" s="31">
        <f t="shared" si="9"/>
        <v>609962.7475372171</v>
      </c>
      <c r="I59" s="31">
        <f t="shared" si="9"/>
        <v>375247.37323745346</v>
      </c>
      <c r="J59" s="31">
        <f t="shared" si="9"/>
        <v>108285.67056280802</v>
      </c>
      <c r="K59" s="31">
        <f t="shared" si="9"/>
        <v>104740.87145839041</v>
      </c>
    </row>
    <row r="60" spans="1:11" s="377" customFormat="1" x14ac:dyDescent="0.25">
      <c r="A60" s="376" t="str">
        <f>A32</f>
        <v>Consumption price of vegetables</v>
      </c>
      <c r="B60" s="136">
        <f>B32</f>
        <v>0</v>
      </c>
      <c r="C60" s="136">
        <f t="shared" ref="C60:K60" si="10">C32</f>
        <v>502980</v>
      </c>
      <c r="D60" s="136">
        <f t="shared" si="10"/>
        <v>1224120</v>
      </c>
      <c r="E60" s="136">
        <f t="shared" si="10"/>
        <v>1933746.1893750001</v>
      </c>
      <c r="F60" s="136">
        <f t="shared" si="10"/>
        <v>2809630.827</v>
      </c>
      <c r="G60" s="136">
        <f t="shared" si="10"/>
        <v>2680075.6277549998</v>
      </c>
      <c r="H60" s="136">
        <f t="shared" si="10"/>
        <v>1839083.6609162325</v>
      </c>
      <c r="I60" s="136">
        <f t="shared" si="10"/>
        <v>1125742.1197123604</v>
      </c>
      <c r="J60" s="136">
        <f t="shared" si="10"/>
        <v>324857.01168842404</v>
      </c>
      <c r="K60" s="136">
        <f t="shared" si="10"/>
        <v>315801.62248760927</v>
      </c>
    </row>
    <row r="61" spans="1:11" s="12" customFormat="1" x14ac:dyDescent="0.25">
      <c r="A61" s="23" t="s">
        <v>53</v>
      </c>
      <c r="B61" s="38">
        <f>B59+B60</f>
        <v>0</v>
      </c>
      <c r="C61" s="38">
        <f t="shared" ref="C61:K61" si="11">C59+C60</f>
        <v>606000</v>
      </c>
      <c r="D61" s="38">
        <f t="shared" si="11"/>
        <v>1632160</v>
      </c>
      <c r="E61" s="38">
        <f t="shared" si="11"/>
        <v>2575105.342184375</v>
      </c>
      <c r="F61" s="38">
        <f t="shared" si="11"/>
        <v>3746174.4360000002</v>
      </c>
      <c r="G61" s="38">
        <f t="shared" si="11"/>
        <v>3573434.1703399997</v>
      </c>
      <c r="H61" s="38">
        <f t="shared" si="11"/>
        <v>2449046.4084534496</v>
      </c>
      <c r="I61" s="38">
        <f t="shared" si="11"/>
        <v>1500989.4929498138</v>
      </c>
      <c r="J61" s="38">
        <f t="shared" si="11"/>
        <v>433142.68225123209</v>
      </c>
      <c r="K61" s="38">
        <f t="shared" si="11"/>
        <v>420542.49394599965</v>
      </c>
    </row>
    <row r="62" spans="1:11" x14ac:dyDescent="0.25">
      <c r="A62" s="23"/>
      <c r="B62" s="41"/>
      <c r="C62" s="41"/>
      <c r="D62" s="41"/>
      <c r="E62" s="41"/>
      <c r="F62" s="41"/>
      <c r="G62" s="41"/>
      <c r="H62" s="41"/>
      <c r="I62" s="41"/>
      <c r="J62" s="41"/>
      <c r="K62" s="41"/>
    </row>
    <row r="63" spans="1:11" x14ac:dyDescent="0.25">
      <c r="A63" s="23" t="s">
        <v>20</v>
      </c>
    </row>
    <row r="64" spans="1:11" ht="30" x14ac:dyDescent="0.25">
      <c r="A64" s="9" t="str">
        <f t="shared" ref="A64:K64" si="12">A10</f>
        <v>Land Preparation for cultivation (fenching.etc)</v>
      </c>
      <c r="B64" s="33">
        <f t="shared" si="12"/>
        <v>0</v>
      </c>
      <c r="C64" s="33">
        <f t="shared" si="12"/>
        <v>69000</v>
      </c>
      <c r="D64" s="33">
        <f t="shared" si="12"/>
        <v>184000</v>
      </c>
      <c r="E64" s="33">
        <f t="shared" si="12"/>
        <v>299000</v>
      </c>
      <c r="F64" s="33">
        <f t="shared" si="12"/>
        <v>414000</v>
      </c>
      <c r="G64" s="33">
        <f t="shared" si="12"/>
        <v>391000</v>
      </c>
      <c r="H64" s="33">
        <f t="shared" si="12"/>
        <v>276000</v>
      </c>
      <c r="I64" s="33">
        <f t="shared" si="12"/>
        <v>161000</v>
      </c>
      <c r="J64" s="33">
        <f t="shared" si="12"/>
        <v>46000</v>
      </c>
      <c r="K64" s="33">
        <f t="shared" si="12"/>
        <v>46000</v>
      </c>
    </row>
    <row r="65" spans="1:12" x14ac:dyDescent="0.25">
      <c r="A65" s="9" t="str">
        <f t="shared" ref="A65:K65" si="13">A11</f>
        <v>Organic Fartilizer/Seeds/Saplings etc.</v>
      </c>
      <c r="B65" s="33">
        <f t="shared" si="13"/>
        <v>0</v>
      </c>
      <c r="C65" s="33">
        <f t="shared" si="13"/>
        <v>82993.235294117636</v>
      </c>
      <c r="D65" s="33">
        <f t="shared" si="13"/>
        <v>221315.29411764702</v>
      </c>
      <c r="E65" s="33">
        <f t="shared" si="13"/>
        <v>375083.77724999998</v>
      </c>
      <c r="F65" s="33">
        <f t="shared" si="13"/>
        <v>497959.41176470579</v>
      </c>
      <c r="G65" s="33">
        <f t="shared" si="13"/>
        <v>470294.99999999994</v>
      </c>
      <c r="H65" s="33">
        <f t="shared" si="13"/>
        <v>346231.17899999995</v>
      </c>
      <c r="I65" s="33">
        <f t="shared" si="13"/>
        <v>193650.88235294115</v>
      </c>
      <c r="J65" s="33">
        <f t="shared" si="13"/>
        <v>55328.823529411755</v>
      </c>
      <c r="K65" s="33">
        <f t="shared" si="13"/>
        <v>57705.196499999991</v>
      </c>
    </row>
    <row r="66" spans="1:12" s="50" customFormat="1" x14ac:dyDescent="0.25">
      <c r="A66" s="52" t="s">
        <v>131</v>
      </c>
      <c r="B66" s="49">
        <f>B12*Assumption_Vegatables!$C30</f>
        <v>0</v>
      </c>
      <c r="C66" s="49">
        <f>C12*Assumption_Vegatables!$C30</f>
        <v>0</v>
      </c>
      <c r="D66" s="49">
        <f>D12*Assumption_Vegatables!$C30</f>
        <v>0</v>
      </c>
      <c r="E66" s="49">
        <f>E12*Assumption_Vegatables!$C30</f>
        <v>0</v>
      </c>
      <c r="F66" s="49">
        <f>F12*Assumption_Vegatables!$C30</f>
        <v>0</v>
      </c>
      <c r="G66" s="49">
        <f>G12*Assumption_Vegatables!$C30</f>
        <v>0</v>
      </c>
      <c r="H66" s="49">
        <f>H12*Assumption_Vegatables!$C30</f>
        <v>0</v>
      </c>
      <c r="I66" s="49">
        <f>I12*Assumption_Vegatables!$C30</f>
        <v>0</v>
      </c>
      <c r="J66" s="49">
        <f>J12*Assumption_Vegatables!$C30</f>
        <v>0</v>
      </c>
      <c r="K66" s="49">
        <f>K12*Assumption_Vegatables!$C30</f>
        <v>0</v>
      </c>
    </row>
    <row r="67" spans="1:12" s="423" customFormat="1" ht="33.6" customHeight="1" x14ac:dyDescent="0.25">
      <c r="A67" s="424" t="str">
        <f>A39</f>
        <v>Opportunity cost of labor by women households</v>
      </c>
      <c r="B67" s="422">
        <f t="shared" ref="B67:K67" si="14">B39</f>
        <v>0</v>
      </c>
      <c r="C67" s="422">
        <f t="shared" si="14"/>
        <v>445410</v>
      </c>
      <c r="D67" s="422">
        <f t="shared" si="14"/>
        <v>1199637.6000000001</v>
      </c>
      <c r="E67" s="422">
        <f t="shared" si="14"/>
        <v>1968905.2109999999</v>
      </c>
      <c r="F67" s="422">
        <f t="shared" si="14"/>
        <v>2753438.2104600002</v>
      </c>
      <c r="G67" s="422">
        <f t="shared" si="14"/>
        <v>2626474.1151998998</v>
      </c>
      <c r="H67" s="422">
        <f t="shared" si="14"/>
        <v>1872521.5456601642</v>
      </c>
      <c r="I67" s="422">
        <f t="shared" si="14"/>
        <v>1103227.277318113</v>
      </c>
      <c r="J67" s="422">
        <f t="shared" si="14"/>
        <v>318359.8714546556</v>
      </c>
      <c r="K67" s="422">
        <f t="shared" si="14"/>
        <v>321543.47016920219</v>
      </c>
    </row>
    <row r="68" spans="1:12" x14ac:dyDescent="0.25">
      <c r="A68" s="117" t="s">
        <v>54</v>
      </c>
      <c r="B68" s="37">
        <f>SUM(B64:B67)</f>
        <v>0</v>
      </c>
      <c r="C68" s="37">
        <f t="shared" ref="C68:K68" si="15">SUM(C64:C67)</f>
        <v>597403.23529411759</v>
      </c>
      <c r="D68" s="37">
        <f t="shared" si="15"/>
        <v>1604952.8941176471</v>
      </c>
      <c r="E68" s="37">
        <f t="shared" si="15"/>
        <v>2642988.9882499999</v>
      </c>
      <c r="F68" s="37">
        <f t="shared" si="15"/>
        <v>3665397.6222247062</v>
      </c>
      <c r="G68" s="37">
        <f t="shared" si="15"/>
        <v>3487769.1151998998</v>
      </c>
      <c r="H68" s="37">
        <f t="shared" si="15"/>
        <v>2494752.7246601642</v>
      </c>
      <c r="I68" s="37">
        <f t="shared" si="15"/>
        <v>1457878.1596710542</v>
      </c>
      <c r="J68" s="37">
        <f t="shared" si="15"/>
        <v>419688.69498406735</v>
      </c>
      <c r="K68" s="37">
        <f t="shared" si="15"/>
        <v>425248.66666920215</v>
      </c>
    </row>
    <row r="69" spans="1:12" x14ac:dyDescent="0.25">
      <c r="B69" s="32"/>
      <c r="C69" s="32"/>
      <c r="D69" s="32"/>
      <c r="E69" s="32"/>
      <c r="F69" s="32"/>
      <c r="G69" s="32"/>
      <c r="H69" s="32"/>
      <c r="I69" s="32"/>
      <c r="J69" s="32"/>
      <c r="K69" s="32"/>
    </row>
    <row r="70" spans="1:12" x14ac:dyDescent="0.25">
      <c r="A70" s="23" t="s">
        <v>55</v>
      </c>
      <c r="B70" s="34">
        <f t="shared" ref="B70:K70" si="16">B61-B68</f>
        <v>0</v>
      </c>
      <c r="C70" s="34">
        <f t="shared" si="16"/>
        <v>8596.7647058824077</v>
      </c>
      <c r="D70" s="34">
        <f t="shared" si="16"/>
        <v>27207.105882352917</v>
      </c>
      <c r="E70" s="34">
        <f t="shared" si="16"/>
        <v>-67883.646065624896</v>
      </c>
      <c r="F70" s="34">
        <f t="shared" si="16"/>
        <v>80776.813775293995</v>
      </c>
      <c r="G70" s="34">
        <f t="shared" si="16"/>
        <v>85665.055140099954</v>
      </c>
      <c r="H70" s="34">
        <f t="shared" si="16"/>
        <v>-45706.316206714604</v>
      </c>
      <c r="I70" s="34">
        <f t="shared" si="16"/>
        <v>43111.333278759615</v>
      </c>
      <c r="J70" s="34">
        <f t="shared" si="16"/>
        <v>13453.987267164746</v>
      </c>
      <c r="K70" s="34">
        <f t="shared" si="16"/>
        <v>-4706.1727232025005</v>
      </c>
    </row>
    <row r="71" spans="1:12" x14ac:dyDescent="0.25">
      <c r="B71" s="32"/>
      <c r="C71" s="32"/>
      <c r="D71" s="32"/>
      <c r="E71" s="32"/>
      <c r="F71" s="32"/>
      <c r="G71" s="32"/>
      <c r="H71" s="32"/>
      <c r="I71" s="32"/>
      <c r="J71" s="32"/>
      <c r="K71" s="32"/>
    </row>
    <row r="72" spans="1:12" s="12" customFormat="1" x14ac:dyDescent="0.25">
      <c r="A72" s="10" t="s">
        <v>319</v>
      </c>
      <c r="B72" s="346">
        <f>B61/(1+Assumption_Vegatables!$C73)^'RCP 4.5_Vegetables'!B57</f>
        <v>0</v>
      </c>
      <c r="C72" s="346">
        <f>C61/(1+Assumption_Vegatables!$C73)^'RCP 4.5_Vegetables'!C57</f>
        <v>571698.11320754711</v>
      </c>
      <c r="D72" s="346">
        <f>D61/(1+Assumption_Vegatables!$C73)^'RCP 4.5_Vegetables'!D57</f>
        <v>1452616.5895336417</v>
      </c>
      <c r="E72" s="346">
        <f>E61/(1+Assumption_Vegatables!$C73)^'RCP 4.5_Vegetables'!E57</f>
        <v>2162108.1011374947</v>
      </c>
      <c r="F72" s="346">
        <f>F61/(1+Assumption_Vegatables!$C73)^'RCP 4.5_Vegetables'!F57</f>
        <v>2967321.0321398652</v>
      </c>
      <c r="G72" s="346">
        <f>G61/(1+Assumption_Vegatables!$C73)^'RCP 4.5_Vegetables'!G57</f>
        <v>2670277.888985402</v>
      </c>
      <c r="H72" s="346">
        <f>H61/(1+Assumption_Vegatables!$C73)^'RCP 4.5_Vegetables'!H57</f>
        <v>1726481.0796651919</v>
      </c>
      <c r="I72" s="346">
        <f>I61/(1+Assumption_Vegatables!$C73)^'RCP 4.5_Vegetables'!I57</f>
        <v>998243.73975865683</v>
      </c>
      <c r="J72" s="346">
        <f>J61/(1+Assumption_Vegatables!$C73)^'RCP 4.5_Vegetables'!J57</f>
        <v>271759.07740060479</v>
      </c>
      <c r="K72" s="346">
        <f>K61/(1+Assumption_Vegatables!$C73)^'RCP 4.5_Vegetables'!K57</f>
        <v>248918.45601572204</v>
      </c>
      <c r="L72" s="343">
        <f>SUM(B72:K72)</f>
        <v>13069424.077844126</v>
      </c>
    </row>
    <row r="73" spans="1:12" s="12" customFormat="1" x14ac:dyDescent="0.25">
      <c r="A73" s="10" t="s">
        <v>320</v>
      </c>
      <c r="B73" s="346">
        <f>B68/(1+Assumption_Vegatables!$C73)^'RCP 4.5_Vegetables'!B57</f>
        <v>0</v>
      </c>
      <c r="C73" s="346">
        <f>C68/(1+Assumption_Vegatables!$C73)^'RCP 4.5_Vegetables'!C57</f>
        <v>563587.95782463916</v>
      </c>
      <c r="D73" s="346">
        <f>D68/(1+Assumption_Vegatables!$C73)^'RCP 4.5_Vegetables'!D57</f>
        <v>1428402.362155257</v>
      </c>
      <c r="E73" s="346">
        <f>E68/(1+Assumption_Vegatables!$C73)^'RCP 4.5_Vegetables'!E57</f>
        <v>2219104.5193767333</v>
      </c>
      <c r="F73" s="346">
        <f>F68/(1+Assumption_Vegatables!$C73)^'RCP 4.5_Vegetables'!F57</f>
        <v>2903338.229811897</v>
      </c>
      <c r="G73" s="346">
        <f>G68/(1+Assumption_Vegatables!$C73)^'RCP 4.5_Vegetables'!G57</f>
        <v>2606263.9764029412</v>
      </c>
      <c r="H73" s="346">
        <f>H68/(1+Assumption_Vegatables!$C73)^'RCP 4.5_Vegetables'!H57</f>
        <v>1758702.2290397843</v>
      </c>
      <c r="I73" s="346">
        <f>I68/(1+Assumption_Vegatables!$C73)^'RCP 4.5_Vegetables'!I57</f>
        <v>969572.24088387447</v>
      </c>
      <c r="J73" s="346">
        <f>J68/(1+Assumption_Vegatables!$C73)^'RCP 4.5_Vegetables'!J57</f>
        <v>263317.87934531021</v>
      </c>
      <c r="K73" s="346">
        <f>K68/(1+Assumption_Vegatables!$C73)^'RCP 4.5_Vegetables'!K57</f>
        <v>251704.03241969252</v>
      </c>
      <c r="L73" s="343">
        <f>SUM(B73:K73)</f>
        <v>12963993.427260131</v>
      </c>
    </row>
    <row r="74" spans="1:12" x14ac:dyDescent="0.25">
      <c r="B74" s="32"/>
      <c r="C74" s="32"/>
      <c r="D74" s="32"/>
      <c r="E74" s="32"/>
      <c r="F74" s="32"/>
      <c r="G74" s="32"/>
      <c r="H74" s="32"/>
      <c r="I74" s="32"/>
      <c r="J74" s="32"/>
      <c r="K74" s="32"/>
    </row>
    <row r="75" spans="1:12" s="12" customFormat="1" x14ac:dyDescent="0.25">
      <c r="A75" s="25" t="s">
        <v>318</v>
      </c>
      <c r="B75" s="35">
        <f>NPV(Assumption_Hatchery!C76,C70:K70)+B70</f>
        <v>105430.65058399738</v>
      </c>
      <c r="C75" s="40"/>
      <c r="D75" s="40"/>
      <c r="E75" s="40"/>
      <c r="F75" s="40"/>
      <c r="G75" s="40"/>
      <c r="H75" s="40"/>
      <c r="I75" s="40"/>
      <c r="J75" s="40"/>
      <c r="K75" s="40"/>
    </row>
    <row r="77" spans="1:12" s="12" customFormat="1" x14ac:dyDescent="0.25">
      <c r="A77" s="25" t="s">
        <v>238</v>
      </c>
      <c r="B77" s="36" t="e">
        <f>IRR(B70:K70)</f>
        <v>#NUM!</v>
      </c>
      <c r="C77" s="4"/>
      <c r="D77" s="4"/>
      <c r="E77" s="4"/>
      <c r="F77" s="4"/>
      <c r="G77" s="4"/>
      <c r="H77" s="4"/>
      <c r="I77" s="4"/>
      <c r="J77" s="4"/>
      <c r="K77" s="4"/>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2:L77"/>
  <sheetViews>
    <sheetView showGridLines="0" topLeftCell="A58" zoomScale="85" zoomScaleNormal="85" workbookViewId="0">
      <selection activeCell="J22" sqref="J22"/>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5" width="12.5703125" style="26" customWidth="1"/>
    <col min="6" max="6" width="15.285156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3.42578125" style="3" customWidth="1"/>
    <col min="13" max="16384" width="9" style="3"/>
  </cols>
  <sheetData>
    <row r="2" spans="1:12" ht="38.25" customHeight="1" x14ac:dyDescent="0.25">
      <c r="A2" s="11" t="s">
        <v>332</v>
      </c>
      <c r="B2" s="30"/>
      <c r="C2" s="69"/>
      <c r="D2" s="70"/>
      <c r="E2" s="30"/>
      <c r="F2" s="116" t="s">
        <v>91</v>
      </c>
      <c r="G2" s="30"/>
      <c r="H2" s="30"/>
      <c r="I2" s="30"/>
      <c r="J2" s="30"/>
      <c r="K2" s="30"/>
    </row>
    <row r="3" spans="1:12" ht="15" customHeight="1" x14ac:dyDescent="0.25">
      <c r="A3" s="22"/>
      <c r="B3" s="30"/>
      <c r="C3" s="30"/>
      <c r="D3" s="30"/>
      <c r="E3" s="30"/>
      <c r="F3" s="30"/>
      <c r="G3" s="30"/>
      <c r="H3" s="30"/>
      <c r="I3" s="30"/>
      <c r="J3" s="30"/>
      <c r="K3" s="30"/>
    </row>
    <row r="4" spans="1:12" x14ac:dyDescent="0.25">
      <c r="A4" s="10" t="s">
        <v>19</v>
      </c>
      <c r="B4" s="26">
        <v>0</v>
      </c>
      <c r="C4" s="26">
        <v>1</v>
      </c>
      <c r="D4" s="26">
        <v>2</v>
      </c>
      <c r="E4" s="26">
        <v>3</v>
      </c>
      <c r="F4" s="26">
        <v>4</v>
      </c>
      <c r="G4" s="26">
        <v>5</v>
      </c>
      <c r="H4" s="26">
        <v>6</v>
      </c>
      <c r="I4" s="26">
        <v>7</v>
      </c>
      <c r="J4" s="26">
        <v>8</v>
      </c>
      <c r="K4" s="26">
        <v>9</v>
      </c>
    </row>
    <row r="5" spans="1:12" x14ac:dyDescent="0.25">
      <c r="A5" s="23" t="s">
        <v>3</v>
      </c>
    </row>
    <row r="6" spans="1:12" x14ac:dyDescent="0.25">
      <c r="A6" s="10" t="s">
        <v>223</v>
      </c>
      <c r="B6" s="31">
        <f>Assumption_Vegatables!D11*Assumption_Vegatables!D155*Assumption_Vegatables!D156*Assumption_Vegatables!D158*(1+Assumption_Vegatables!D157)^Assumption_Vegatables!D154</f>
        <v>0</v>
      </c>
      <c r="C6" s="31">
        <f>Assumption_Vegatables!E11*Assumption_Vegatables!E155*Assumption_Vegatables!E156*Assumption_Vegatables!E158*(1+Assumption_Vegatables!E157)^Assumption_Vegatables!E154</f>
        <v>103020.00000000001</v>
      </c>
      <c r="D6" s="31">
        <f>Assumption_Vegatables!F11*Assumption_Vegatables!F155*Assumption_Vegatables!F156*Assumption_Vegatables!F159*(1+Assumption_Vegatables!F157)^Assumption_Vegatables!F154</f>
        <v>408040</v>
      </c>
      <c r="E6" s="188">
        <f>Assumption_Vegatables!G11*Assumption_Vegatables!G155*Assumption_Vegatables!G156*Assumption_Vegatables!G159*(1+Assumption_Vegatables!G157)^Assumption_Vegatables!G154*(1+Assumption_Vegatables!$X140)</f>
        <v>634913.33217812493</v>
      </c>
      <c r="F6" s="31">
        <f>Assumption_Vegatables!H11*Assumption_Vegatables!H155*Assumption_Vegatables!H156*Assumption_Vegatables!H159*(1+Assumption_Vegatables!H157)^Assumption_Vegatables!H154</f>
        <v>936543.60900000005</v>
      </c>
      <c r="G6" s="31">
        <f>Assumption_Vegatables!I11*Assumption_Vegatables!I155*Assumption_Vegatables!I156*Assumption_Vegatables!I159*(1+Assumption_Vegatables!I157)^Assumption_Vegatables!I154</f>
        <v>893358.54258499993</v>
      </c>
      <c r="H6" s="188">
        <f>Assumption_Vegatables!J11*Assumption_Vegatables!J155*Assumption_Vegatables!J156*Assumption_Vegatables!J159*(1+Assumption_Vegatables!J157)^Assumption_Vegatables!J154*(1+Assumption_Vegatables!$X140)</f>
        <v>603832.46866749635</v>
      </c>
      <c r="I6" s="31">
        <f>Assumption_Vegatables!K11*Assumption_Vegatables!K155*Assumption_Vegatables!K156*Assumption_Vegatables!K159*(1+Assumption_Vegatables!K157)^Assumption_Vegatables!K154</f>
        <v>375247.37323745346</v>
      </c>
      <c r="J6" s="31">
        <f>Assumption_Vegatables!L11*Assumption_Vegatables!L155*Assumption_Vegatables!L156*Assumption_Vegatables!L159*(1+Assumption_Vegatables!L157)^Assumption_Vegatables!L154</f>
        <v>108285.67056280802</v>
      </c>
      <c r="K6" s="188">
        <f>Assumption_Vegatables!M11*Assumption_Vegatables!M155*Assumption_Vegatables!M156*Assumption_Vegatables!M159*(1+Assumption_Vegatables!M157)^Assumption_Vegatables!M154*(1+Assumption_Vegatables!$X140)</f>
        <v>103688.19938343171</v>
      </c>
    </row>
    <row r="7" spans="1:12" s="12" customFormat="1" x14ac:dyDescent="0.25">
      <c r="A7" s="23" t="s">
        <v>53</v>
      </c>
      <c r="B7" s="38">
        <f>B6</f>
        <v>0</v>
      </c>
      <c r="C7" s="38">
        <f t="shared" ref="C7:K7" si="0">C6</f>
        <v>103020.00000000001</v>
      </c>
      <c r="D7" s="38">
        <f t="shared" si="0"/>
        <v>408040</v>
      </c>
      <c r="E7" s="38">
        <f t="shared" si="0"/>
        <v>634913.33217812493</v>
      </c>
      <c r="F7" s="38">
        <f t="shared" si="0"/>
        <v>936543.60900000005</v>
      </c>
      <c r="G7" s="38">
        <f t="shared" si="0"/>
        <v>893358.54258499993</v>
      </c>
      <c r="H7" s="38">
        <f t="shared" si="0"/>
        <v>603832.46866749635</v>
      </c>
      <c r="I7" s="38">
        <f t="shared" si="0"/>
        <v>375247.37323745346</v>
      </c>
      <c r="J7" s="38">
        <f t="shared" si="0"/>
        <v>108285.67056280802</v>
      </c>
      <c r="K7" s="38">
        <f t="shared" si="0"/>
        <v>103688.19938343171</v>
      </c>
    </row>
    <row r="8" spans="1:12" x14ac:dyDescent="0.25">
      <c r="A8" s="23"/>
      <c r="B8" s="421"/>
      <c r="C8" s="421"/>
      <c r="D8" s="421"/>
      <c r="E8" s="421"/>
      <c r="F8" s="421"/>
      <c r="G8" s="421"/>
      <c r="H8" s="421"/>
      <c r="I8" s="421"/>
      <c r="J8" s="421"/>
      <c r="K8" s="421"/>
    </row>
    <row r="9" spans="1:12" x14ac:dyDescent="0.25">
      <c r="A9" s="23" t="s">
        <v>20</v>
      </c>
    </row>
    <row r="10" spans="1:12" ht="30" x14ac:dyDescent="0.25">
      <c r="A10" s="9" t="str">
        <f>Assumption_Vegatables!B162</f>
        <v>Land Preparation for cultivation (fenching.etc)</v>
      </c>
      <c r="B10" s="33">
        <f>Assumption_Vegatables!D162*Assumption_Vegatables!D11</f>
        <v>0</v>
      </c>
      <c r="C10" s="33">
        <f>Assumption_Vegatables!E162*Assumption_Vegatables!E11</f>
        <v>69000</v>
      </c>
      <c r="D10" s="33">
        <f>Assumption_Vegatables!F162*Assumption_Vegatables!F11</f>
        <v>184000</v>
      </c>
      <c r="E10" s="33">
        <f>Assumption_Vegatables!G162*Assumption_Vegatables!G11</f>
        <v>299000</v>
      </c>
      <c r="F10" s="33">
        <f>Assumption_Vegatables!H162*Assumption_Vegatables!H11</f>
        <v>414000</v>
      </c>
      <c r="G10" s="33">
        <f>Assumption_Vegatables!I162*Assumption_Vegatables!I11</f>
        <v>391000</v>
      </c>
      <c r="H10" s="33">
        <f>Assumption_Vegatables!J162*Assumption_Vegatables!J11</f>
        <v>276000</v>
      </c>
      <c r="I10" s="33">
        <f>Assumption_Vegatables!K162*Assumption_Vegatables!K11</f>
        <v>161000</v>
      </c>
      <c r="J10" s="33">
        <f>Assumption_Vegatables!L162*Assumption_Vegatables!L11</f>
        <v>46000</v>
      </c>
      <c r="K10" s="33">
        <f>Assumption_Vegatables!M162*Assumption_Vegatables!M11</f>
        <v>46000</v>
      </c>
    </row>
    <row r="11" spans="1:12" x14ac:dyDescent="0.25">
      <c r="A11" s="9" t="str">
        <f>Assumption_Vegatables!B163</f>
        <v>Organic Fartilizer/Seeds/Saplings etc.</v>
      </c>
      <c r="B11" s="33">
        <f>Assumption_Vegatables!D11*Assumption_Vegatables!D163</f>
        <v>0</v>
      </c>
      <c r="C11" s="33">
        <f>Assumption_Vegatables!E11*Assumption_Vegatables!E163</f>
        <v>82993.235294117636</v>
      </c>
      <c r="D11" s="33">
        <f>Assumption_Vegatables!F11*Assumption_Vegatables!F163</f>
        <v>221315.29411764702</v>
      </c>
      <c r="E11" s="189">
        <f>Assumption_Vegatables!G11*Assumption_Vegatables!G163*(1+Assumption_Vegatables!X148)</f>
        <v>376734.51269999996</v>
      </c>
      <c r="F11" s="33">
        <f>Assumption_Vegatables!H11*Assumption_Vegatables!H163</f>
        <v>497959.41176470579</v>
      </c>
      <c r="G11" s="33">
        <f>Assumption_Vegatables!I11*Assumption_Vegatables!I163</f>
        <v>470294.99999999994</v>
      </c>
      <c r="H11" s="189">
        <f>Assumption_Vegatables!J11*Assumption_Vegatables!J163*(1+Assumption_Vegatables!AA148)</f>
        <v>338612.39999999997</v>
      </c>
      <c r="I11" s="33">
        <f>Assumption_Vegatables!K11*Assumption_Vegatables!K163</f>
        <v>193650.88235294115</v>
      </c>
      <c r="J11" s="33">
        <f>Assumption_Vegatables!L11*Assumption_Vegatables!L163</f>
        <v>55328.823529411755</v>
      </c>
      <c r="K11" s="189">
        <f>Assumption_Vegatables!M11*Assumption_Vegatables!M163*(1+Assumption_Vegatables!AD148)</f>
        <v>56435.399999999994</v>
      </c>
    </row>
    <row r="12" spans="1:12" s="50" customFormat="1" x14ac:dyDescent="0.25">
      <c r="A12" s="52" t="s">
        <v>131</v>
      </c>
      <c r="B12" s="49">
        <f>Assumption_Vegatables!D40</f>
        <v>0</v>
      </c>
      <c r="C12" s="49">
        <f>Assumption_Vegatables!E40</f>
        <v>186000</v>
      </c>
      <c r="D12" s="49">
        <f>Assumption_Vegatables!F40</f>
        <v>310000</v>
      </c>
      <c r="E12" s="49">
        <f>Assumption_Vegatables!G40</f>
        <v>310000</v>
      </c>
      <c r="F12" s="49">
        <f>Assumption_Vegatables!H40</f>
        <v>310000</v>
      </c>
      <c r="G12" s="49">
        <f>Assumption_Vegatables!I40</f>
        <v>124000</v>
      </c>
      <c r="H12" s="49">
        <f>Assumption_Vegatables!J40</f>
        <v>0</v>
      </c>
      <c r="I12" s="49">
        <f>Assumption_Vegatables!K40</f>
        <v>0</v>
      </c>
      <c r="J12" s="49">
        <f>Assumption_Vegatables!L40</f>
        <v>0</v>
      </c>
      <c r="K12" s="49">
        <f>Assumption_Vegatables!M40</f>
        <v>0</v>
      </c>
    </row>
    <row r="13" spans="1:12" x14ac:dyDescent="0.25">
      <c r="A13" s="117" t="s">
        <v>54</v>
      </c>
      <c r="B13" s="37">
        <f t="shared" ref="B13:K13" si="1">SUM(B10:B12)</f>
        <v>0</v>
      </c>
      <c r="C13" s="37">
        <f t="shared" si="1"/>
        <v>337993.23529411765</v>
      </c>
      <c r="D13" s="37">
        <f t="shared" si="1"/>
        <v>715315.29411764699</v>
      </c>
      <c r="E13" s="37">
        <f t="shared" si="1"/>
        <v>985734.51269999996</v>
      </c>
      <c r="F13" s="37">
        <f t="shared" si="1"/>
        <v>1221959.4117647058</v>
      </c>
      <c r="G13" s="37">
        <f t="shared" si="1"/>
        <v>985295</v>
      </c>
      <c r="H13" s="37">
        <f t="shared" si="1"/>
        <v>614612.39999999991</v>
      </c>
      <c r="I13" s="37">
        <f t="shared" si="1"/>
        <v>354650.88235294115</v>
      </c>
      <c r="J13" s="37">
        <f t="shared" si="1"/>
        <v>101328.82352941175</v>
      </c>
      <c r="K13" s="37">
        <f t="shared" si="1"/>
        <v>102435.4</v>
      </c>
    </row>
    <row r="14" spans="1:12" x14ac:dyDescent="0.25">
      <c r="B14" s="32"/>
      <c r="C14" s="32"/>
      <c r="D14" s="32"/>
      <c r="E14" s="32"/>
      <c r="F14" s="32"/>
      <c r="G14" s="32"/>
      <c r="H14" s="32"/>
      <c r="I14" s="32"/>
      <c r="J14" s="32"/>
      <c r="K14" s="32"/>
    </row>
    <row r="15" spans="1:12" x14ac:dyDescent="0.25">
      <c r="A15" s="23" t="s">
        <v>55</v>
      </c>
      <c r="B15" s="34">
        <f t="shared" ref="B15:K15" si="2">B7-B13</f>
        <v>0</v>
      </c>
      <c r="C15" s="34">
        <f t="shared" si="2"/>
        <v>-234973.23529411765</v>
      </c>
      <c r="D15" s="34">
        <f t="shared" si="2"/>
        <v>-307275.29411764699</v>
      </c>
      <c r="E15" s="34">
        <f t="shared" si="2"/>
        <v>-350821.18052187504</v>
      </c>
      <c r="F15" s="34">
        <f t="shared" si="2"/>
        <v>-285415.80276470573</v>
      </c>
      <c r="G15" s="34">
        <f t="shared" si="2"/>
        <v>-91936.45741500007</v>
      </c>
      <c r="H15" s="34">
        <f t="shared" si="2"/>
        <v>-10779.931332503562</v>
      </c>
      <c r="I15" s="34">
        <f t="shared" si="2"/>
        <v>20596.490884512314</v>
      </c>
      <c r="J15" s="34">
        <f t="shared" si="2"/>
        <v>6956.8470333962759</v>
      </c>
      <c r="K15" s="34">
        <f t="shared" si="2"/>
        <v>1252.7993834317167</v>
      </c>
    </row>
    <row r="16" spans="1:12" x14ac:dyDescent="0.25">
      <c r="A16" s="23"/>
      <c r="B16" s="344"/>
      <c r="C16" s="344"/>
      <c r="D16" s="344"/>
      <c r="E16" s="344"/>
      <c r="F16" s="344"/>
      <c r="G16" s="344"/>
      <c r="H16" s="344"/>
      <c r="I16" s="344"/>
      <c r="J16" s="344"/>
      <c r="K16" s="344"/>
      <c r="L16" s="12"/>
    </row>
    <row r="17" spans="1:12" x14ac:dyDescent="0.25">
      <c r="A17" s="10" t="s">
        <v>319</v>
      </c>
      <c r="B17" s="346">
        <f>B7/(1+Assumption_Vegatables!$C73)^'RCP 8.5_Vegetables'!B4</f>
        <v>0</v>
      </c>
      <c r="C17" s="346">
        <f>C7/(1+Assumption_Vegatables!$C73)^'RCP 8.5_Vegetables'!C4</f>
        <v>97188.679245283027</v>
      </c>
      <c r="D17" s="346">
        <f>D7/(1+Assumption_Vegatables!$C73)^'RCP 8.5_Vegetables'!D4</f>
        <v>363154.14738341043</v>
      </c>
      <c r="E17" s="346">
        <f>E7/(1+Assumption_Vegatables!$C73)^'RCP 8.5_Vegetables'!E4</f>
        <v>533085.47675104684</v>
      </c>
      <c r="F17" s="346">
        <f>F7/(1+Assumption_Vegatables!$C73)^'RCP 8.5_Vegetables'!F4</f>
        <v>741830.2580349663</v>
      </c>
      <c r="G17" s="346">
        <f>G7/(1+Assumption_Vegatables!$C73)^'RCP 8.5_Vegetables'!G4</f>
        <v>667569.47224635049</v>
      </c>
      <c r="H17" s="346">
        <f>H7/(1+Assumption_Vegatables!$C73)^'RCP 8.5_Vegetables'!H4</f>
        <v>425678.0634468621</v>
      </c>
      <c r="I17" s="346">
        <f>I7/(1+Assumption_Vegatables!$C73)^'RCP 8.5_Vegetables'!I4</f>
        <v>249560.93493966421</v>
      </c>
      <c r="J17" s="346">
        <f>J7/(1+Assumption_Vegatables!$C73)^'RCP 8.5_Vegetables'!J4</f>
        <v>67939.769350151197</v>
      </c>
      <c r="K17" s="346">
        <f>K7/(1+Assumption_Vegatables!$C73)^'RCP 8.5_Vegetables'!K4</f>
        <v>61372.885901248119</v>
      </c>
      <c r="L17" s="343">
        <f>SUM(B17:K17)</f>
        <v>3207379.6872989829</v>
      </c>
    </row>
    <row r="18" spans="1:12" s="12" customFormat="1" x14ac:dyDescent="0.25">
      <c r="A18" s="10" t="s">
        <v>320</v>
      </c>
      <c r="B18" s="346">
        <f>B13/(1+Assumption_Vegatables!$C73)^'RCP 8.5_Vegetables'!B4</f>
        <v>0</v>
      </c>
      <c r="C18" s="346">
        <f>C13/(1+Assumption_Vegatables!$C73)^'RCP 8.5_Vegetables'!C4</f>
        <v>318861.54273029964</v>
      </c>
      <c r="D18" s="346">
        <f>D13/(1+Assumption_Vegatables!$C73)^'RCP 8.5_Vegetables'!D4</f>
        <v>636628.06525244471</v>
      </c>
      <c r="E18" s="346">
        <f>E13/(1+Assumption_Vegatables!$C73)^'RCP 8.5_Vegetables'!E4</f>
        <v>827641.7048133692</v>
      </c>
      <c r="F18" s="346">
        <f>F13/(1+Assumption_Vegatables!$C73)^'RCP 8.5_Vegetables'!F4</f>
        <v>967906.30679288239</v>
      </c>
      <c r="G18" s="346">
        <f>G13/(1+Assumption_Vegatables!$C73)^'RCP 8.5_Vegetables'!G4</f>
        <v>736269.74143406155</v>
      </c>
      <c r="H18" s="346">
        <f>H13/(1+Assumption_Vegatables!$C73)^'RCP 8.5_Vegetables'!H4</f>
        <v>433277.48966492643</v>
      </c>
      <c r="I18" s="346">
        <f>I13/(1+Assumption_Vegatables!$C73)^'RCP 8.5_Vegetables'!I4</f>
        <v>235863.09216126171</v>
      </c>
      <c r="J18" s="346">
        <f>J13/(1+Assumption_Vegatables!$C73)^'RCP 8.5_Vegetables'!J4</f>
        <v>63574.95745586569</v>
      </c>
      <c r="K18" s="346">
        <f>K13/(1+Assumption_Vegatables!$C73)^'RCP 8.5_Vegetables'!K4</f>
        <v>60631.35587108352</v>
      </c>
      <c r="L18" s="343">
        <f>SUM(B18:K18)</f>
        <v>4280654.2561761942</v>
      </c>
    </row>
    <row r="19" spans="1:12" x14ac:dyDescent="0.25">
      <c r="B19" s="32"/>
      <c r="C19" s="32"/>
      <c r="D19" s="32"/>
      <c r="E19" s="32"/>
      <c r="F19" s="32"/>
      <c r="G19" s="32"/>
      <c r="H19" s="32"/>
      <c r="I19" s="32"/>
      <c r="J19" s="32"/>
      <c r="K19" s="32"/>
      <c r="L19" s="12"/>
    </row>
    <row r="20" spans="1:12" s="12" customFormat="1" x14ac:dyDescent="0.25">
      <c r="A20" s="25" t="s">
        <v>318</v>
      </c>
      <c r="B20" s="35">
        <f>NPV(Assumption_Vegatables!$C73,C15:K15)+B15</f>
        <v>-1073274.568877212</v>
      </c>
      <c r="C20" s="40"/>
      <c r="D20" s="40"/>
      <c r="E20" s="40"/>
      <c r="F20" s="40"/>
      <c r="G20" s="40"/>
      <c r="H20" s="40"/>
      <c r="I20" s="40"/>
      <c r="J20" s="40"/>
      <c r="K20" s="40"/>
    </row>
    <row r="22" spans="1:12" s="12" customFormat="1" x14ac:dyDescent="0.25">
      <c r="A22" s="25" t="s">
        <v>238</v>
      </c>
      <c r="B22" s="36" t="e">
        <f>IRR(B15:K15)</f>
        <v>#NUM!</v>
      </c>
      <c r="C22" s="4"/>
      <c r="D22" s="4"/>
      <c r="E22" s="4"/>
      <c r="F22" s="4"/>
      <c r="G22" s="4"/>
      <c r="H22" s="4"/>
      <c r="I22" s="4"/>
      <c r="J22" s="4"/>
      <c r="K22" s="4"/>
    </row>
    <row r="25" spans="1:12" s="1" customFormat="1" x14ac:dyDescent="0.25">
      <c r="A25" s="24"/>
      <c r="B25" s="42"/>
      <c r="C25" s="42"/>
      <c r="D25" s="42"/>
      <c r="E25" s="42"/>
      <c r="F25" s="42"/>
      <c r="G25" s="42"/>
      <c r="H25" s="42"/>
      <c r="I25" s="42"/>
      <c r="J25" s="42"/>
      <c r="K25" s="42"/>
    </row>
    <row r="27" spans="1:12" ht="38.25" customHeight="1" x14ac:dyDescent="0.25">
      <c r="A27" s="11" t="str">
        <f>A2</f>
        <v>Aggregate Economic Analysis</v>
      </c>
      <c r="B27" s="30"/>
      <c r="C27" s="69"/>
      <c r="D27" s="70"/>
      <c r="E27" s="30"/>
      <c r="F27" s="116" t="s">
        <v>90</v>
      </c>
      <c r="G27" s="30"/>
      <c r="H27" s="30"/>
      <c r="I27" s="30"/>
      <c r="J27" s="30"/>
      <c r="K27" s="30"/>
    </row>
    <row r="28" spans="1:12" ht="38.25" customHeight="1" x14ac:dyDescent="0.25">
      <c r="A28" s="11"/>
      <c r="B28" s="30"/>
      <c r="C28" s="69"/>
      <c r="D28" s="70"/>
      <c r="E28" s="30"/>
      <c r="F28" s="116"/>
      <c r="G28" s="30"/>
      <c r="H28" s="30"/>
      <c r="I28" s="30"/>
      <c r="J28" s="30"/>
      <c r="K28" s="30"/>
    </row>
    <row r="29" spans="1:12" x14ac:dyDescent="0.25">
      <c r="A29" s="10" t="s">
        <v>19</v>
      </c>
      <c r="B29" s="26">
        <v>0</v>
      </c>
      <c r="C29" s="26">
        <v>1</v>
      </c>
      <c r="D29" s="26">
        <v>2</v>
      </c>
      <c r="E29" s="26">
        <v>3</v>
      </c>
      <c r="F29" s="26">
        <v>4</v>
      </c>
      <c r="G29" s="26">
        <v>5</v>
      </c>
      <c r="H29" s="26">
        <v>6</v>
      </c>
      <c r="I29" s="26">
        <v>7</v>
      </c>
      <c r="J29" s="26">
        <v>8</v>
      </c>
      <c r="K29" s="26">
        <v>9</v>
      </c>
    </row>
    <row r="30" spans="1:12" x14ac:dyDescent="0.25">
      <c r="A30" s="23" t="str">
        <f>A5</f>
        <v>Benefits</v>
      </c>
    </row>
    <row r="31" spans="1:12" x14ac:dyDescent="0.25">
      <c r="A31" s="10" t="str">
        <f>A6</f>
        <v>Vagetable Sale ($)</v>
      </c>
      <c r="B31" s="31">
        <f t="shared" ref="B31:K31" si="3">B6</f>
        <v>0</v>
      </c>
      <c r="C31" s="31">
        <f t="shared" si="3"/>
        <v>103020.00000000001</v>
      </c>
      <c r="D31" s="31">
        <f t="shared" si="3"/>
        <v>408040</v>
      </c>
      <c r="E31" s="31">
        <f t="shared" si="3"/>
        <v>634913.33217812493</v>
      </c>
      <c r="F31" s="31">
        <f t="shared" si="3"/>
        <v>936543.60900000005</v>
      </c>
      <c r="G31" s="31">
        <f t="shared" si="3"/>
        <v>893358.54258499993</v>
      </c>
      <c r="H31" s="31">
        <f t="shared" si="3"/>
        <v>603832.46866749635</v>
      </c>
      <c r="I31" s="31">
        <f t="shared" si="3"/>
        <v>375247.37323745346</v>
      </c>
      <c r="J31" s="31">
        <f t="shared" si="3"/>
        <v>108285.67056280802</v>
      </c>
      <c r="K31" s="31">
        <f t="shared" si="3"/>
        <v>103688.19938343171</v>
      </c>
    </row>
    <row r="32" spans="1:12" s="377" customFormat="1" x14ac:dyDescent="0.25">
      <c r="A32" s="376" t="str">
        <f>'RCP 4.5_Vegetables'!A32</f>
        <v>Consumption price of vegetables</v>
      </c>
      <c r="B32" s="136">
        <f>'RCP 4.5_Vegetables'!B32</f>
        <v>0</v>
      </c>
      <c r="C32" s="136">
        <f>'RCP 4.5_Vegetables'!C32</f>
        <v>502980</v>
      </c>
      <c r="D32" s="136">
        <f>'RCP 4.5_Vegetables'!D32</f>
        <v>1224120</v>
      </c>
      <c r="E32" s="136">
        <f>'RCP 4.5_Vegetables'!E32</f>
        <v>1933746.1893750001</v>
      </c>
      <c r="F32" s="136">
        <f>'RCP 4.5_Vegetables'!F32</f>
        <v>2809630.827</v>
      </c>
      <c r="G32" s="136">
        <f>'RCP 4.5_Vegetables'!G32</f>
        <v>2680075.6277549998</v>
      </c>
      <c r="H32" s="136">
        <f>'RCP 4.5_Vegetables'!H32</f>
        <v>1839083.6609162325</v>
      </c>
      <c r="I32" s="136">
        <f>'RCP 4.5_Vegetables'!I32</f>
        <v>1125742.1197123604</v>
      </c>
      <c r="J32" s="136">
        <f>'RCP 4.5_Vegetables'!J32</f>
        <v>324857.01168842404</v>
      </c>
      <c r="K32" s="136">
        <f>'RCP 4.5_Vegetables'!K32</f>
        <v>315801.62248760927</v>
      </c>
    </row>
    <row r="33" spans="1:12" s="12" customFormat="1" x14ac:dyDescent="0.25">
      <c r="A33" s="23" t="s">
        <v>53</v>
      </c>
      <c r="B33" s="38">
        <f>B31+B32</f>
        <v>0</v>
      </c>
      <c r="C33" s="38">
        <f t="shared" ref="C33:K33" si="4">C31+C32</f>
        <v>606000</v>
      </c>
      <c r="D33" s="38">
        <f t="shared" si="4"/>
        <v>1632160</v>
      </c>
      <c r="E33" s="38">
        <f t="shared" si="4"/>
        <v>2568659.5215531252</v>
      </c>
      <c r="F33" s="38">
        <f t="shared" si="4"/>
        <v>3746174.4360000002</v>
      </c>
      <c r="G33" s="38">
        <f t="shared" si="4"/>
        <v>3573434.1703399997</v>
      </c>
      <c r="H33" s="38">
        <f t="shared" si="4"/>
        <v>2442916.129583729</v>
      </c>
      <c r="I33" s="38">
        <f t="shared" si="4"/>
        <v>1500989.4929498138</v>
      </c>
      <c r="J33" s="38">
        <f t="shared" si="4"/>
        <v>433142.68225123209</v>
      </c>
      <c r="K33" s="38">
        <f t="shared" si="4"/>
        <v>419489.82187104097</v>
      </c>
    </row>
    <row r="34" spans="1:12" x14ac:dyDescent="0.25">
      <c r="A34" s="23"/>
      <c r="B34" s="41"/>
      <c r="C34" s="41"/>
      <c r="D34" s="41"/>
      <c r="E34" s="41"/>
      <c r="F34" s="41"/>
      <c r="G34" s="41"/>
      <c r="H34" s="41"/>
      <c r="I34" s="41"/>
      <c r="J34" s="41"/>
      <c r="K34" s="41"/>
    </row>
    <row r="35" spans="1:12" x14ac:dyDescent="0.25">
      <c r="A35" s="23" t="s">
        <v>20</v>
      </c>
    </row>
    <row r="36" spans="1:12" ht="30" x14ac:dyDescent="0.25">
      <c r="A36" s="9" t="str">
        <f t="shared" ref="A36:K36" si="5">A10</f>
        <v>Land Preparation for cultivation (fenching.etc)</v>
      </c>
      <c r="B36" s="33">
        <f t="shared" si="5"/>
        <v>0</v>
      </c>
      <c r="C36" s="33">
        <f t="shared" si="5"/>
        <v>69000</v>
      </c>
      <c r="D36" s="33">
        <f t="shared" si="5"/>
        <v>184000</v>
      </c>
      <c r="E36" s="33">
        <f t="shared" si="5"/>
        <v>299000</v>
      </c>
      <c r="F36" s="33">
        <f t="shared" si="5"/>
        <v>414000</v>
      </c>
      <c r="G36" s="33">
        <f t="shared" si="5"/>
        <v>391000</v>
      </c>
      <c r="H36" s="33">
        <f t="shared" si="5"/>
        <v>276000</v>
      </c>
      <c r="I36" s="33">
        <f t="shared" si="5"/>
        <v>161000</v>
      </c>
      <c r="J36" s="33">
        <f t="shared" si="5"/>
        <v>46000</v>
      </c>
      <c r="K36" s="33">
        <f t="shared" si="5"/>
        <v>46000</v>
      </c>
    </row>
    <row r="37" spans="1:12" x14ac:dyDescent="0.25">
      <c r="A37" s="9" t="str">
        <f t="shared" ref="A37:K37" si="6">A11</f>
        <v>Organic Fartilizer/Seeds/Saplings etc.</v>
      </c>
      <c r="B37" s="33">
        <f t="shared" si="6"/>
        <v>0</v>
      </c>
      <c r="C37" s="33">
        <f t="shared" si="6"/>
        <v>82993.235294117636</v>
      </c>
      <c r="D37" s="33">
        <f t="shared" si="6"/>
        <v>221315.29411764702</v>
      </c>
      <c r="E37" s="33">
        <f t="shared" si="6"/>
        <v>376734.51269999996</v>
      </c>
      <c r="F37" s="33">
        <f t="shared" si="6"/>
        <v>497959.41176470579</v>
      </c>
      <c r="G37" s="33">
        <f t="shared" si="6"/>
        <v>470294.99999999994</v>
      </c>
      <c r="H37" s="33">
        <f t="shared" si="6"/>
        <v>338612.39999999997</v>
      </c>
      <c r="I37" s="33">
        <f t="shared" si="6"/>
        <v>193650.88235294115</v>
      </c>
      <c r="J37" s="33">
        <f t="shared" si="6"/>
        <v>55328.823529411755</v>
      </c>
      <c r="K37" s="33">
        <f t="shared" si="6"/>
        <v>56435.399999999994</v>
      </c>
    </row>
    <row r="38" spans="1:12" s="50" customFormat="1" x14ac:dyDescent="0.25">
      <c r="A38" s="52" t="s">
        <v>131</v>
      </c>
      <c r="B38" s="49">
        <f>Assumption_Vegatables!D50</f>
        <v>0</v>
      </c>
      <c r="C38" s="49">
        <f>Assumption_Vegatables!E50</f>
        <v>93000</v>
      </c>
      <c r="D38" s="49">
        <f>Assumption_Vegatables!F50</f>
        <v>155000</v>
      </c>
      <c r="E38" s="49">
        <f>Assumption_Vegatables!G50</f>
        <v>155000</v>
      </c>
      <c r="F38" s="49">
        <f>Assumption_Vegatables!H50</f>
        <v>155000</v>
      </c>
      <c r="G38" s="49">
        <f>Assumption_Vegatables!I50</f>
        <v>62000</v>
      </c>
      <c r="H38" s="49">
        <f>Assumption_Vegatables!J50</f>
        <v>0</v>
      </c>
      <c r="I38" s="49">
        <f>Assumption_Vegatables!K50</f>
        <v>0</v>
      </c>
      <c r="J38" s="49">
        <f>Assumption_Vegatables!L50</f>
        <v>0</v>
      </c>
      <c r="K38" s="49">
        <f>Assumption_Vegatables!M50</f>
        <v>0</v>
      </c>
    </row>
    <row r="39" spans="1:12" s="377" customFormat="1" ht="27" customHeight="1" x14ac:dyDescent="0.25">
      <c r="A39" s="121" t="str">
        <f>'RCP 4.5_Vegetables'!A39</f>
        <v>Opportunity cost of labor by women households</v>
      </c>
      <c r="B39" s="425">
        <f>'RCP 4.5_Vegetables'!B39</f>
        <v>0</v>
      </c>
      <c r="C39" s="425">
        <f>'RCP 4.5_Vegetables'!C39</f>
        <v>445410</v>
      </c>
      <c r="D39" s="425">
        <f>'RCP 4.5_Vegetables'!D39</f>
        <v>1199637.6000000001</v>
      </c>
      <c r="E39" s="425">
        <f>'RCP 4.5_Vegetables'!E39</f>
        <v>1968905.2109999999</v>
      </c>
      <c r="F39" s="425">
        <f>'RCP 4.5_Vegetables'!F39</f>
        <v>2753438.2104600002</v>
      </c>
      <c r="G39" s="425">
        <f>'RCP 4.5_Vegetables'!G39</f>
        <v>2626474.1151998998</v>
      </c>
      <c r="H39" s="425">
        <f>'RCP 4.5_Vegetables'!H39</f>
        <v>1872521.5456601642</v>
      </c>
      <c r="I39" s="425">
        <f>'RCP 4.5_Vegetables'!I39</f>
        <v>1103227.277318113</v>
      </c>
      <c r="J39" s="425">
        <f>'RCP 4.5_Vegetables'!J39</f>
        <v>318359.8714546556</v>
      </c>
      <c r="K39" s="425">
        <f>'RCP 4.5_Vegetables'!K39</f>
        <v>321543.47016920219</v>
      </c>
    </row>
    <row r="40" spans="1:12" x14ac:dyDescent="0.25">
      <c r="A40" s="117" t="s">
        <v>54</v>
      </c>
      <c r="B40" s="37">
        <f>SUM(B36:B39)</f>
        <v>0</v>
      </c>
      <c r="C40" s="37">
        <f t="shared" ref="C40:K40" si="7">SUM(C36:C39)</f>
        <v>690403.23529411759</v>
      </c>
      <c r="D40" s="37">
        <f t="shared" si="7"/>
        <v>1759952.8941176471</v>
      </c>
      <c r="E40" s="37">
        <f t="shared" si="7"/>
        <v>2799639.7237</v>
      </c>
      <c r="F40" s="37">
        <f t="shared" si="7"/>
        <v>3820397.6222247062</v>
      </c>
      <c r="G40" s="37">
        <f t="shared" si="7"/>
        <v>3549769.1151998998</v>
      </c>
      <c r="H40" s="37">
        <f t="shared" si="7"/>
        <v>2487133.9456601641</v>
      </c>
      <c r="I40" s="37">
        <f t="shared" si="7"/>
        <v>1457878.1596710542</v>
      </c>
      <c r="J40" s="37">
        <f t="shared" si="7"/>
        <v>419688.69498406735</v>
      </c>
      <c r="K40" s="37">
        <f t="shared" si="7"/>
        <v>423978.87016920222</v>
      </c>
    </row>
    <row r="41" spans="1:12" x14ac:dyDescent="0.25">
      <c r="B41" s="32"/>
      <c r="C41" s="32"/>
      <c r="D41" s="32"/>
      <c r="E41" s="32"/>
      <c r="F41" s="32"/>
      <c r="G41" s="32"/>
      <c r="H41" s="32"/>
      <c r="I41" s="32"/>
      <c r="J41" s="32"/>
      <c r="K41" s="32"/>
    </row>
    <row r="42" spans="1:12" x14ac:dyDescent="0.25">
      <c r="A42" s="23" t="s">
        <v>55</v>
      </c>
      <c r="B42" s="34">
        <f t="shared" ref="B42:K42" si="8">B33-B40</f>
        <v>0</v>
      </c>
      <c r="C42" s="34">
        <f t="shared" si="8"/>
        <v>-84403.235294117592</v>
      </c>
      <c r="D42" s="34">
        <f t="shared" si="8"/>
        <v>-127792.89411764708</v>
      </c>
      <c r="E42" s="34">
        <f t="shared" si="8"/>
        <v>-230980.20214687474</v>
      </c>
      <c r="F42" s="34">
        <f t="shared" si="8"/>
        <v>-74223.186224706005</v>
      </c>
      <c r="G42" s="34">
        <f t="shared" si="8"/>
        <v>23665.055140099954</v>
      </c>
      <c r="H42" s="34">
        <f t="shared" si="8"/>
        <v>-44217.816076435149</v>
      </c>
      <c r="I42" s="34">
        <f t="shared" si="8"/>
        <v>43111.333278759615</v>
      </c>
      <c r="J42" s="34">
        <f t="shared" si="8"/>
        <v>13453.987267164746</v>
      </c>
      <c r="K42" s="34">
        <f t="shared" si="8"/>
        <v>-4489.048298161244</v>
      </c>
    </row>
    <row r="43" spans="1:12" x14ac:dyDescent="0.25">
      <c r="B43" s="32"/>
      <c r="C43" s="32"/>
      <c r="D43" s="32"/>
      <c r="E43" s="32"/>
      <c r="F43" s="32"/>
      <c r="G43" s="32"/>
      <c r="H43" s="32"/>
      <c r="I43" s="32"/>
      <c r="J43" s="32"/>
      <c r="K43" s="32"/>
    </row>
    <row r="44" spans="1:12" s="12" customFormat="1" x14ac:dyDescent="0.25">
      <c r="A44" s="10" t="s">
        <v>319</v>
      </c>
      <c r="B44" s="346">
        <f>B33/(1+Assumption_Vegatables!$C73)^'RCP 8.5_Vegetables'!B29</f>
        <v>0</v>
      </c>
      <c r="C44" s="346">
        <f>C33/(1+Assumption_Vegatables!$C73)^'RCP 8.5_Vegetables'!C29</f>
        <v>571698.11320754711</v>
      </c>
      <c r="D44" s="346">
        <f>D33/(1+Assumption_Vegatables!$C73)^'RCP 8.5_Vegetables'!D29</f>
        <v>1452616.5895336417</v>
      </c>
      <c r="E44" s="346">
        <f>E33/(1+Assumption_Vegatables!$C73)^'RCP 8.5_Vegetables'!E29</f>
        <v>2156696.0658405297</v>
      </c>
      <c r="F44" s="346">
        <f>F33/(1+Assumption_Vegatables!$C73)^'RCP 8.5_Vegetables'!F29</f>
        <v>2967321.0321398652</v>
      </c>
      <c r="G44" s="346">
        <f>G33/(1+Assumption_Vegatables!$C73)^'RCP 8.5_Vegetables'!G29</f>
        <v>2670277.888985402</v>
      </c>
      <c r="H44" s="346">
        <f>H33/(1+Assumption_Vegatables!$C73)^'RCP 8.5_Vegetables'!H29</f>
        <v>1722159.4749601479</v>
      </c>
      <c r="I44" s="346">
        <f>I33/(1+Assumption_Vegatables!$C73)^'RCP 8.5_Vegetables'!I29</f>
        <v>998243.73975865683</v>
      </c>
      <c r="J44" s="346">
        <f>J33/(1+Assumption_Vegatables!$C73)^'RCP 8.5_Vegetables'!J29</f>
        <v>271759.07740060479</v>
      </c>
      <c r="K44" s="346">
        <f>K33/(1+Assumption_Vegatables!$C73)^'RCP 8.5_Vegetables'!K29</f>
        <v>248295.38103195303</v>
      </c>
      <c r="L44" s="343">
        <f>SUM(B44:K44)</f>
        <v>13059067.362858348</v>
      </c>
    </row>
    <row r="45" spans="1:12" s="12" customFormat="1" x14ac:dyDescent="0.25">
      <c r="A45" s="10" t="s">
        <v>320</v>
      </c>
      <c r="B45" s="346">
        <f>B40/(1+Assumption_Vegatables!$C73)^'RCP 8.5_Vegetables'!B29</f>
        <v>0</v>
      </c>
      <c r="C45" s="346">
        <f>C40/(1+Assumption_Vegatables!$C73)^'RCP 8.5_Vegetables'!C29</f>
        <v>651323.80688124301</v>
      </c>
      <c r="D45" s="346">
        <f>D40/(1+Assumption_Vegatables!$C73)^'RCP 8.5_Vegetables'!D29</f>
        <v>1566351.8103574642</v>
      </c>
      <c r="E45" s="346">
        <f>E40/(1+Assumption_Vegatables!$C73)^'RCP 8.5_Vegetables'!E29</f>
        <v>2350631.4975617449</v>
      </c>
      <c r="F45" s="346">
        <f>F40/(1+Assumption_Vegatables!$C73)^'RCP 8.5_Vegetables'!F29</f>
        <v>3026112.7476137904</v>
      </c>
      <c r="G45" s="346">
        <f>G40/(1+Assumption_Vegatables!$C73)^'RCP 8.5_Vegetables'!G29</f>
        <v>2652593.9831206365</v>
      </c>
      <c r="H45" s="346">
        <f>H40/(1+Assumption_Vegatables!$C73)^'RCP 8.5_Vegetables'!H29</f>
        <v>1753331.2904784537</v>
      </c>
      <c r="I45" s="346">
        <f>I40/(1+Assumption_Vegatables!$C73)^'RCP 8.5_Vegetables'!I29</f>
        <v>969572.24088387447</v>
      </c>
      <c r="J45" s="346">
        <f>J40/(1+Assumption_Vegatables!$C73)^'RCP 8.5_Vegetables'!J29</f>
        <v>263317.87934531021</v>
      </c>
      <c r="K45" s="346">
        <f>K40/(1+Assumption_Vegatables!$C73)^'RCP 8.5_Vegetables'!K29</f>
        <v>250952.44182234674</v>
      </c>
      <c r="L45" s="343">
        <f>SUM(B45:K45)</f>
        <v>13484187.698064864</v>
      </c>
    </row>
    <row r="46" spans="1:12" x14ac:dyDescent="0.25">
      <c r="B46" s="32"/>
      <c r="C46" s="32"/>
      <c r="D46" s="32"/>
      <c r="E46" s="32"/>
      <c r="F46" s="32"/>
      <c r="G46" s="32"/>
      <c r="H46" s="32"/>
      <c r="I46" s="32"/>
      <c r="J46" s="32"/>
      <c r="K46" s="32"/>
    </row>
    <row r="47" spans="1:12" s="12" customFormat="1" x14ac:dyDescent="0.25">
      <c r="A47" s="25" t="s">
        <v>318</v>
      </c>
      <c r="B47" s="35">
        <f>NPV(Assumption_Hatchery!C76,C42:K42)+B42</f>
        <v>-425120.33520651574</v>
      </c>
      <c r="C47" s="40"/>
      <c r="D47" s="40"/>
      <c r="E47" s="40"/>
      <c r="F47" s="40"/>
      <c r="G47" s="40"/>
      <c r="H47" s="40"/>
      <c r="I47" s="40"/>
      <c r="J47" s="40"/>
      <c r="K47" s="40"/>
    </row>
    <row r="49" spans="1:11" s="12" customFormat="1" x14ac:dyDescent="0.25">
      <c r="A49" s="25" t="s">
        <v>238</v>
      </c>
      <c r="B49" s="36" t="e">
        <f>IRR(B42:K42)</f>
        <v>#NUM!</v>
      </c>
      <c r="C49" s="4"/>
      <c r="D49" s="4"/>
      <c r="E49" s="4"/>
      <c r="F49" s="4"/>
      <c r="G49" s="4"/>
      <c r="H49" s="4"/>
      <c r="I49" s="4"/>
      <c r="J49" s="4"/>
      <c r="K49" s="4"/>
    </row>
    <row r="51" spans="1:11" ht="38.25" customHeight="1" x14ac:dyDescent="0.25">
      <c r="A51" s="11"/>
      <c r="B51" s="30"/>
      <c r="C51" s="69"/>
      <c r="D51" s="70"/>
      <c r="E51" s="30"/>
      <c r="F51" s="116"/>
      <c r="G51" s="30"/>
      <c r="H51" s="30"/>
      <c r="I51" s="30"/>
      <c r="J51" s="30"/>
      <c r="K51" s="30"/>
    </row>
    <row r="52" spans="1:11" s="1" customFormat="1" x14ac:dyDescent="0.25">
      <c r="A52" s="24"/>
      <c r="B52" s="42"/>
      <c r="C52" s="42"/>
      <c r="D52" s="42"/>
      <c r="E52" s="42"/>
      <c r="F52" s="42"/>
      <c r="G52" s="42"/>
      <c r="H52" s="42"/>
      <c r="I52" s="42"/>
      <c r="J52" s="42"/>
      <c r="K52" s="42"/>
    </row>
    <row r="54" spans="1:11" ht="26.25" x14ac:dyDescent="0.25">
      <c r="F54" s="19" t="s">
        <v>92</v>
      </c>
    </row>
    <row r="55" spans="1:11" ht="38.25" customHeight="1" x14ac:dyDescent="0.25">
      <c r="A55" s="11" t="str">
        <f>A2</f>
        <v>Aggregate Economic Analysis</v>
      </c>
      <c r="B55" s="30"/>
      <c r="C55" s="69"/>
      <c r="D55" s="70"/>
      <c r="E55" s="30"/>
      <c r="F55" s="30"/>
      <c r="G55" s="30"/>
      <c r="H55" s="30"/>
      <c r="I55" s="30"/>
      <c r="J55" s="30"/>
      <c r="K55" s="30"/>
    </row>
    <row r="57" spans="1:11" x14ac:dyDescent="0.25">
      <c r="A57" s="10" t="s">
        <v>19</v>
      </c>
      <c r="B57" s="26">
        <v>0</v>
      </c>
      <c r="C57" s="26">
        <v>1</v>
      </c>
      <c r="D57" s="26">
        <v>2</v>
      </c>
      <c r="E57" s="26">
        <v>3</v>
      </c>
      <c r="F57" s="26">
        <v>4</v>
      </c>
      <c r="G57" s="26">
        <v>5</v>
      </c>
      <c r="H57" s="26">
        <v>6</v>
      </c>
      <c r="I57" s="26">
        <v>7</v>
      </c>
      <c r="J57" s="26">
        <v>8</v>
      </c>
      <c r="K57" s="26">
        <v>9</v>
      </c>
    </row>
    <row r="58" spans="1:11" x14ac:dyDescent="0.25">
      <c r="A58" s="23" t="str">
        <f>A5</f>
        <v>Benefits</v>
      </c>
    </row>
    <row r="59" spans="1:11" x14ac:dyDescent="0.25">
      <c r="A59" s="10" t="str">
        <f>A6</f>
        <v>Vagetable Sale ($)</v>
      </c>
      <c r="B59" s="31">
        <f t="shared" ref="B59:K59" si="9">B6</f>
        <v>0</v>
      </c>
      <c r="C59" s="31">
        <f t="shared" si="9"/>
        <v>103020.00000000001</v>
      </c>
      <c r="D59" s="31">
        <f t="shared" si="9"/>
        <v>408040</v>
      </c>
      <c r="E59" s="31">
        <f t="shared" si="9"/>
        <v>634913.33217812493</v>
      </c>
      <c r="F59" s="31">
        <f t="shared" si="9"/>
        <v>936543.60900000005</v>
      </c>
      <c r="G59" s="31">
        <f t="shared" si="9"/>
        <v>893358.54258499993</v>
      </c>
      <c r="H59" s="31">
        <f t="shared" si="9"/>
        <v>603832.46866749635</v>
      </c>
      <c r="I59" s="31">
        <f t="shared" si="9"/>
        <v>375247.37323745346</v>
      </c>
      <c r="J59" s="31">
        <f t="shared" si="9"/>
        <v>108285.67056280802</v>
      </c>
      <c r="K59" s="31">
        <f t="shared" si="9"/>
        <v>103688.19938343171</v>
      </c>
    </row>
    <row r="60" spans="1:11" x14ac:dyDescent="0.25">
      <c r="A60" s="10" t="str">
        <f>A32</f>
        <v>Consumption price of vegetables</v>
      </c>
      <c r="B60" s="31">
        <f>B32</f>
        <v>0</v>
      </c>
      <c r="C60" s="31">
        <f t="shared" ref="C60:K60" si="10">C32</f>
        <v>502980</v>
      </c>
      <c r="D60" s="31">
        <f t="shared" si="10"/>
        <v>1224120</v>
      </c>
      <c r="E60" s="31">
        <f t="shared" si="10"/>
        <v>1933746.1893750001</v>
      </c>
      <c r="F60" s="31">
        <f t="shared" si="10"/>
        <v>2809630.827</v>
      </c>
      <c r="G60" s="31">
        <f t="shared" si="10"/>
        <v>2680075.6277549998</v>
      </c>
      <c r="H60" s="31">
        <f t="shared" si="10"/>
        <v>1839083.6609162325</v>
      </c>
      <c r="I60" s="31">
        <f t="shared" si="10"/>
        <v>1125742.1197123604</v>
      </c>
      <c r="J60" s="31">
        <f t="shared" si="10"/>
        <v>324857.01168842404</v>
      </c>
      <c r="K60" s="31">
        <f t="shared" si="10"/>
        <v>315801.62248760927</v>
      </c>
    </row>
    <row r="61" spans="1:11" s="12" customFormat="1" x14ac:dyDescent="0.25">
      <c r="A61" s="23" t="s">
        <v>53</v>
      </c>
      <c r="B61" s="38">
        <f>B59+B60</f>
        <v>0</v>
      </c>
      <c r="C61" s="38">
        <f t="shared" ref="C61:K61" si="11">C59+C60</f>
        <v>606000</v>
      </c>
      <c r="D61" s="38">
        <f t="shared" si="11"/>
        <v>1632160</v>
      </c>
      <c r="E61" s="38">
        <f t="shared" si="11"/>
        <v>2568659.5215531252</v>
      </c>
      <c r="F61" s="38">
        <f t="shared" si="11"/>
        <v>3746174.4360000002</v>
      </c>
      <c r="G61" s="38">
        <f t="shared" si="11"/>
        <v>3573434.1703399997</v>
      </c>
      <c r="H61" s="38">
        <f t="shared" si="11"/>
        <v>2442916.129583729</v>
      </c>
      <c r="I61" s="38">
        <f t="shared" si="11"/>
        <v>1500989.4929498138</v>
      </c>
      <c r="J61" s="38">
        <f t="shared" si="11"/>
        <v>433142.68225123209</v>
      </c>
      <c r="K61" s="38">
        <f t="shared" si="11"/>
        <v>419489.82187104097</v>
      </c>
    </row>
    <row r="62" spans="1:11" x14ac:dyDescent="0.25">
      <c r="A62" s="23"/>
      <c r="B62" s="41"/>
      <c r="C62" s="41"/>
      <c r="D62" s="41"/>
      <c r="E62" s="41"/>
      <c r="F62" s="41"/>
      <c r="G62" s="41"/>
      <c r="H62" s="41"/>
      <c r="I62" s="41"/>
      <c r="J62" s="41"/>
      <c r="K62" s="41"/>
    </row>
    <row r="63" spans="1:11" x14ac:dyDescent="0.25">
      <c r="A63" s="23" t="s">
        <v>20</v>
      </c>
    </row>
    <row r="64" spans="1:11" ht="30" x14ac:dyDescent="0.25">
      <c r="A64" s="9" t="str">
        <f t="shared" ref="A64:K64" si="12">A10</f>
        <v>Land Preparation for cultivation (fenching.etc)</v>
      </c>
      <c r="B64" s="33">
        <f t="shared" si="12"/>
        <v>0</v>
      </c>
      <c r="C64" s="33">
        <f t="shared" si="12"/>
        <v>69000</v>
      </c>
      <c r="D64" s="33">
        <f t="shared" si="12"/>
        <v>184000</v>
      </c>
      <c r="E64" s="33">
        <f t="shared" si="12"/>
        <v>299000</v>
      </c>
      <c r="F64" s="33">
        <f t="shared" si="12"/>
        <v>414000</v>
      </c>
      <c r="G64" s="33">
        <f t="shared" si="12"/>
        <v>391000</v>
      </c>
      <c r="H64" s="33">
        <f t="shared" si="12"/>
        <v>276000</v>
      </c>
      <c r="I64" s="33">
        <f t="shared" si="12"/>
        <v>161000</v>
      </c>
      <c r="J64" s="33">
        <f t="shared" si="12"/>
        <v>46000</v>
      </c>
      <c r="K64" s="33">
        <f t="shared" si="12"/>
        <v>46000</v>
      </c>
    </row>
    <row r="65" spans="1:12" x14ac:dyDescent="0.25">
      <c r="A65" s="9" t="str">
        <f t="shared" ref="A65:K65" si="13">A11</f>
        <v>Organic Fartilizer/Seeds/Saplings etc.</v>
      </c>
      <c r="B65" s="33">
        <f t="shared" si="13"/>
        <v>0</v>
      </c>
      <c r="C65" s="33">
        <f t="shared" si="13"/>
        <v>82993.235294117636</v>
      </c>
      <c r="D65" s="33">
        <f t="shared" si="13"/>
        <v>221315.29411764702</v>
      </c>
      <c r="E65" s="33">
        <f t="shared" si="13"/>
        <v>376734.51269999996</v>
      </c>
      <c r="F65" s="33">
        <f t="shared" si="13"/>
        <v>497959.41176470579</v>
      </c>
      <c r="G65" s="33">
        <f t="shared" si="13"/>
        <v>470294.99999999994</v>
      </c>
      <c r="H65" s="33">
        <f t="shared" si="13"/>
        <v>338612.39999999997</v>
      </c>
      <c r="I65" s="33">
        <f t="shared" si="13"/>
        <v>193650.88235294115</v>
      </c>
      <c r="J65" s="33">
        <f t="shared" si="13"/>
        <v>55328.823529411755</v>
      </c>
      <c r="K65" s="33">
        <f t="shared" si="13"/>
        <v>56435.399999999994</v>
      </c>
    </row>
    <row r="66" spans="1:12" s="50" customFormat="1" x14ac:dyDescent="0.25">
      <c r="A66" s="52" t="s">
        <v>131</v>
      </c>
      <c r="B66" s="49">
        <f>B12*Assumption_Vegatables!$C30</f>
        <v>0</v>
      </c>
      <c r="C66" s="49">
        <f>C12*Assumption_Vegatables!$C30</f>
        <v>0</v>
      </c>
      <c r="D66" s="49">
        <f>D12*Assumption_Vegatables!$C30</f>
        <v>0</v>
      </c>
      <c r="E66" s="49">
        <f>E12*Assumption_Vegatables!$C30</f>
        <v>0</v>
      </c>
      <c r="F66" s="49">
        <f>F12*Assumption_Vegatables!$C30</f>
        <v>0</v>
      </c>
      <c r="G66" s="49">
        <f>G12*Assumption_Vegatables!$C30</f>
        <v>0</v>
      </c>
      <c r="H66" s="49">
        <f>H12*Assumption_Vegatables!$C30</f>
        <v>0</v>
      </c>
      <c r="I66" s="49">
        <f>I12*Assumption_Vegatables!$C30</f>
        <v>0</v>
      </c>
      <c r="J66" s="49">
        <f>J12*Assumption_Vegatables!$C30</f>
        <v>0</v>
      </c>
      <c r="K66" s="49">
        <f>K12*Assumption_Vegatables!$C30</f>
        <v>0</v>
      </c>
    </row>
    <row r="67" spans="1:12" s="377" customFormat="1" ht="30" x14ac:dyDescent="0.25">
      <c r="A67" s="121" t="str">
        <f>A39</f>
        <v>Opportunity cost of labor by women households</v>
      </c>
      <c r="B67" s="137">
        <f>B39</f>
        <v>0</v>
      </c>
      <c r="C67" s="137">
        <f t="shared" ref="C67:K67" si="14">C39</f>
        <v>445410</v>
      </c>
      <c r="D67" s="137">
        <f t="shared" si="14"/>
        <v>1199637.6000000001</v>
      </c>
      <c r="E67" s="137">
        <f t="shared" si="14"/>
        <v>1968905.2109999999</v>
      </c>
      <c r="F67" s="137">
        <f t="shared" si="14"/>
        <v>2753438.2104600002</v>
      </c>
      <c r="G67" s="137">
        <f t="shared" si="14"/>
        <v>2626474.1151998998</v>
      </c>
      <c r="H67" s="137">
        <f t="shared" si="14"/>
        <v>1872521.5456601642</v>
      </c>
      <c r="I67" s="137">
        <f t="shared" si="14"/>
        <v>1103227.277318113</v>
      </c>
      <c r="J67" s="137">
        <f t="shared" si="14"/>
        <v>318359.8714546556</v>
      </c>
      <c r="K67" s="137">
        <f t="shared" si="14"/>
        <v>321543.47016920219</v>
      </c>
    </row>
    <row r="68" spans="1:12" x14ac:dyDescent="0.25">
      <c r="A68" s="117" t="s">
        <v>54</v>
      </c>
      <c r="B68" s="37">
        <f>SUM(B64:B67)</f>
        <v>0</v>
      </c>
      <c r="C68" s="37">
        <f t="shared" ref="C68:K68" si="15">SUM(C64:C67)</f>
        <v>597403.23529411759</v>
      </c>
      <c r="D68" s="37">
        <f t="shared" si="15"/>
        <v>1604952.8941176471</v>
      </c>
      <c r="E68" s="37">
        <f t="shared" si="15"/>
        <v>2644639.7237</v>
      </c>
      <c r="F68" s="37">
        <f t="shared" si="15"/>
        <v>3665397.6222247062</v>
      </c>
      <c r="G68" s="37">
        <f t="shared" si="15"/>
        <v>3487769.1151998998</v>
      </c>
      <c r="H68" s="37">
        <f t="shared" si="15"/>
        <v>2487133.9456601641</v>
      </c>
      <c r="I68" s="37">
        <f t="shared" si="15"/>
        <v>1457878.1596710542</v>
      </c>
      <c r="J68" s="37">
        <f t="shared" si="15"/>
        <v>419688.69498406735</v>
      </c>
      <c r="K68" s="37">
        <f t="shared" si="15"/>
        <v>423978.87016920222</v>
      </c>
    </row>
    <row r="69" spans="1:12" x14ac:dyDescent="0.25">
      <c r="B69" s="32"/>
      <c r="C69" s="32"/>
      <c r="D69" s="32"/>
      <c r="E69" s="32"/>
      <c r="F69" s="32"/>
      <c r="G69" s="32"/>
      <c r="H69" s="32"/>
      <c r="I69" s="32"/>
      <c r="J69" s="32"/>
      <c r="K69" s="32"/>
    </row>
    <row r="70" spans="1:12" x14ac:dyDescent="0.25">
      <c r="A70" s="23" t="s">
        <v>55</v>
      </c>
      <c r="B70" s="34">
        <f t="shared" ref="B70:K70" si="16">B61-B68</f>
        <v>0</v>
      </c>
      <c r="C70" s="34">
        <f t="shared" si="16"/>
        <v>8596.7647058824077</v>
      </c>
      <c r="D70" s="34">
        <f t="shared" si="16"/>
        <v>27207.105882352917</v>
      </c>
      <c r="E70" s="34">
        <f t="shared" si="16"/>
        <v>-75980.202146874741</v>
      </c>
      <c r="F70" s="34">
        <f t="shared" si="16"/>
        <v>80776.813775293995</v>
      </c>
      <c r="G70" s="34">
        <f t="shared" si="16"/>
        <v>85665.055140099954</v>
      </c>
      <c r="H70" s="34">
        <f t="shared" si="16"/>
        <v>-44217.816076435149</v>
      </c>
      <c r="I70" s="34">
        <f t="shared" si="16"/>
        <v>43111.333278759615</v>
      </c>
      <c r="J70" s="34">
        <f t="shared" si="16"/>
        <v>13453.987267164746</v>
      </c>
      <c r="K70" s="34">
        <f t="shared" si="16"/>
        <v>-4489.048298161244</v>
      </c>
    </row>
    <row r="71" spans="1:12" x14ac:dyDescent="0.25">
      <c r="B71" s="32"/>
      <c r="C71" s="32"/>
      <c r="D71" s="32"/>
      <c r="E71" s="32"/>
      <c r="F71" s="32"/>
      <c r="G71" s="32"/>
      <c r="H71" s="32"/>
      <c r="I71" s="32"/>
      <c r="J71" s="32"/>
      <c r="K71" s="32"/>
    </row>
    <row r="72" spans="1:12" s="12" customFormat="1" x14ac:dyDescent="0.25">
      <c r="A72" s="10" t="s">
        <v>319</v>
      </c>
      <c r="B72" s="346">
        <f>B61/(1+Assumption_Vegatables!$C73)^'RCP 8.5_Vegetables'!B57</f>
        <v>0</v>
      </c>
      <c r="C72" s="346">
        <f>C61/(1+Assumption_Vegatables!$C73)^'RCP 8.5_Vegetables'!C57</f>
        <v>571698.11320754711</v>
      </c>
      <c r="D72" s="346">
        <f>D61/(1+Assumption_Vegatables!$C73)^'RCP 8.5_Vegetables'!D57</f>
        <v>1452616.5895336417</v>
      </c>
      <c r="E72" s="346">
        <f>E61/(1+Assumption_Vegatables!$C73)^'RCP 8.5_Vegetables'!E57</f>
        <v>2156696.0658405297</v>
      </c>
      <c r="F72" s="346">
        <f>F61/(1+Assumption_Vegatables!$C73)^'RCP 8.5_Vegetables'!F57</f>
        <v>2967321.0321398652</v>
      </c>
      <c r="G72" s="346">
        <f>G61/(1+Assumption_Vegatables!$C73)^'RCP 8.5_Vegetables'!G57</f>
        <v>2670277.888985402</v>
      </c>
      <c r="H72" s="346">
        <f>H61/(1+Assumption_Vegatables!$C73)^'RCP 8.5_Vegetables'!H57</f>
        <v>1722159.4749601479</v>
      </c>
      <c r="I72" s="346">
        <f>I61/(1+Assumption_Vegatables!$C73)^'RCP 8.5_Vegetables'!I57</f>
        <v>998243.73975865683</v>
      </c>
      <c r="J72" s="346">
        <f>J61/(1+Assumption_Vegatables!$C73)^'RCP 8.5_Vegetables'!J57</f>
        <v>271759.07740060479</v>
      </c>
      <c r="K72" s="346">
        <f>K61/(1+Assumption_Vegatables!$C73)^'RCP 8.5_Vegetables'!K57</f>
        <v>248295.38103195303</v>
      </c>
      <c r="L72" s="343">
        <f>SUM(B72:K72)</f>
        <v>13059067.362858348</v>
      </c>
    </row>
    <row r="73" spans="1:12" s="12" customFormat="1" x14ac:dyDescent="0.25">
      <c r="A73" s="10" t="s">
        <v>320</v>
      </c>
      <c r="B73" s="346">
        <f>B68/(1+Assumption_Vegatables!$C73)^'RCP 8.5_Vegetables'!B57</f>
        <v>0</v>
      </c>
      <c r="C73" s="346">
        <f>C68/(1+Assumption_Vegatables!$C73)^'RCP 8.5_Vegetables'!C57</f>
        <v>563587.95782463916</v>
      </c>
      <c r="D73" s="346">
        <f>D68/(1+Assumption_Vegatables!$C73)^'RCP 8.5_Vegetables'!D57</f>
        <v>1428402.362155257</v>
      </c>
      <c r="E73" s="346">
        <f>E68/(1+Assumption_Vegatables!$C73)^'RCP 8.5_Vegetables'!E57</f>
        <v>2220490.5086917384</v>
      </c>
      <c r="F73" s="346">
        <f>F68/(1+Assumption_Vegatables!$C73)^'RCP 8.5_Vegetables'!F57</f>
        <v>2903338.229811897</v>
      </c>
      <c r="G73" s="346">
        <f>G68/(1+Assumption_Vegatables!$C73)^'RCP 8.5_Vegetables'!G57</f>
        <v>2606263.9764029412</v>
      </c>
      <c r="H73" s="346">
        <f>H68/(1+Assumption_Vegatables!$C73)^'RCP 8.5_Vegetables'!H57</f>
        <v>1753331.2904784537</v>
      </c>
      <c r="I73" s="346">
        <f>I68/(1+Assumption_Vegatables!$C73)^'RCP 8.5_Vegetables'!I57</f>
        <v>969572.24088387447</v>
      </c>
      <c r="J73" s="346">
        <f>J68/(1+Assumption_Vegatables!$C73)^'RCP 8.5_Vegetables'!J57</f>
        <v>263317.87934531021</v>
      </c>
      <c r="K73" s="346">
        <f>K68/(1+Assumption_Vegatables!$C73)^'RCP 8.5_Vegetables'!K57</f>
        <v>250952.44182234674</v>
      </c>
      <c r="L73" s="343">
        <f>SUM(B73:K73)</f>
        <v>12959256.887416456</v>
      </c>
    </row>
    <row r="74" spans="1:12" x14ac:dyDescent="0.25">
      <c r="B74" s="32"/>
      <c r="C74" s="32"/>
      <c r="D74" s="32"/>
      <c r="E74" s="32"/>
      <c r="F74" s="32"/>
      <c r="G74" s="32"/>
      <c r="H74" s="32"/>
      <c r="I74" s="32"/>
      <c r="J74" s="32"/>
      <c r="K74" s="32"/>
    </row>
    <row r="75" spans="1:12" s="12" customFormat="1" x14ac:dyDescent="0.25">
      <c r="A75" s="25" t="s">
        <v>318</v>
      </c>
      <c r="B75" s="35">
        <f>NPV(Assumption_Hatchery!C76,C70:K70)+B70</f>
        <v>99810.475441890667</v>
      </c>
      <c r="C75" s="40"/>
      <c r="D75" s="40"/>
      <c r="E75" s="40"/>
      <c r="F75" s="40"/>
      <c r="G75" s="40"/>
      <c r="H75" s="40"/>
      <c r="I75" s="40"/>
      <c r="J75" s="40"/>
      <c r="K75" s="40"/>
    </row>
    <row r="77" spans="1:12" s="12" customFormat="1" x14ac:dyDescent="0.25">
      <c r="A77" s="25" t="s">
        <v>238</v>
      </c>
      <c r="B77" s="36" t="e">
        <f>IRR(B70:K70)</f>
        <v>#NUM!</v>
      </c>
      <c r="C77" s="4"/>
      <c r="D77" s="4"/>
      <c r="E77" s="4"/>
      <c r="F77" s="4"/>
      <c r="G77" s="4"/>
      <c r="H77" s="4"/>
      <c r="I77" s="4"/>
      <c r="J77" s="4"/>
      <c r="K77" s="4"/>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AA82"/>
  <sheetViews>
    <sheetView showGridLines="0" zoomScale="85" zoomScaleNormal="85" workbookViewId="0">
      <selection activeCell="B81" sqref="B81"/>
    </sheetView>
  </sheetViews>
  <sheetFormatPr defaultColWidth="9" defaultRowHeight="15" x14ac:dyDescent="0.25"/>
  <cols>
    <col min="1" max="1" width="40.7109375" style="10" customWidth="1"/>
    <col min="2" max="2" width="21.28515625" style="26" customWidth="1"/>
    <col min="3" max="3" width="13" style="26" customWidth="1"/>
    <col min="4" max="4" width="17" style="26" customWidth="1"/>
    <col min="5" max="5" width="17.140625" style="26" customWidth="1"/>
    <col min="6" max="6" width="16.140625" style="26" customWidth="1"/>
    <col min="7" max="7" width="14.28515625" style="26" customWidth="1"/>
    <col min="8" max="8" width="15.5703125" style="26" customWidth="1"/>
    <col min="9" max="9" width="13.85546875" style="26" customWidth="1"/>
    <col min="10" max="10" width="13" style="26" customWidth="1"/>
    <col min="11" max="11" width="12.7109375" style="26" customWidth="1"/>
    <col min="12" max="12" width="15.42578125" style="26" customWidth="1"/>
    <col min="13" max="23" width="13.7109375" style="3" customWidth="1"/>
    <col min="24" max="24" width="15.7109375" style="3" customWidth="1"/>
    <col min="25" max="25" width="14.140625" style="3" customWidth="1"/>
    <col min="26" max="26" width="11.140625" style="3" customWidth="1"/>
    <col min="27" max="27" width="16" style="3" customWidth="1"/>
    <col min="28" max="16384" width="9" style="3"/>
  </cols>
  <sheetData>
    <row r="2" spans="1:27" s="440" customFormat="1" ht="31.9" customHeight="1" x14ac:dyDescent="0.25">
      <c r="A2" s="438" t="s">
        <v>187</v>
      </c>
      <c r="B2" s="532" t="s">
        <v>390</v>
      </c>
      <c r="C2" s="532"/>
      <c r="D2" s="532"/>
      <c r="E2" s="532"/>
      <c r="F2" s="532"/>
      <c r="G2" s="532"/>
      <c r="H2" s="532"/>
      <c r="I2" s="532"/>
      <c r="J2" s="532"/>
      <c r="K2" s="532"/>
      <c r="L2" s="439"/>
    </row>
    <row r="3" spans="1:27" s="440" customFormat="1" ht="31.9" customHeight="1" x14ac:dyDescent="0.25">
      <c r="A3" s="438" t="s">
        <v>399</v>
      </c>
      <c r="B3" s="453">
        <v>0.09</v>
      </c>
      <c r="C3" s="452"/>
      <c r="D3" s="452"/>
      <c r="E3" s="452"/>
      <c r="F3" s="452"/>
      <c r="G3" s="452"/>
      <c r="H3" s="452"/>
      <c r="I3" s="452"/>
      <c r="J3" s="452"/>
      <c r="K3" s="452"/>
      <c r="L3" s="439"/>
    </row>
    <row r="5" spans="1:27" ht="38.25" customHeight="1" x14ac:dyDescent="0.25">
      <c r="A5" s="11" t="s">
        <v>379</v>
      </c>
      <c r="B5" s="30"/>
      <c r="C5" s="69"/>
      <c r="D5" s="70"/>
      <c r="E5" s="30"/>
      <c r="F5" s="116" t="s">
        <v>91</v>
      </c>
      <c r="G5" s="30"/>
      <c r="H5" s="30"/>
      <c r="I5" s="30"/>
      <c r="J5" s="30"/>
      <c r="K5" s="30"/>
      <c r="L5" s="30"/>
      <c r="M5" s="11"/>
    </row>
    <row r="6" spans="1:27" ht="15" customHeight="1" x14ac:dyDescent="0.25">
      <c r="A6" s="22"/>
      <c r="B6" s="30"/>
      <c r="C6" s="30"/>
      <c r="D6" s="30"/>
      <c r="E6" s="30"/>
      <c r="F6" s="30"/>
      <c r="G6" s="30"/>
      <c r="H6" s="30"/>
      <c r="I6" s="30"/>
      <c r="J6" s="30"/>
      <c r="K6" s="30"/>
      <c r="L6" s="30"/>
      <c r="M6" s="11"/>
    </row>
    <row r="7" spans="1:27" x14ac:dyDescent="0.25">
      <c r="A7" s="10" t="s">
        <v>19</v>
      </c>
      <c r="B7" s="26">
        <v>0</v>
      </c>
      <c r="C7" s="26">
        <v>1</v>
      </c>
      <c r="D7" s="26">
        <v>2</v>
      </c>
      <c r="E7" s="26">
        <v>3</v>
      </c>
      <c r="F7" s="26">
        <v>4</v>
      </c>
      <c r="G7" s="26">
        <v>5</v>
      </c>
      <c r="H7" s="26">
        <v>6</v>
      </c>
      <c r="I7" s="26">
        <v>7</v>
      </c>
      <c r="J7" s="26">
        <v>8</v>
      </c>
      <c r="K7" s="26">
        <v>9</v>
      </c>
      <c r="L7" s="26">
        <v>10</v>
      </c>
      <c r="M7" s="26">
        <v>11</v>
      </c>
      <c r="N7" s="26">
        <v>12</v>
      </c>
      <c r="O7" s="26">
        <v>13</v>
      </c>
      <c r="P7" s="26">
        <v>14</v>
      </c>
      <c r="Q7" s="26">
        <v>15</v>
      </c>
      <c r="R7" s="26">
        <v>16</v>
      </c>
      <c r="S7" s="26">
        <v>17</v>
      </c>
      <c r="T7" s="26">
        <v>18</v>
      </c>
      <c r="U7" s="26">
        <v>19</v>
      </c>
      <c r="V7" s="26">
        <v>20</v>
      </c>
      <c r="W7" s="26">
        <v>21</v>
      </c>
      <c r="X7" s="26">
        <v>22</v>
      </c>
      <c r="Y7" s="26">
        <v>23</v>
      </c>
      <c r="Z7" s="26">
        <v>24</v>
      </c>
    </row>
    <row r="8" spans="1:27" x14ac:dyDescent="0.25">
      <c r="A8" s="23" t="s">
        <v>381</v>
      </c>
    </row>
    <row r="9" spans="1:27" x14ac:dyDescent="0.25">
      <c r="A9" s="88" t="s">
        <v>345</v>
      </c>
      <c r="B9" s="31">
        <v>0</v>
      </c>
      <c r="C9" s="31">
        <v>0</v>
      </c>
      <c r="D9" s="31">
        <v>221085.00000000003</v>
      </c>
      <c r="E9" s="31">
        <v>395764.2585</v>
      </c>
      <c r="F9" s="31">
        <v>460033.66800000006</v>
      </c>
      <c r="G9" s="31">
        <v>469234.34136000008</v>
      </c>
      <c r="H9" s="31">
        <v>466653.55248252011</v>
      </c>
      <c r="I9" s="31">
        <v>488191.40875094401</v>
      </c>
      <c r="J9" s="31">
        <v>497955.2369259629</v>
      </c>
      <c r="K9" s="31">
        <v>495216.48312287009</v>
      </c>
      <c r="L9" s="31">
        <v>518072.62849777186</v>
      </c>
      <c r="M9" s="31">
        <v>528434.08106772718</v>
      </c>
      <c r="N9" s="31">
        <v>525527.69362185476</v>
      </c>
      <c r="O9" s="31">
        <v>549782.81794286345</v>
      </c>
      <c r="P9" s="31">
        <v>560778.47430172074</v>
      </c>
      <c r="Q9" s="31">
        <v>557694.19269306108</v>
      </c>
      <c r="R9" s="31">
        <v>583433.92466351017</v>
      </c>
      <c r="S9" s="31">
        <v>595102.60315678047</v>
      </c>
      <c r="T9" s="31">
        <v>591829.53883941809</v>
      </c>
      <c r="U9" s="31">
        <v>619144.74832431425</v>
      </c>
      <c r="V9" s="31">
        <v>631527.64329080062</v>
      </c>
      <c r="W9" s="31">
        <v>521443.39300216088</v>
      </c>
      <c r="X9" s="31">
        <v>358520.68003987451</v>
      </c>
      <c r="Y9" s="31">
        <v>107018.21872813438</v>
      </c>
      <c r="Z9" s="31">
        <v>9500</v>
      </c>
    </row>
    <row r="10" spans="1:27" x14ac:dyDescent="0.25">
      <c r="A10" s="88" t="s">
        <v>346</v>
      </c>
      <c r="B10" s="31">
        <v>0</v>
      </c>
      <c r="C10" s="31">
        <v>160650.00000000003</v>
      </c>
      <c r="D10" s="31">
        <v>409657.50000000006</v>
      </c>
      <c r="E10" s="31">
        <v>635132.98800000001</v>
      </c>
      <c r="F10" s="31">
        <v>852415.32600000012</v>
      </c>
      <c r="G10" s="31">
        <v>869463.6325200001</v>
      </c>
      <c r="H10" s="31">
        <v>842510.25991188013</v>
      </c>
      <c r="I10" s="31">
        <v>904589.96327380801</v>
      </c>
      <c r="J10" s="31">
        <v>922681.76253928419</v>
      </c>
      <c r="K10" s="31">
        <v>894078.62790056644</v>
      </c>
      <c r="L10" s="31">
        <v>959958.10574587132</v>
      </c>
      <c r="M10" s="31">
        <v>979157.26786078862</v>
      </c>
      <c r="N10" s="31">
        <v>948803.39255710435</v>
      </c>
      <c r="O10" s="31">
        <v>1018715.2214823646</v>
      </c>
      <c r="P10" s="31">
        <v>1039089.525912012</v>
      </c>
      <c r="Q10" s="31">
        <v>1006877.7506087393</v>
      </c>
      <c r="R10" s="31">
        <v>1081068.7427588571</v>
      </c>
      <c r="S10" s="31">
        <v>1102690.1176140343</v>
      </c>
      <c r="T10" s="31">
        <v>1068506.7239679992</v>
      </c>
      <c r="U10" s="31">
        <v>1147238.7983656412</v>
      </c>
      <c r="V10" s="31">
        <v>1170183.5743329541</v>
      </c>
      <c r="W10" s="31">
        <v>907126.3068229059</v>
      </c>
      <c r="X10" s="31">
        <v>608729.49536800268</v>
      </c>
      <c r="Y10" s="31">
        <v>248361.63411014507</v>
      </c>
      <c r="Z10" s="31">
        <v>0</v>
      </c>
    </row>
    <row r="11" spans="1:27" x14ac:dyDescent="0.25">
      <c r="A11" s="88" t="s">
        <v>347</v>
      </c>
      <c r="B11" s="31">
        <v>0</v>
      </c>
      <c r="C11" s="31">
        <v>1216923.75</v>
      </c>
      <c r="D11" s="31">
        <v>4096976.625</v>
      </c>
      <c r="E11" s="136">
        <v>5803469.8137281248</v>
      </c>
      <c r="F11" s="31">
        <v>7940719.1248087501</v>
      </c>
      <c r="G11" s="31">
        <v>8442238.22742825</v>
      </c>
      <c r="H11" s="136">
        <v>7034495.00300459</v>
      </c>
      <c r="I11" s="31">
        <v>8611927.215799557</v>
      </c>
      <c r="J11" s="31">
        <v>8698046.4879575539</v>
      </c>
      <c r="K11" s="136">
        <v>7247647.2360906331</v>
      </c>
      <c r="L11" s="31">
        <v>8872877.2223655023</v>
      </c>
      <c r="M11" s="31">
        <v>8961605.9945891555</v>
      </c>
      <c r="N11" s="136">
        <v>7467258.1949914135</v>
      </c>
      <c r="O11" s="31">
        <v>9141734.2750803977</v>
      </c>
      <c r="P11" s="31">
        <v>9233151.6178312041</v>
      </c>
      <c r="Q11" s="136">
        <v>7693523.5855578482</v>
      </c>
      <c r="R11" s="31">
        <v>9418737.9653496109</v>
      </c>
      <c r="S11" s="31">
        <v>9512925.3450031076</v>
      </c>
      <c r="T11" s="31">
        <v>7926645.0437238393</v>
      </c>
      <c r="U11" s="31">
        <v>9704135.144437667</v>
      </c>
      <c r="V11" s="31">
        <v>9801176.4958820455</v>
      </c>
      <c r="W11" s="31">
        <v>6941805.7679146565</v>
      </c>
      <c r="X11" s="31">
        <v>4999090.0717246383</v>
      </c>
      <c r="Y11" s="31">
        <v>1514724.291732565</v>
      </c>
      <c r="Z11" s="31">
        <v>420714.67202872003</v>
      </c>
      <c r="AA11" s="3">
        <v>0</v>
      </c>
    </row>
    <row r="12" spans="1:27" s="12" customFormat="1" x14ac:dyDescent="0.25">
      <c r="A12" s="23" t="s">
        <v>53</v>
      </c>
      <c r="B12" s="38">
        <f>(B9+B10+B11)</f>
        <v>0</v>
      </c>
      <c r="C12" s="38">
        <f t="shared" ref="C12:Z12" si="0">(C9+C10+C11)</f>
        <v>1377573.75</v>
      </c>
      <c r="D12" s="38">
        <f t="shared" si="0"/>
        <v>4727719.125</v>
      </c>
      <c r="E12" s="38">
        <f t="shared" si="0"/>
        <v>6834367.0602281252</v>
      </c>
      <c r="F12" s="38">
        <f t="shared" si="0"/>
        <v>9253168.1188087501</v>
      </c>
      <c r="G12" s="38">
        <f t="shared" si="0"/>
        <v>9780936.2013082504</v>
      </c>
      <c r="H12" s="38">
        <f t="shared" si="0"/>
        <v>8343658.8153989902</v>
      </c>
      <c r="I12" s="38">
        <f t="shared" si="0"/>
        <v>10004708.587824309</v>
      </c>
      <c r="J12" s="38">
        <f t="shared" si="0"/>
        <v>10118683.487422802</v>
      </c>
      <c r="K12" s="38">
        <f t="shared" si="0"/>
        <v>8636942.3471140694</v>
      </c>
      <c r="L12" s="38">
        <f t="shared" si="0"/>
        <v>10350907.956609145</v>
      </c>
      <c r="M12" s="38">
        <f t="shared" si="0"/>
        <v>10469197.343517672</v>
      </c>
      <c r="N12" s="38">
        <f t="shared" si="0"/>
        <v>8941589.2811703719</v>
      </c>
      <c r="O12" s="38">
        <f t="shared" si="0"/>
        <v>10710232.314505626</v>
      </c>
      <c r="P12" s="38">
        <f t="shared" si="0"/>
        <v>10833019.618044937</v>
      </c>
      <c r="Q12" s="38">
        <f t="shared" si="0"/>
        <v>9258095.5288596489</v>
      </c>
      <c r="R12" s="38">
        <f t="shared" si="0"/>
        <v>11083240.632771978</v>
      </c>
      <c r="S12" s="38">
        <f t="shared" si="0"/>
        <v>11210718.065773923</v>
      </c>
      <c r="T12" s="38">
        <f t="shared" si="0"/>
        <v>9586981.3065312561</v>
      </c>
      <c r="U12" s="38">
        <f t="shared" si="0"/>
        <v>11470518.691127623</v>
      </c>
      <c r="V12" s="38">
        <f t="shared" si="0"/>
        <v>11602887.713505801</v>
      </c>
      <c r="W12" s="38">
        <f t="shared" si="0"/>
        <v>8370375.4677397236</v>
      </c>
      <c r="X12" s="38">
        <f t="shared" si="0"/>
        <v>5966340.2471325155</v>
      </c>
      <c r="Y12" s="38">
        <f t="shared" si="0"/>
        <v>1870104.1445708445</v>
      </c>
      <c r="Z12" s="38">
        <f t="shared" si="0"/>
        <v>430214.67202872003</v>
      </c>
    </row>
    <row r="13" spans="1:27" x14ac:dyDescent="0.25">
      <c r="A13" s="23"/>
      <c r="B13" s="41"/>
      <c r="C13" s="41"/>
      <c r="D13" s="41"/>
      <c r="E13" s="41"/>
      <c r="F13" s="41"/>
      <c r="G13" s="41"/>
      <c r="H13" s="41"/>
      <c r="I13" s="41"/>
      <c r="J13" s="41"/>
      <c r="K13" s="41"/>
    </row>
    <row r="14" spans="1:27" x14ac:dyDescent="0.25">
      <c r="A14" s="23" t="s">
        <v>380</v>
      </c>
    </row>
    <row r="15" spans="1:27" x14ac:dyDescent="0.25">
      <c r="A15" s="88" t="s">
        <v>345</v>
      </c>
      <c r="B15" s="33">
        <v>0</v>
      </c>
      <c r="C15" s="33">
        <v>165100.6</v>
      </c>
      <c r="D15" s="33">
        <v>451054.01500000001</v>
      </c>
      <c r="E15" s="33">
        <v>825906.09927000001</v>
      </c>
      <c r="F15" s="33">
        <v>844924.26140299998</v>
      </c>
      <c r="G15" s="33">
        <v>663635.50401703001</v>
      </c>
      <c r="H15" s="33">
        <v>436898.85905720032</v>
      </c>
      <c r="I15" s="33">
        <v>376764.34764777229</v>
      </c>
      <c r="J15" s="33">
        <v>376981.99112425005</v>
      </c>
      <c r="K15" s="33">
        <v>381751.81103549252</v>
      </c>
      <c r="L15" s="33">
        <v>377423.82914584747</v>
      </c>
      <c r="M15" s="33">
        <v>377648.06743730593</v>
      </c>
      <c r="N15" s="33">
        <v>382424.54811167897</v>
      </c>
      <c r="O15" s="33">
        <v>378103.29359279579</v>
      </c>
      <c r="P15" s="33">
        <v>378334.32652872376</v>
      </c>
      <c r="Q15" s="33">
        <v>383117.66979401099</v>
      </c>
      <c r="R15" s="33">
        <v>378803.34649195109</v>
      </c>
      <c r="S15" s="33">
        <v>379041.37995687057</v>
      </c>
      <c r="T15" s="33">
        <v>383831.79375643929</v>
      </c>
      <c r="U15" s="33">
        <v>379524.61169400369</v>
      </c>
      <c r="V15" s="33">
        <v>379769.85781094374</v>
      </c>
      <c r="W15" s="33">
        <v>317804.04511124251</v>
      </c>
      <c r="X15" s="33">
        <v>215133.86597647186</v>
      </c>
      <c r="Y15" s="33">
        <v>73052.040927247319</v>
      </c>
      <c r="Z15" s="33">
        <v>25374.999999999996</v>
      </c>
    </row>
    <row r="16" spans="1:27" x14ac:dyDescent="0.25">
      <c r="A16" s="88" t="s">
        <v>346</v>
      </c>
      <c r="B16" s="33">
        <v>0</v>
      </c>
      <c r="C16" s="33">
        <v>250820</v>
      </c>
      <c r="D16" s="33">
        <v>553710.5</v>
      </c>
      <c r="E16" s="33">
        <v>820990.56799999997</v>
      </c>
      <c r="F16" s="33">
        <v>962926.84210000001</v>
      </c>
      <c r="G16" s="33">
        <v>890712.110521</v>
      </c>
      <c r="H16" s="33">
        <v>893294.23162621004</v>
      </c>
      <c r="I16" s="33">
        <v>895148.42394247209</v>
      </c>
      <c r="J16" s="33">
        <v>897399.9081818969</v>
      </c>
      <c r="K16" s="33">
        <v>900048.90726371575</v>
      </c>
      <c r="L16" s="33">
        <v>901970.64633635292</v>
      </c>
      <c r="M16" s="33">
        <v>904290.35279971652</v>
      </c>
      <c r="N16" s="33">
        <v>907008.25632771361</v>
      </c>
      <c r="O16" s="33">
        <v>908999.58889099082</v>
      </c>
      <c r="P16" s="33">
        <v>911389.58477990073</v>
      </c>
      <c r="Q16" s="33">
        <v>914178.48062769976</v>
      </c>
      <c r="R16" s="33">
        <v>916241.51543397678</v>
      </c>
      <c r="S16" s="33">
        <v>918703.93058831652</v>
      </c>
      <c r="T16" s="33">
        <v>921565.96989419963</v>
      </c>
      <c r="U16" s="33">
        <v>923702.87959314161</v>
      </c>
      <c r="V16" s="33">
        <v>926239.9083890731</v>
      </c>
      <c r="W16" s="33">
        <v>743341.84597837098</v>
      </c>
      <c r="X16" s="33">
        <v>465695.16527384677</v>
      </c>
      <c r="Y16" s="33">
        <v>186800.84677063406</v>
      </c>
      <c r="Z16" s="33">
        <v>0</v>
      </c>
    </row>
    <row r="17" spans="1:27" x14ac:dyDescent="0.25">
      <c r="A17" s="88" t="s">
        <v>347</v>
      </c>
      <c r="B17" s="33">
        <v>0</v>
      </c>
      <c r="C17" s="33">
        <v>3580725</v>
      </c>
      <c r="D17" s="33">
        <v>9343150</v>
      </c>
      <c r="E17" s="33">
        <v>11811975</v>
      </c>
      <c r="F17" s="33">
        <v>7986525</v>
      </c>
      <c r="G17" s="33">
        <v>7451700</v>
      </c>
      <c r="H17" s="33">
        <v>6779500</v>
      </c>
      <c r="I17" s="33">
        <v>6587500</v>
      </c>
      <c r="J17" s="33">
        <v>6587500</v>
      </c>
      <c r="K17" s="33">
        <v>6779500</v>
      </c>
      <c r="L17" s="33">
        <v>6587500</v>
      </c>
      <c r="M17" s="33">
        <v>6587500</v>
      </c>
      <c r="N17" s="33">
        <v>6779500</v>
      </c>
      <c r="O17" s="33">
        <v>6587500</v>
      </c>
      <c r="P17" s="33">
        <v>6587500</v>
      </c>
      <c r="Q17" s="33">
        <v>6779500</v>
      </c>
      <c r="R17" s="33">
        <v>6587500</v>
      </c>
      <c r="S17" s="33">
        <v>6587500</v>
      </c>
      <c r="T17" s="33">
        <v>6779500</v>
      </c>
      <c r="U17" s="33">
        <v>6587500</v>
      </c>
      <c r="V17" s="33">
        <v>6587500</v>
      </c>
      <c r="W17" s="33">
        <v>5762575</v>
      </c>
      <c r="X17" s="33">
        <v>3293750</v>
      </c>
      <c r="Y17" s="33">
        <v>988125</v>
      </c>
      <c r="Z17" s="33">
        <v>338975</v>
      </c>
      <c r="AA17" s="3">
        <v>0</v>
      </c>
    </row>
    <row r="18" spans="1:27" x14ac:dyDescent="0.25">
      <c r="A18" s="117" t="s">
        <v>54</v>
      </c>
      <c r="B18" s="37">
        <f t="shared" ref="B18:Z18" si="1">SUM(B15:B17)</f>
        <v>0</v>
      </c>
      <c r="C18" s="37">
        <f t="shared" si="1"/>
        <v>3996645.6</v>
      </c>
      <c r="D18" s="37">
        <f t="shared" si="1"/>
        <v>10347914.515000001</v>
      </c>
      <c r="E18" s="37">
        <f t="shared" si="1"/>
        <v>13458871.667270001</v>
      </c>
      <c r="F18" s="37">
        <f t="shared" si="1"/>
        <v>9794376.103503</v>
      </c>
      <c r="G18" s="37">
        <f t="shared" si="1"/>
        <v>9006047.6145380307</v>
      </c>
      <c r="H18" s="37">
        <f t="shared" si="1"/>
        <v>8109693.0906834099</v>
      </c>
      <c r="I18" s="37">
        <f t="shared" si="1"/>
        <v>7859412.771590244</v>
      </c>
      <c r="J18" s="37">
        <f t="shared" si="1"/>
        <v>7861881.8993061464</v>
      </c>
      <c r="K18" s="37">
        <f t="shared" si="1"/>
        <v>8061300.7182992082</v>
      </c>
      <c r="L18" s="37">
        <f t="shared" si="1"/>
        <v>7866894.4754822003</v>
      </c>
      <c r="M18" s="37">
        <f t="shared" si="1"/>
        <v>7869438.4202370225</v>
      </c>
      <c r="N18" s="37">
        <f t="shared" si="1"/>
        <v>8068932.8044393929</v>
      </c>
      <c r="O18" s="37">
        <f t="shared" si="1"/>
        <v>7874602.8824837869</v>
      </c>
      <c r="P18" s="37">
        <f t="shared" si="1"/>
        <v>7877223.9113086248</v>
      </c>
      <c r="Q18" s="37">
        <f t="shared" si="1"/>
        <v>8076796.1504217107</v>
      </c>
      <c r="R18" s="37">
        <f t="shared" si="1"/>
        <v>7882544.8619259279</v>
      </c>
      <c r="S18" s="37">
        <f t="shared" si="1"/>
        <v>7885245.3105451874</v>
      </c>
      <c r="T18" s="37">
        <f t="shared" si="1"/>
        <v>8084897.763650639</v>
      </c>
      <c r="U18" s="37">
        <f t="shared" si="1"/>
        <v>7890727.4912871458</v>
      </c>
      <c r="V18" s="37">
        <f t="shared" si="1"/>
        <v>7893509.7662000172</v>
      </c>
      <c r="W18" s="37">
        <f t="shared" si="1"/>
        <v>6823720.8910896135</v>
      </c>
      <c r="X18" s="37">
        <f t="shared" si="1"/>
        <v>3974579.0312503185</v>
      </c>
      <c r="Y18" s="37">
        <f t="shared" si="1"/>
        <v>1247977.8876978813</v>
      </c>
      <c r="Z18" s="37">
        <f t="shared" si="1"/>
        <v>364350</v>
      </c>
    </row>
    <row r="19" spans="1:27" x14ac:dyDescent="0.25">
      <c r="B19" s="32"/>
      <c r="C19" s="32"/>
      <c r="D19" s="32"/>
      <c r="E19" s="32"/>
      <c r="F19" s="32"/>
      <c r="G19" s="32"/>
      <c r="H19" s="32"/>
      <c r="I19" s="32"/>
      <c r="J19" s="32"/>
      <c r="K19" s="32"/>
      <c r="L19" s="32"/>
    </row>
    <row r="20" spans="1:27" x14ac:dyDescent="0.25">
      <c r="A20" s="23" t="s">
        <v>55</v>
      </c>
      <c r="B20" s="34">
        <f t="shared" ref="B20:Z20" si="2">B12-B18</f>
        <v>0</v>
      </c>
      <c r="C20" s="34">
        <f t="shared" si="2"/>
        <v>-2619071.85</v>
      </c>
      <c r="D20" s="34">
        <f t="shared" si="2"/>
        <v>-5620195.3900000006</v>
      </c>
      <c r="E20" s="34">
        <f t="shared" si="2"/>
        <v>-6624504.6070418758</v>
      </c>
      <c r="F20" s="34">
        <f t="shared" si="2"/>
        <v>-541207.98469424993</v>
      </c>
      <c r="G20" s="34">
        <f t="shared" si="2"/>
        <v>774888.58677021973</v>
      </c>
      <c r="H20" s="34">
        <f t="shared" si="2"/>
        <v>233965.72471558023</v>
      </c>
      <c r="I20" s="34">
        <f t="shared" si="2"/>
        <v>2145295.8162340652</v>
      </c>
      <c r="J20" s="34">
        <f t="shared" si="2"/>
        <v>2256801.5881166551</v>
      </c>
      <c r="K20" s="34">
        <f t="shared" si="2"/>
        <v>575641.62881486118</v>
      </c>
      <c r="L20" s="34">
        <f t="shared" si="2"/>
        <v>2484013.4811269445</v>
      </c>
      <c r="M20" s="34">
        <f t="shared" si="2"/>
        <v>2599758.9232806498</v>
      </c>
      <c r="N20" s="34">
        <f t="shared" si="2"/>
        <v>872656.47673097905</v>
      </c>
      <c r="O20" s="34">
        <f t="shared" si="2"/>
        <v>2835629.4320218386</v>
      </c>
      <c r="P20" s="34">
        <f t="shared" si="2"/>
        <v>2955795.7067363122</v>
      </c>
      <c r="Q20" s="34">
        <f t="shared" si="2"/>
        <v>1181299.3784379382</v>
      </c>
      <c r="R20" s="34">
        <f t="shared" si="2"/>
        <v>3200695.7708460502</v>
      </c>
      <c r="S20" s="34">
        <f t="shared" si="2"/>
        <v>3325472.7552287355</v>
      </c>
      <c r="T20" s="34">
        <f t="shared" si="2"/>
        <v>1502083.5428806171</v>
      </c>
      <c r="U20" s="34">
        <f t="shared" si="2"/>
        <v>3579791.1998404767</v>
      </c>
      <c r="V20" s="34">
        <f t="shared" si="2"/>
        <v>3709377.9473057836</v>
      </c>
      <c r="W20" s="34">
        <f t="shared" si="2"/>
        <v>1546654.5766501101</v>
      </c>
      <c r="X20" s="34">
        <f t="shared" si="2"/>
        <v>1991761.215882197</v>
      </c>
      <c r="Y20" s="34">
        <f t="shared" si="2"/>
        <v>622126.25687296316</v>
      </c>
      <c r="Z20" s="34">
        <f t="shared" si="2"/>
        <v>65864.67202872003</v>
      </c>
    </row>
    <row r="21" spans="1:27" x14ac:dyDescent="0.25">
      <c r="A21" s="23"/>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row>
    <row r="22" spans="1:27" x14ac:dyDescent="0.25">
      <c r="A22" s="10" t="s">
        <v>392</v>
      </c>
      <c r="B22" s="345">
        <f>B12/(1+Assumption_Hatchery!$C76)^B7</f>
        <v>0</v>
      </c>
      <c r="C22" s="345">
        <f>C12/(1+Assumption_Hatchery!$C76)^C7</f>
        <v>1299597.8773584906</v>
      </c>
      <c r="D22" s="345">
        <f>D12/(1+Assumption_Hatchery!$C76)^D7</f>
        <v>4207653.1906372365</v>
      </c>
      <c r="E22" s="345">
        <f>E12/(1+Assumption_Hatchery!$C76)^E7</f>
        <v>5738266.3710883176</v>
      </c>
      <c r="F22" s="345">
        <f>F12/(1+Assumption_Hatchery!$C76)^F7</f>
        <v>7329375.8317844849</v>
      </c>
      <c r="G22" s="345">
        <f>G12/(1+Assumption_Hatchery!$C76)^G7</f>
        <v>7308884.5147090741</v>
      </c>
      <c r="H22" s="345">
        <f>H12/(1+Assumption_Hatchery!$C76)^H7</f>
        <v>5881950.2277479414</v>
      </c>
      <c r="I22" s="345">
        <f>I12/(1+Assumption_Hatchery!$C76)^I7</f>
        <v>6653702.6160510322</v>
      </c>
      <c r="J22" s="345">
        <f>J12/(1+Assumption_Hatchery!$C76)^J7</f>
        <v>6348587.2017013226</v>
      </c>
      <c r="K22" s="345">
        <f>K12/(1+Assumption_Hatchery!$C76)^K7</f>
        <v>5112192.9048542259</v>
      </c>
      <c r="L22" s="345">
        <f>L12/(1+Assumption_Hatchery!$C76)^L7</f>
        <v>5779892.9392996822</v>
      </c>
      <c r="M22" s="345">
        <f>M12/(1+Assumption_Hatchery!$C76)^M7</f>
        <v>5515042.5614282023</v>
      </c>
      <c r="N22" s="345">
        <f>N12/(1+Assumption_Hatchery!$C76)^N7</f>
        <v>4443695.9344301689</v>
      </c>
      <c r="O22" s="345">
        <f>O12/(1+Assumption_Hatchery!$C76)^O7</f>
        <v>5021374.8463223446</v>
      </c>
      <c r="P22" s="345">
        <f>P12/(1+Assumption_Hatchery!$C76)^P7</f>
        <v>4791455.0242051911</v>
      </c>
      <c r="Q22" s="345">
        <f>Q12/(1+Assumption_Hatchery!$C76)^Q7</f>
        <v>3863079.7931450559</v>
      </c>
      <c r="R22" s="345">
        <f>R12/(1+Assumption_Hatchery!$C76)^R7</f>
        <v>4362876.486585103</v>
      </c>
      <c r="S22" s="345">
        <f>S12/(1+Assumption_Hatchery!$C76)^S7</f>
        <v>4163261.7965505305</v>
      </c>
      <c r="T22" s="345">
        <f>T12/(1+Assumption_Hatchery!$C76)^T7</f>
        <v>3358739.3764149728</v>
      </c>
      <c r="U22" s="345">
        <f>U12/(1+Assumption_Hatchery!$C76)^U7</f>
        <v>3791155.6645924994</v>
      </c>
      <c r="V22" s="345">
        <f>V12/(1+Assumption_Hatchery!$C76)^V7</f>
        <v>3617835.2345995791</v>
      </c>
      <c r="W22" s="345">
        <f>W12/(1+Assumption_Hatchery!$C76)^W7</f>
        <v>2462191.1666533621</v>
      </c>
      <c r="X22" s="345">
        <f>X12/(1+Assumption_Hatchery!$C76)^X7</f>
        <v>1655689.8284679656</v>
      </c>
      <c r="Y22" s="345">
        <f>Y12/(1+Assumption_Hatchery!$C76)^Y7</f>
        <v>489588.14327132987</v>
      </c>
      <c r="Z22" s="345">
        <f>Z12/(1+Assumption_Hatchery!$C76)^Z7</f>
        <v>106253.79516969666</v>
      </c>
      <c r="AA22" s="343">
        <f>SUM(B22:Z22)</f>
        <v>103302343.32706782</v>
      </c>
    </row>
    <row r="23" spans="1:27" s="12" customFormat="1" x14ac:dyDescent="0.25">
      <c r="A23" s="10" t="s">
        <v>393</v>
      </c>
      <c r="B23" s="346">
        <f>B18/(1+Assumption_Hatchery!$C76)^'Fin_BaU_CRAB Value'!B7</f>
        <v>0</v>
      </c>
      <c r="C23" s="346">
        <f>C18/(1+Assumption_Hatchery!$C76)^'Fin_BaU_CRAB Value'!C7</f>
        <v>3770420.3773584906</v>
      </c>
      <c r="D23" s="346">
        <f>D18/(1+Assumption_Hatchery!$C76)^'Fin_BaU_CRAB Value'!D7</f>
        <v>9209607.0799216796</v>
      </c>
      <c r="E23" s="346">
        <f>E18/(1+Assumption_Hatchery!$C76)^'Fin_BaU_CRAB Value'!E7</f>
        <v>11300328.179696996</v>
      </c>
      <c r="F23" s="346">
        <f>F18/(1+Assumption_Hatchery!$C76)^'Fin_BaU_CRAB Value'!F7</f>
        <v>7758063.2469546199</v>
      </c>
      <c r="G23" s="346">
        <f>G18/(1+Assumption_Hatchery!$C76)^'Fin_BaU_CRAB Value'!G7</f>
        <v>6729842.6851843987</v>
      </c>
      <c r="H23" s="346">
        <f>H18/(1+Assumption_Hatchery!$C76)^'Fin_BaU_CRAB Value'!H7</f>
        <v>5717013.6240080856</v>
      </c>
      <c r="I23" s="346">
        <f>I18/(1+Assumption_Hatchery!$C76)^'Fin_BaU_CRAB Value'!I7</f>
        <v>5226958.3726403322</v>
      </c>
      <c r="J23" s="346">
        <f>J18/(1+Assumption_Hatchery!$C76)^'Fin_BaU_CRAB Value'!J7</f>
        <v>4932641.9656530526</v>
      </c>
      <c r="K23" s="346">
        <f>K18/(1+Assumption_Hatchery!$C76)^'Fin_BaU_CRAB Value'!K7</f>
        <v>4771471.5092147887</v>
      </c>
      <c r="L23" s="346">
        <f>L18/(1+Assumption_Hatchery!$C76)^'Fin_BaU_CRAB Value'!L7</f>
        <v>4392832.7856516568</v>
      </c>
      <c r="M23" s="346">
        <f>M18/(1+Assumption_Hatchery!$C76)^'Fin_BaU_CRAB Value'!M7</f>
        <v>4145521.9916184046</v>
      </c>
      <c r="N23" s="346">
        <f>N18/(1+Assumption_Hatchery!$C76)^'Fin_BaU_CRAB Value'!N7</f>
        <v>4010012.4005678268</v>
      </c>
      <c r="O23" s="346">
        <f>O18/(1+Assumption_Hatchery!$C76)^'Fin_BaU_CRAB Value'!O7</f>
        <v>3691921.1159713026</v>
      </c>
      <c r="P23" s="346">
        <f>P18/(1+Assumption_Hatchery!$C76)^'Fin_BaU_CRAB Value'!P7</f>
        <v>3484103.7326064236</v>
      </c>
      <c r="Q23" s="346">
        <f>Q18/(1+Assumption_Hatchery!$C76)^'Fin_BaU_CRAB Value'!Q7</f>
        <v>3370164.8362542936</v>
      </c>
      <c r="R23" s="346">
        <f>R18/(1+Assumption_Hatchery!$C76)^'Fin_BaU_CRAB Value'!R7</f>
        <v>3102934.4910963629</v>
      </c>
      <c r="S23" s="346">
        <f>S18/(1+Assumption_Hatchery!$C76)^'Fin_BaU_CRAB Value'!S7</f>
        <v>2928299.5402449919</v>
      </c>
      <c r="T23" s="346">
        <f>T18/(1+Assumption_Hatchery!$C76)^'Fin_BaU_CRAB Value'!T7</f>
        <v>2832493.7334093908</v>
      </c>
      <c r="U23" s="346">
        <f>U18/(1+Assumption_Hatchery!$C76)^'Fin_BaU_CRAB Value'!U7</f>
        <v>2607988.0981745035</v>
      </c>
      <c r="V23" s="346">
        <f>V18/(1+Assumption_Hatchery!$C76)^'Fin_BaU_CRAB Value'!V7</f>
        <v>2461233.6568226353</v>
      </c>
      <c r="W23" s="346">
        <f>W18/(1+Assumption_Hatchery!$C76)^'Fin_BaU_CRAB Value'!W7</f>
        <v>2007234.3667859095</v>
      </c>
      <c r="X23" s="346">
        <f>X18/(1+Assumption_Hatchery!$C76)^'Fin_BaU_CRAB Value'!X7</f>
        <v>1102965.9392365278</v>
      </c>
      <c r="Y23" s="346">
        <f>Y18/(1+Assumption_Hatchery!$C76)^'Fin_BaU_CRAB Value'!Y7</f>
        <v>326717.19308011822</v>
      </c>
      <c r="Z23" s="346">
        <f>Z18/(1+Assumption_Hatchery!$C76)^'Fin_BaU_CRAB Value'!Z7</f>
        <v>89986.634085539888</v>
      </c>
      <c r="AA23" s="343">
        <f>SUM(B23:Z23)</f>
        <v>99970757.556238323</v>
      </c>
    </row>
    <row r="24" spans="1:27" x14ac:dyDescent="0.25">
      <c r="B24" s="32"/>
      <c r="C24" s="32"/>
      <c r="D24" s="32"/>
      <c r="E24" s="32"/>
      <c r="F24" s="32"/>
      <c r="G24" s="32"/>
      <c r="H24" s="32"/>
      <c r="I24" s="32"/>
      <c r="J24" s="32"/>
      <c r="K24" s="32"/>
      <c r="L24" s="32"/>
    </row>
    <row r="25" spans="1:27" s="12" customFormat="1" x14ac:dyDescent="0.25">
      <c r="A25" s="25" t="s">
        <v>391</v>
      </c>
      <c r="B25" s="35">
        <f>NPV(B3,C20:Z20)+B20</f>
        <v>-1019385.3333598953</v>
      </c>
      <c r="C25" s="40"/>
      <c r="D25" s="40"/>
      <c r="E25" s="40"/>
      <c r="F25" s="40"/>
      <c r="G25" s="40"/>
      <c r="H25" s="40"/>
      <c r="I25" s="40"/>
      <c r="J25" s="40"/>
      <c r="K25" s="40"/>
      <c r="L25" s="40"/>
    </row>
    <row r="27" spans="1:27" s="12" customFormat="1" x14ac:dyDescent="0.25">
      <c r="A27" s="25" t="s">
        <v>237</v>
      </c>
      <c r="B27" s="36">
        <f>IRR(B20:Z20)</f>
        <v>8.1472398322491202E-2</v>
      </c>
      <c r="C27" s="4"/>
      <c r="D27" s="4"/>
      <c r="E27" s="4"/>
      <c r="F27" s="4"/>
      <c r="G27" s="4"/>
      <c r="H27" s="4"/>
      <c r="I27" s="4"/>
      <c r="J27" s="4"/>
      <c r="K27" s="4"/>
      <c r="L27" s="4"/>
    </row>
    <row r="30" spans="1:27" s="1" customFormat="1" x14ac:dyDescent="0.25">
      <c r="A30" s="24"/>
      <c r="B30" s="42"/>
      <c r="C30" s="42"/>
      <c r="D30" s="42"/>
      <c r="E30" s="42"/>
      <c r="F30" s="42"/>
      <c r="G30" s="42"/>
      <c r="H30" s="42"/>
      <c r="I30" s="42"/>
      <c r="J30" s="42"/>
      <c r="K30" s="42"/>
      <c r="L30" s="42"/>
    </row>
    <row r="32" spans="1:27" ht="38.25" customHeight="1" x14ac:dyDescent="0.25">
      <c r="A32" s="11" t="str">
        <f>A5</f>
        <v>Aggregate Financial Analysis_CRAB Value Chain</v>
      </c>
      <c r="B32" s="30"/>
      <c r="C32" s="69"/>
      <c r="D32" s="70"/>
      <c r="E32" s="30"/>
      <c r="F32" s="116" t="s">
        <v>90</v>
      </c>
      <c r="G32" s="30"/>
      <c r="H32" s="30"/>
      <c r="I32" s="30"/>
      <c r="J32" s="30"/>
      <c r="K32" s="30"/>
      <c r="L32" s="30"/>
      <c r="M32" s="11"/>
    </row>
    <row r="33" spans="1:27" ht="38.25" customHeight="1" x14ac:dyDescent="0.25">
      <c r="A33" s="11"/>
      <c r="B33" s="30"/>
      <c r="C33" s="69"/>
      <c r="D33" s="70"/>
      <c r="E33" s="30"/>
      <c r="F33" s="116"/>
      <c r="G33" s="30"/>
      <c r="H33" s="30"/>
      <c r="I33" s="30"/>
      <c r="J33" s="30"/>
      <c r="K33" s="30"/>
      <c r="L33" s="30"/>
      <c r="M33" s="11"/>
    </row>
    <row r="34" spans="1:27" x14ac:dyDescent="0.25">
      <c r="A34" s="10" t="s">
        <v>19</v>
      </c>
      <c r="B34" s="26">
        <v>0</v>
      </c>
      <c r="C34" s="26">
        <v>1</v>
      </c>
      <c r="D34" s="26">
        <v>2</v>
      </c>
      <c r="E34" s="26">
        <v>3</v>
      </c>
      <c r="F34" s="26">
        <v>4</v>
      </c>
      <c r="G34" s="26">
        <v>5</v>
      </c>
      <c r="H34" s="26">
        <v>6</v>
      </c>
      <c r="I34" s="26">
        <v>7</v>
      </c>
      <c r="J34" s="26">
        <v>8</v>
      </c>
      <c r="K34" s="26">
        <v>9</v>
      </c>
      <c r="L34" s="26">
        <v>10</v>
      </c>
      <c r="M34" s="26">
        <v>11</v>
      </c>
      <c r="N34" s="26">
        <v>12</v>
      </c>
      <c r="O34" s="26">
        <v>13</v>
      </c>
      <c r="P34" s="26">
        <v>14</v>
      </c>
      <c r="Q34" s="26">
        <v>15</v>
      </c>
      <c r="R34" s="26">
        <v>16</v>
      </c>
      <c r="S34" s="26">
        <v>17</v>
      </c>
      <c r="T34" s="26">
        <v>18</v>
      </c>
      <c r="U34" s="26">
        <v>19</v>
      </c>
      <c r="V34" s="26">
        <v>20</v>
      </c>
      <c r="W34" s="26">
        <v>21</v>
      </c>
      <c r="X34" s="26">
        <v>22</v>
      </c>
      <c r="Y34" s="26">
        <v>23</v>
      </c>
      <c r="Z34" s="26">
        <v>24</v>
      </c>
    </row>
    <row r="35" spans="1:27" x14ac:dyDescent="0.25">
      <c r="A35" s="23" t="s">
        <v>381</v>
      </c>
    </row>
    <row r="36" spans="1:27" x14ac:dyDescent="0.25">
      <c r="A36" s="88" t="s">
        <v>345</v>
      </c>
      <c r="B36" s="31">
        <v>0</v>
      </c>
      <c r="C36" s="31">
        <v>0</v>
      </c>
      <c r="D36" s="31">
        <v>221085.00000000003</v>
      </c>
      <c r="E36" s="31">
        <v>395764.2585</v>
      </c>
      <c r="F36" s="31">
        <v>460033.66800000006</v>
      </c>
      <c r="G36" s="31">
        <v>469234.34136000008</v>
      </c>
      <c r="H36" s="31">
        <v>466653.55248252011</v>
      </c>
      <c r="I36" s="31">
        <v>488191.40875094401</v>
      </c>
      <c r="J36" s="31">
        <v>497955.2369259629</v>
      </c>
      <c r="K36" s="31">
        <v>495216.48312287009</v>
      </c>
      <c r="L36" s="31">
        <v>518072.62849777186</v>
      </c>
      <c r="M36" s="31">
        <v>528434.08106772718</v>
      </c>
      <c r="N36" s="31">
        <v>525527.69362185476</v>
      </c>
      <c r="O36" s="31">
        <v>549782.81794286345</v>
      </c>
      <c r="P36" s="31">
        <v>560778.47430172074</v>
      </c>
      <c r="Q36" s="31">
        <v>557694.19269306108</v>
      </c>
      <c r="R36" s="31">
        <v>583433.92466351017</v>
      </c>
      <c r="S36" s="31">
        <v>595102.60315678047</v>
      </c>
      <c r="T36" s="31">
        <v>591829.53883941809</v>
      </c>
      <c r="U36" s="31">
        <v>619144.74832431425</v>
      </c>
      <c r="V36" s="31">
        <v>631527.64329080062</v>
      </c>
      <c r="W36" s="31">
        <v>521443.39300216088</v>
      </c>
      <c r="X36" s="31">
        <v>358520.68003987451</v>
      </c>
      <c r="Y36" s="31">
        <v>107018.21872813438</v>
      </c>
      <c r="Z36" s="31">
        <v>9500</v>
      </c>
    </row>
    <row r="37" spans="1:27" x14ac:dyDescent="0.25">
      <c r="A37" s="88" t="s">
        <v>346</v>
      </c>
      <c r="B37" s="31">
        <v>0</v>
      </c>
      <c r="C37" s="31">
        <v>160650.00000000003</v>
      </c>
      <c r="D37" s="31">
        <v>409657.50000000006</v>
      </c>
      <c r="E37" s="31">
        <v>635132.98800000001</v>
      </c>
      <c r="F37" s="31">
        <v>852415.32600000012</v>
      </c>
      <c r="G37" s="31">
        <v>869463.6325200001</v>
      </c>
      <c r="H37" s="31">
        <v>842510.25991188013</v>
      </c>
      <c r="I37" s="31">
        <v>904589.96327380801</v>
      </c>
      <c r="J37" s="31">
        <v>922681.76253928419</v>
      </c>
      <c r="K37" s="31">
        <v>894078.62790056644</v>
      </c>
      <c r="L37" s="31">
        <v>959958.10574587132</v>
      </c>
      <c r="M37" s="31">
        <v>979157.26786078862</v>
      </c>
      <c r="N37" s="31">
        <v>948803.39255710435</v>
      </c>
      <c r="O37" s="31">
        <v>1018715.2214823646</v>
      </c>
      <c r="P37" s="31">
        <v>1039089.525912012</v>
      </c>
      <c r="Q37" s="31">
        <v>1006877.7506087393</v>
      </c>
      <c r="R37" s="31">
        <v>1081068.7427588571</v>
      </c>
      <c r="S37" s="31">
        <v>1102690.1176140343</v>
      </c>
      <c r="T37" s="31">
        <v>1068506.7239679992</v>
      </c>
      <c r="U37" s="31">
        <v>1147238.7983656412</v>
      </c>
      <c r="V37" s="31">
        <v>1170183.5743329541</v>
      </c>
      <c r="W37" s="31">
        <v>907126.3068229059</v>
      </c>
      <c r="X37" s="31">
        <v>608729.49536800268</v>
      </c>
      <c r="Y37" s="31">
        <v>248361.63411014507</v>
      </c>
      <c r="Z37" s="31">
        <v>0</v>
      </c>
    </row>
    <row r="38" spans="1:27" customFormat="1" x14ac:dyDescent="0.25">
      <c r="A38" s="88" t="s">
        <v>347</v>
      </c>
      <c r="B38" s="427">
        <v>0</v>
      </c>
      <c r="C38" s="427">
        <v>1216923.75</v>
      </c>
      <c r="D38" s="427">
        <v>4096976.625</v>
      </c>
      <c r="E38" s="427">
        <v>5803469.8137281248</v>
      </c>
      <c r="F38" s="427">
        <v>7940719.1248087501</v>
      </c>
      <c r="G38" s="427">
        <v>8442238.22742825</v>
      </c>
      <c r="H38" s="427">
        <v>7034495.00300459</v>
      </c>
      <c r="I38" s="427">
        <v>8611927.215799557</v>
      </c>
      <c r="J38" s="427">
        <v>8698046.4879575539</v>
      </c>
      <c r="K38" s="427">
        <v>7247647.2360906331</v>
      </c>
      <c r="L38" s="427">
        <v>8872877.2223655023</v>
      </c>
      <c r="M38" s="427">
        <v>8961605.9945891555</v>
      </c>
      <c r="N38" s="427">
        <v>7467258.1949914135</v>
      </c>
      <c r="O38" s="427">
        <v>9141734.2750803977</v>
      </c>
      <c r="P38" s="427">
        <v>9233151.6178312041</v>
      </c>
      <c r="Q38" s="427">
        <v>7693523.5855578482</v>
      </c>
      <c r="R38" s="427">
        <v>9418737.9653496109</v>
      </c>
      <c r="S38" s="427">
        <v>9512925.3450031076</v>
      </c>
      <c r="T38" s="427">
        <v>7926645.0437238393</v>
      </c>
      <c r="U38" s="427">
        <v>9704135.144437667</v>
      </c>
      <c r="V38" s="427">
        <v>9801176.4958820455</v>
      </c>
      <c r="W38" s="427">
        <v>6941805.7679146565</v>
      </c>
      <c r="X38" s="427">
        <v>4999090.0717246383</v>
      </c>
      <c r="Y38" s="427">
        <v>1514724.291732565</v>
      </c>
      <c r="Z38" s="427">
        <v>420714.67202872003</v>
      </c>
      <c r="AA38">
        <v>0</v>
      </c>
    </row>
    <row r="39" spans="1:27" s="12" customFormat="1" x14ac:dyDescent="0.25">
      <c r="A39" s="23" t="s">
        <v>53</v>
      </c>
      <c r="B39" s="38">
        <f t="shared" ref="B39:Z39" si="3">SUM(B36:B38)</f>
        <v>0</v>
      </c>
      <c r="C39" s="38">
        <f t="shared" si="3"/>
        <v>1377573.75</v>
      </c>
      <c r="D39" s="38">
        <f t="shared" si="3"/>
        <v>4727719.125</v>
      </c>
      <c r="E39" s="38">
        <f t="shared" si="3"/>
        <v>6834367.0602281252</v>
      </c>
      <c r="F39" s="38">
        <f t="shared" si="3"/>
        <v>9253168.1188087501</v>
      </c>
      <c r="G39" s="38">
        <f t="shared" si="3"/>
        <v>9780936.2013082504</v>
      </c>
      <c r="H39" s="38">
        <f t="shared" si="3"/>
        <v>8343658.8153989902</v>
      </c>
      <c r="I39" s="38">
        <f t="shared" si="3"/>
        <v>10004708.587824309</v>
      </c>
      <c r="J39" s="38">
        <f t="shared" si="3"/>
        <v>10118683.487422802</v>
      </c>
      <c r="K39" s="38">
        <f t="shared" si="3"/>
        <v>8636942.3471140694</v>
      </c>
      <c r="L39" s="38">
        <f t="shared" si="3"/>
        <v>10350907.956609145</v>
      </c>
      <c r="M39" s="38">
        <f t="shared" si="3"/>
        <v>10469197.343517672</v>
      </c>
      <c r="N39" s="38">
        <f t="shared" si="3"/>
        <v>8941589.2811703719</v>
      </c>
      <c r="O39" s="38">
        <f t="shared" si="3"/>
        <v>10710232.314505626</v>
      </c>
      <c r="P39" s="38">
        <f t="shared" si="3"/>
        <v>10833019.618044937</v>
      </c>
      <c r="Q39" s="38">
        <f t="shared" si="3"/>
        <v>9258095.5288596489</v>
      </c>
      <c r="R39" s="38">
        <f t="shared" si="3"/>
        <v>11083240.632771978</v>
      </c>
      <c r="S39" s="38">
        <f t="shared" si="3"/>
        <v>11210718.065773923</v>
      </c>
      <c r="T39" s="38">
        <f t="shared" si="3"/>
        <v>9586981.3065312561</v>
      </c>
      <c r="U39" s="38">
        <f t="shared" si="3"/>
        <v>11470518.691127623</v>
      </c>
      <c r="V39" s="38">
        <f t="shared" si="3"/>
        <v>11602887.713505801</v>
      </c>
      <c r="W39" s="38">
        <f t="shared" si="3"/>
        <v>8370375.4677397236</v>
      </c>
      <c r="X39" s="38">
        <f t="shared" si="3"/>
        <v>5966340.2471325155</v>
      </c>
      <c r="Y39" s="38">
        <f t="shared" si="3"/>
        <v>1870104.1445708445</v>
      </c>
      <c r="Z39" s="38">
        <f t="shared" si="3"/>
        <v>430214.67202872003</v>
      </c>
    </row>
    <row r="40" spans="1:27" x14ac:dyDescent="0.25">
      <c r="A40" s="23"/>
      <c r="B40" s="41"/>
      <c r="C40" s="41"/>
      <c r="D40" s="41"/>
      <c r="E40" s="41"/>
      <c r="F40" s="41"/>
      <c r="G40" s="41"/>
      <c r="H40" s="41"/>
      <c r="I40" s="41"/>
      <c r="J40" s="41"/>
      <c r="K40" s="41"/>
    </row>
    <row r="41" spans="1:27" x14ac:dyDescent="0.25">
      <c r="A41" s="23" t="s">
        <v>380</v>
      </c>
    </row>
    <row r="42" spans="1:27" x14ac:dyDescent="0.25">
      <c r="A42" s="88" t="s">
        <v>345</v>
      </c>
      <c r="B42" s="33">
        <v>0</v>
      </c>
      <c r="C42" s="33">
        <v>165100.6</v>
      </c>
      <c r="D42" s="33">
        <v>377054.01500000001</v>
      </c>
      <c r="E42" s="33">
        <v>652906.09927000001</v>
      </c>
      <c r="F42" s="33">
        <v>603924.26140299998</v>
      </c>
      <c r="G42" s="33">
        <v>502635.50401703001</v>
      </c>
      <c r="H42" s="33">
        <v>405898.85905720032</v>
      </c>
      <c r="I42" s="33">
        <v>376764.34764777229</v>
      </c>
      <c r="J42" s="33">
        <v>376981.99112425005</v>
      </c>
      <c r="K42" s="33">
        <v>381751.81103549252</v>
      </c>
      <c r="L42" s="33">
        <v>377423.82914584747</v>
      </c>
      <c r="M42" s="33">
        <v>377648.06743730593</v>
      </c>
      <c r="N42" s="33">
        <v>382424.54811167897</v>
      </c>
      <c r="O42" s="33">
        <v>378103.29359279579</v>
      </c>
      <c r="P42" s="33">
        <v>378334.32652872376</v>
      </c>
      <c r="Q42" s="33">
        <v>383117.66979401099</v>
      </c>
      <c r="R42" s="33">
        <v>378803.34649195109</v>
      </c>
      <c r="S42" s="33">
        <v>379041.37995687057</v>
      </c>
      <c r="T42" s="33">
        <v>383831.79375643929</v>
      </c>
      <c r="U42" s="33">
        <v>379524.61169400369</v>
      </c>
      <c r="V42" s="33">
        <v>379769.85781094374</v>
      </c>
      <c r="W42" s="33">
        <v>317804.04511124251</v>
      </c>
      <c r="X42" s="33">
        <v>215133.86597647186</v>
      </c>
      <c r="Y42" s="33">
        <v>73052.040927247319</v>
      </c>
      <c r="Z42" s="33">
        <v>25374.999999999996</v>
      </c>
    </row>
    <row r="43" spans="1:27" x14ac:dyDescent="0.25">
      <c r="A43" s="88" t="s">
        <v>346</v>
      </c>
      <c r="B43" s="33">
        <v>0</v>
      </c>
      <c r="C43" s="33">
        <v>201220</v>
      </c>
      <c r="D43" s="33">
        <v>479310.5</v>
      </c>
      <c r="E43" s="33">
        <v>746590.56799999997</v>
      </c>
      <c r="F43" s="33">
        <v>913326.84210000001</v>
      </c>
      <c r="G43" s="33">
        <v>890712.110521</v>
      </c>
      <c r="H43" s="33">
        <v>893294.23162621004</v>
      </c>
      <c r="I43" s="33">
        <v>895148.42394247209</v>
      </c>
      <c r="J43" s="33">
        <v>897399.9081818969</v>
      </c>
      <c r="K43" s="33">
        <v>900048.90726371575</v>
      </c>
      <c r="L43" s="33">
        <v>901970.64633635292</v>
      </c>
      <c r="M43" s="33">
        <v>904290.35279971652</v>
      </c>
      <c r="N43" s="33">
        <v>907008.25632771361</v>
      </c>
      <c r="O43" s="33">
        <v>908999.58889099082</v>
      </c>
      <c r="P43" s="33">
        <v>911389.58477990073</v>
      </c>
      <c r="Q43" s="33">
        <v>914178.48062769976</v>
      </c>
      <c r="R43" s="33">
        <v>916241.51543397678</v>
      </c>
      <c r="S43" s="33">
        <v>918703.93058831652</v>
      </c>
      <c r="T43" s="33">
        <v>921565.96989419963</v>
      </c>
      <c r="U43" s="33">
        <v>923702.87959314161</v>
      </c>
      <c r="V43" s="33">
        <v>926239.9083890731</v>
      </c>
      <c r="W43" s="33">
        <v>743341.84597837098</v>
      </c>
      <c r="X43" s="33">
        <v>465695.16527384677</v>
      </c>
      <c r="Y43" s="33">
        <v>186800.84677063406</v>
      </c>
      <c r="Z43" s="33">
        <v>0</v>
      </c>
    </row>
    <row r="44" spans="1:27" x14ac:dyDescent="0.25">
      <c r="A44" s="88" t="s">
        <v>347</v>
      </c>
      <c r="B44" s="33">
        <v>0</v>
      </c>
      <c r="C44" s="33">
        <v>2464725</v>
      </c>
      <c r="D44" s="33">
        <v>6739150</v>
      </c>
      <c r="E44" s="33">
        <v>9207975</v>
      </c>
      <c r="F44" s="33">
        <v>7242525</v>
      </c>
      <c r="G44" s="33">
        <v>7079700</v>
      </c>
      <c r="H44" s="33">
        <v>6779500</v>
      </c>
      <c r="I44" s="33">
        <v>6587500</v>
      </c>
      <c r="J44" s="33">
        <v>6587500</v>
      </c>
      <c r="K44" s="33">
        <v>6779500</v>
      </c>
      <c r="L44" s="33">
        <v>6587500</v>
      </c>
      <c r="M44" s="33">
        <v>6587500</v>
      </c>
      <c r="N44" s="33">
        <v>6779500</v>
      </c>
      <c r="O44" s="33">
        <v>6587500</v>
      </c>
      <c r="P44" s="33">
        <v>6587500</v>
      </c>
      <c r="Q44" s="33">
        <v>6779500</v>
      </c>
      <c r="R44" s="33">
        <v>6587500</v>
      </c>
      <c r="S44" s="33">
        <v>6587500</v>
      </c>
      <c r="T44" s="33">
        <v>6779500</v>
      </c>
      <c r="U44" s="33">
        <v>6587500</v>
      </c>
      <c r="V44" s="33">
        <v>6587500</v>
      </c>
      <c r="W44" s="33">
        <v>5762575</v>
      </c>
      <c r="X44" s="33">
        <v>3293750</v>
      </c>
      <c r="Y44" s="33">
        <v>988125</v>
      </c>
      <c r="Z44" s="33">
        <v>338975</v>
      </c>
      <c r="AA44" s="3">
        <v>0</v>
      </c>
    </row>
    <row r="45" spans="1:27" x14ac:dyDescent="0.25">
      <c r="A45" s="117" t="s">
        <v>54</v>
      </c>
      <c r="B45" s="37">
        <f t="shared" ref="B45:Z45" si="4">SUM(B42:B44)</f>
        <v>0</v>
      </c>
      <c r="C45" s="37">
        <f t="shared" si="4"/>
        <v>2831045.6</v>
      </c>
      <c r="D45" s="37">
        <f t="shared" si="4"/>
        <v>7595514.5149999997</v>
      </c>
      <c r="E45" s="37">
        <f t="shared" si="4"/>
        <v>10607471.667270001</v>
      </c>
      <c r="F45" s="37">
        <f t="shared" si="4"/>
        <v>8759776.103503</v>
      </c>
      <c r="G45" s="37">
        <f t="shared" si="4"/>
        <v>8473047.6145380307</v>
      </c>
      <c r="H45" s="37">
        <f t="shared" si="4"/>
        <v>8078693.0906834099</v>
      </c>
      <c r="I45" s="37">
        <f t="shared" si="4"/>
        <v>7859412.771590244</v>
      </c>
      <c r="J45" s="37">
        <f t="shared" si="4"/>
        <v>7861881.8993061464</v>
      </c>
      <c r="K45" s="37">
        <f t="shared" si="4"/>
        <v>8061300.7182992082</v>
      </c>
      <c r="L45" s="37">
        <f t="shared" si="4"/>
        <v>7866894.4754822003</v>
      </c>
      <c r="M45" s="37">
        <f t="shared" si="4"/>
        <v>7869438.4202370225</v>
      </c>
      <c r="N45" s="37">
        <f t="shared" si="4"/>
        <v>8068932.8044393929</v>
      </c>
      <c r="O45" s="37">
        <f t="shared" si="4"/>
        <v>7874602.8824837869</v>
      </c>
      <c r="P45" s="37">
        <f t="shared" si="4"/>
        <v>7877223.9113086248</v>
      </c>
      <c r="Q45" s="37">
        <f t="shared" si="4"/>
        <v>8076796.1504217107</v>
      </c>
      <c r="R45" s="37">
        <f t="shared" si="4"/>
        <v>7882544.8619259279</v>
      </c>
      <c r="S45" s="37">
        <f t="shared" si="4"/>
        <v>7885245.3105451874</v>
      </c>
      <c r="T45" s="37">
        <f t="shared" si="4"/>
        <v>8084897.763650639</v>
      </c>
      <c r="U45" s="37">
        <f t="shared" si="4"/>
        <v>7890727.4912871458</v>
      </c>
      <c r="V45" s="37">
        <f t="shared" si="4"/>
        <v>7893509.7662000172</v>
      </c>
      <c r="W45" s="37">
        <f t="shared" si="4"/>
        <v>6823720.8910896135</v>
      </c>
      <c r="X45" s="37">
        <f t="shared" si="4"/>
        <v>3974579.0312503185</v>
      </c>
      <c r="Y45" s="37">
        <f t="shared" si="4"/>
        <v>1247977.8876978813</v>
      </c>
      <c r="Z45" s="37">
        <f t="shared" si="4"/>
        <v>364350</v>
      </c>
    </row>
    <row r="46" spans="1:27" x14ac:dyDescent="0.25">
      <c r="B46" s="32"/>
      <c r="C46" s="32"/>
      <c r="D46" s="32"/>
      <c r="E46" s="32"/>
      <c r="F46" s="32"/>
      <c r="G46" s="32"/>
      <c r="H46" s="32"/>
      <c r="I46" s="32"/>
      <c r="J46" s="32"/>
      <c r="K46" s="32"/>
      <c r="L46" s="32"/>
    </row>
    <row r="47" spans="1:27" x14ac:dyDescent="0.25">
      <c r="A47" s="23" t="str">
        <f>A20</f>
        <v>Net Benefits ($)</v>
      </c>
      <c r="B47" s="34">
        <f t="shared" ref="B47:Z47" si="5">B39-B45</f>
        <v>0</v>
      </c>
      <c r="C47" s="34">
        <f t="shared" si="5"/>
        <v>-1453471.85</v>
      </c>
      <c r="D47" s="34">
        <f t="shared" si="5"/>
        <v>-2867795.3899999997</v>
      </c>
      <c r="E47" s="34">
        <f t="shared" si="5"/>
        <v>-3773104.6070418758</v>
      </c>
      <c r="F47" s="34">
        <f t="shared" si="5"/>
        <v>493392.01530575007</v>
      </c>
      <c r="G47" s="34">
        <f t="shared" si="5"/>
        <v>1307888.5867702197</v>
      </c>
      <c r="H47" s="34">
        <f t="shared" si="5"/>
        <v>264965.72471558023</v>
      </c>
      <c r="I47" s="34">
        <f t="shared" si="5"/>
        <v>2145295.8162340652</v>
      </c>
      <c r="J47" s="34">
        <f t="shared" si="5"/>
        <v>2256801.5881166551</v>
      </c>
      <c r="K47" s="34">
        <f t="shared" si="5"/>
        <v>575641.62881486118</v>
      </c>
      <c r="L47" s="34">
        <f t="shared" si="5"/>
        <v>2484013.4811269445</v>
      </c>
      <c r="M47" s="34">
        <f t="shared" si="5"/>
        <v>2599758.9232806498</v>
      </c>
      <c r="N47" s="34">
        <f t="shared" si="5"/>
        <v>872656.47673097905</v>
      </c>
      <c r="O47" s="34">
        <f t="shared" si="5"/>
        <v>2835629.4320218386</v>
      </c>
      <c r="P47" s="34">
        <f t="shared" si="5"/>
        <v>2955795.7067363122</v>
      </c>
      <c r="Q47" s="34">
        <f t="shared" si="5"/>
        <v>1181299.3784379382</v>
      </c>
      <c r="R47" s="34">
        <f t="shared" si="5"/>
        <v>3200695.7708460502</v>
      </c>
      <c r="S47" s="34">
        <f t="shared" si="5"/>
        <v>3325472.7552287355</v>
      </c>
      <c r="T47" s="34">
        <f t="shared" si="5"/>
        <v>1502083.5428806171</v>
      </c>
      <c r="U47" s="34">
        <f t="shared" si="5"/>
        <v>3579791.1998404767</v>
      </c>
      <c r="V47" s="34">
        <f t="shared" si="5"/>
        <v>3709377.9473057836</v>
      </c>
      <c r="W47" s="34">
        <f t="shared" si="5"/>
        <v>1546654.5766501101</v>
      </c>
      <c r="X47" s="34">
        <f t="shared" si="5"/>
        <v>1991761.215882197</v>
      </c>
      <c r="Y47" s="34">
        <f t="shared" si="5"/>
        <v>622126.25687296316</v>
      </c>
      <c r="Z47" s="34">
        <f t="shared" si="5"/>
        <v>65864.67202872003</v>
      </c>
    </row>
    <row r="48" spans="1:27" x14ac:dyDescent="0.25">
      <c r="A48" s="23"/>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12"/>
    </row>
    <row r="49" spans="1:27" x14ac:dyDescent="0.25">
      <c r="A49" s="10" t="str">
        <f>A22</f>
        <v>Financial Benefits in Present Value</v>
      </c>
      <c r="B49" s="345">
        <f>B39/(1+Assumption_Hatchery!$C76)^'Fin_BaU_CRAB Value'!B34</f>
        <v>0</v>
      </c>
      <c r="C49" s="345">
        <f>C39/(1+Assumption_Hatchery!$C76)^'Fin_BaU_CRAB Value'!C34</f>
        <v>1299597.8773584906</v>
      </c>
      <c r="D49" s="345">
        <f>D39/(1+Assumption_Hatchery!$C76)^'Fin_BaU_CRAB Value'!D34</f>
        <v>4207653.1906372365</v>
      </c>
      <c r="E49" s="345">
        <f>E39/(1+Assumption_Hatchery!$C76)^'Fin_BaU_CRAB Value'!E34</f>
        <v>5738266.3710883176</v>
      </c>
      <c r="F49" s="345">
        <f>F39/(1+Assumption_Hatchery!$C76)^'Fin_BaU_CRAB Value'!F34</f>
        <v>7329375.8317844849</v>
      </c>
      <c r="G49" s="345">
        <f>G39/(1+Assumption_Hatchery!$C76)^'Fin_BaU_CRAB Value'!G34</f>
        <v>7308884.5147090741</v>
      </c>
      <c r="H49" s="345">
        <f>H39/(1+Assumption_Hatchery!$C76)^'Fin_BaU_CRAB Value'!H34</f>
        <v>5881950.2277479414</v>
      </c>
      <c r="I49" s="345">
        <f>I39/(1+Assumption_Hatchery!$C76)^'Fin_BaU_CRAB Value'!I34</f>
        <v>6653702.6160510322</v>
      </c>
      <c r="J49" s="345">
        <f>J39/(1+Assumption_Hatchery!$C76)^'Fin_BaU_CRAB Value'!J34</f>
        <v>6348587.2017013226</v>
      </c>
      <c r="K49" s="345">
        <f>K39/(1+Assumption_Hatchery!$C76)^'Fin_BaU_CRAB Value'!K34</f>
        <v>5112192.9048542259</v>
      </c>
      <c r="L49" s="345">
        <f>L39/(1+Assumption_Hatchery!$C76)^'Fin_BaU_CRAB Value'!L34</f>
        <v>5779892.9392996822</v>
      </c>
      <c r="M49" s="345">
        <f>M39/(1+Assumption_Hatchery!$C76)^'Fin_BaU_CRAB Value'!M34</f>
        <v>5515042.5614282023</v>
      </c>
      <c r="N49" s="345">
        <f>N39/(1+Assumption_Hatchery!$C76)^'Fin_BaU_CRAB Value'!N34</f>
        <v>4443695.9344301689</v>
      </c>
      <c r="O49" s="345">
        <f>O39/(1+Assumption_Hatchery!$C76)^'Fin_BaU_CRAB Value'!O34</f>
        <v>5021374.8463223446</v>
      </c>
      <c r="P49" s="345">
        <f>P39/(1+Assumption_Hatchery!$C76)^'Fin_BaU_CRAB Value'!P34</f>
        <v>4791455.0242051911</v>
      </c>
      <c r="Q49" s="345">
        <f>Q39/(1+Assumption_Hatchery!$C76)^'Fin_BaU_CRAB Value'!Q34</f>
        <v>3863079.7931450559</v>
      </c>
      <c r="R49" s="345">
        <f>R39/(1+Assumption_Hatchery!$C76)^'Fin_BaU_CRAB Value'!R34</f>
        <v>4362876.486585103</v>
      </c>
      <c r="S49" s="345">
        <f>S39/(1+Assumption_Hatchery!$C76)^'Fin_BaU_CRAB Value'!S34</f>
        <v>4163261.7965505305</v>
      </c>
      <c r="T49" s="345">
        <f>T39/(1+Assumption_Hatchery!$C76)^'Fin_BaU_CRAB Value'!T34</f>
        <v>3358739.3764149728</v>
      </c>
      <c r="U49" s="345">
        <f>U39/(1+Assumption_Hatchery!$C76)^'Fin_BaU_CRAB Value'!U34</f>
        <v>3791155.6645924994</v>
      </c>
      <c r="V49" s="345">
        <f>V39/(1+Assumption_Hatchery!$C76)^'Fin_BaU_CRAB Value'!V34</f>
        <v>3617835.2345995791</v>
      </c>
      <c r="W49" s="345">
        <f>W39/(1+Assumption_Hatchery!$C76)^'Fin_BaU_CRAB Value'!W34</f>
        <v>2462191.1666533621</v>
      </c>
      <c r="X49" s="345">
        <f>X39/(1+Assumption_Hatchery!$C76)^'Fin_BaU_CRAB Value'!X34</f>
        <v>1655689.8284679656</v>
      </c>
      <c r="Y49" s="345">
        <f>Y39/(1+Assumption_Hatchery!$C76)^'Fin_BaU_CRAB Value'!Y34</f>
        <v>489588.14327132987</v>
      </c>
      <c r="Z49" s="345">
        <f>Z39/(1+Assumption_Hatchery!$C76)^'Fin_BaU_CRAB Value'!Z34</f>
        <v>106253.79516969666</v>
      </c>
      <c r="AA49" s="343">
        <f>SUM(B49:Z49)</f>
        <v>103302343.32706782</v>
      </c>
    </row>
    <row r="50" spans="1:27" s="12" customFormat="1" x14ac:dyDescent="0.25">
      <c r="A50" s="10" t="str">
        <f>A23</f>
        <v>Financial Costs in Present Value</v>
      </c>
      <c r="B50" s="346">
        <f>B45/(1+Assumption_Hatchery!$C76)^'Fin_BaU_CRAB Value'!B34</f>
        <v>0</v>
      </c>
      <c r="C50" s="346">
        <f>C45/(1+Assumption_Hatchery!$C76)^'Fin_BaU_CRAB Value'!C34</f>
        <v>2670797.7358490564</v>
      </c>
      <c r="D50" s="346">
        <f>D45/(1+Assumption_Hatchery!$C76)^'Fin_BaU_CRAB Value'!D34</f>
        <v>6759980.8784264848</v>
      </c>
      <c r="E50" s="346">
        <f>E45/(1+Assumption_Hatchery!$C76)^'Fin_BaU_CRAB Value'!E34</f>
        <v>8906237.7560586911</v>
      </c>
      <c r="F50" s="346">
        <f>F45/(1+Assumption_Hatchery!$C76)^'Fin_BaU_CRAB Value'!F34</f>
        <v>6938563.1429685634</v>
      </c>
      <c r="G50" s="346">
        <f>G45/(1+Assumption_Hatchery!$C76)^'Fin_BaU_CRAB Value'!G34</f>
        <v>6331554.0790467905</v>
      </c>
      <c r="H50" s="346">
        <f>H45/(1+Assumption_Hatchery!$C76)^'Fin_BaU_CRAB Value'!H34</f>
        <v>5695159.8472544551</v>
      </c>
      <c r="I50" s="346">
        <f>I45/(1+Assumption_Hatchery!$C76)^'Fin_BaU_CRAB Value'!I34</f>
        <v>5226958.3726403322</v>
      </c>
      <c r="J50" s="346">
        <f>J45/(1+Assumption_Hatchery!$C76)^'Fin_BaU_CRAB Value'!J34</f>
        <v>4932641.9656530526</v>
      </c>
      <c r="K50" s="346">
        <f>K45/(1+Assumption_Hatchery!$C76)^'Fin_BaU_CRAB Value'!K34</f>
        <v>4771471.5092147887</v>
      </c>
      <c r="L50" s="346">
        <f>L45/(1+Assumption_Hatchery!$C76)^'Fin_BaU_CRAB Value'!L34</f>
        <v>4392832.7856516568</v>
      </c>
      <c r="M50" s="346">
        <f>M45/(1+Assumption_Hatchery!$C76)^'Fin_BaU_CRAB Value'!M34</f>
        <v>4145521.9916184046</v>
      </c>
      <c r="N50" s="346">
        <f>N45/(1+Assumption_Hatchery!$C76)^'Fin_BaU_CRAB Value'!N34</f>
        <v>4010012.4005678268</v>
      </c>
      <c r="O50" s="346">
        <f>O45/(1+Assumption_Hatchery!$C76)^'Fin_BaU_CRAB Value'!O34</f>
        <v>3691921.1159713026</v>
      </c>
      <c r="P50" s="346">
        <f>P45/(1+Assumption_Hatchery!$C76)^'Fin_BaU_CRAB Value'!P34</f>
        <v>3484103.7326064236</v>
      </c>
      <c r="Q50" s="346">
        <f>Q45/(1+Assumption_Hatchery!$C76)^'Fin_BaU_CRAB Value'!Q34</f>
        <v>3370164.8362542936</v>
      </c>
      <c r="R50" s="346">
        <f>R45/(1+Assumption_Hatchery!$C76)^'Fin_BaU_CRAB Value'!R34</f>
        <v>3102934.4910963629</v>
      </c>
      <c r="S50" s="346">
        <f>S45/(1+Assumption_Hatchery!$C76)^'Fin_BaU_CRAB Value'!S34</f>
        <v>2928299.5402449919</v>
      </c>
      <c r="T50" s="346">
        <f>T45/(1+Assumption_Hatchery!$C76)^'Fin_BaU_CRAB Value'!T34</f>
        <v>2832493.7334093908</v>
      </c>
      <c r="U50" s="346">
        <f>U45/(1+Assumption_Hatchery!$C76)^'Fin_BaU_CRAB Value'!U34</f>
        <v>2607988.0981745035</v>
      </c>
      <c r="V50" s="346">
        <f>V45/(1+Assumption_Hatchery!$C76)^'Fin_BaU_CRAB Value'!V34</f>
        <v>2461233.6568226353</v>
      </c>
      <c r="W50" s="346">
        <f>W45/(1+Assumption_Hatchery!$C76)^'Fin_BaU_CRAB Value'!W34</f>
        <v>2007234.3667859095</v>
      </c>
      <c r="X50" s="346">
        <f>X45/(1+Assumption_Hatchery!$C76)^'Fin_BaU_CRAB Value'!X34</f>
        <v>1102965.9392365278</v>
      </c>
      <c r="Y50" s="346">
        <f>Y45/(1+Assumption_Hatchery!$C76)^'Fin_BaU_CRAB Value'!Y34</f>
        <v>326717.19308011822</v>
      </c>
      <c r="Z50" s="346">
        <f>Z45/(1+Assumption_Hatchery!$C76)^'Fin_BaU_CRAB Value'!Z34</f>
        <v>89986.634085539888</v>
      </c>
      <c r="AA50" s="343">
        <f>SUM(B50:Z50)</f>
        <v>92787775.802718103</v>
      </c>
    </row>
    <row r="51" spans="1:27" x14ac:dyDescent="0.25">
      <c r="B51" s="32"/>
      <c r="C51" s="32"/>
      <c r="D51" s="32"/>
      <c r="E51" s="32"/>
      <c r="F51" s="32"/>
      <c r="G51" s="32"/>
      <c r="H51" s="32"/>
      <c r="I51" s="32"/>
      <c r="J51" s="32"/>
      <c r="K51" s="32"/>
      <c r="L51" s="32"/>
    </row>
    <row r="52" spans="1:27" s="12" customFormat="1" x14ac:dyDescent="0.25">
      <c r="A52" s="25" t="s">
        <v>391</v>
      </c>
      <c r="B52" s="35">
        <f>NPV(B3,C47:Z47)+B47</f>
        <v>5666250.892716568</v>
      </c>
      <c r="C52" s="40"/>
      <c r="D52" s="40"/>
      <c r="E52" s="40"/>
      <c r="F52" s="40"/>
      <c r="G52" s="40"/>
      <c r="H52" s="40"/>
      <c r="I52" s="40"/>
      <c r="J52" s="40"/>
      <c r="K52" s="40"/>
      <c r="L52" s="40"/>
    </row>
    <row r="54" spans="1:27" s="12" customFormat="1" x14ac:dyDescent="0.25">
      <c r="A54" s="25" t="s">
        <v>237</v>
      </c>
      <c r="B54" s="36">
        <f>IRR(B47:Z47)</f>
        <v>0.16382522652849429</v>
      </c>
      <c r="C54" s="4"/>
      <c r="D54" s="4"/>
      <c r="E54" s="4"/>
      <c r="F54" s="4"/>
      <c r="G54" s="4"/>
      <c r="H54" s="4"/>
      <c r="I54" s="4"/>
      <c r="J54" s="4"/>
      <c r="K54" s="4"/>
      <c r="L54" s="4"/>
    </row>
    <row r="56" spans="1:27" ht="38.25" customHeight="1" x14ac:dyDescent="0.25">
      <c r="A56" s="11"/>
      <c r="B56" s="30"/>
      <c r="C56" s="69"/>
      <c r="D56" s="70"/>
      <c r="E56" s="30"/>
      <c r="F56" s="116"/>
      <c r="G56" s="30"/>
      <c r="H56" s="30"/>
      <c r="I56" s="30"/>
      <c r="J56" s="30"/>
      <c r="K56" s="30"/>
      <c r="L56" s="30"/>
      <c r="M56" s="11"/>
    </row>
    <row r="57" spans="1:27" s="1" customFormat="1" x14ac:dyDescent="0.25">
      <c r="A57" s="24"/>
      <c r="B57" s="42"/>
      <c r="C57" s="42"/>
      <c r="D57" s="42"/>
      <c r="E57" s="42"/>
      <c r="F57" s="42"/>
      <c r="G57" s="42"/>
      <c r="H57" s="42"/>
      <c r="I57" s="42"/>
      <c r="J57" s="42"/>
      <c r="K57" s="42"/>
      <c r="L57" s="42"/>
    </row>
    <row r="59" spans="1:27" ht="26.25" x14ac:dyDescent="0.25">
      <c r="F59" s="19" t="s">
        <v>92</v>
      </c>
    </row>
    <row r="60" spans="1:27" ht="38.25" customHeight="1" x14ac:dyDescent="0.25">
      <c r="A60" s="11" t="str">
        <f>A5</f>
        <v>Aggregate Financial Analysis_CRAB Value Chain</v>
      </c>
      <c r="B60" s="30"/>
      <c r="C60" s="69"/>
      <c r="D60" s="70"/>
      <c r="E60" s="30"/>
      <c r="F60" s="30"/>
      <c r="G60" s="30"/>
      <c r="H60" s="30"/>
      <c r="I60" s="30"/>
      <c r="J60" s="30"/>
      <c r="K60" s="30"/>
      <c r="L60" s="30"/>
      <c r="M60" s="11"/>
    </row>
    <row r="62" spans="1:27" x14ac:dyDescent="0.25">
      <c r="A62" s="10" t="s">
        <v>19</v>
      </c>
      <c r="B62" s="26">
        <v>0</v>
      </c>
      <c r="C62" s="26">
        <v>1</v>
      </c>
      <c r="D62" s="26">
        <v>2</v>
      </c>
      <c r="E62" s="26">
        <v>3</v>
      </c>
      <c r="F62" s="26">
        <v>4</v>
      </c>
      <c r="G62" s="26">
        <v>5</v>
      </c>
      <c r="H62" s="26">
        <v>6</v>
      </c>
      <c r="I62" s="26">
        <v>7</v>
      </c>
      <c r="J62" s="26">
        <v>8</v>
      </c>
      <c r="K62" s="26">
        <v>9</v>
      </c>
      <c r="L62" s="26">
        <v>10</v>
      </c>
      <c r="M62" s="26">
        <v>11</v>
      </c>
      <c r="N62" s="26">
        <v>12</v>
      </c>
      <c r="O62" s="26">
        <v>13</v>
      </c>
      <c r="P62" s="26">
        <v>14</v>
      </c>
      <c r="Q62" s="26">
        <v>15</v>
      </c>
      <c r="R62" s="26">
        <v>16</v>
      </c>
      <c r="S62" s="26">
        <v>17</v>
      </c>
      <c r="T62" s="26">
        <v>18</v>
      </c>
      <c r="U62" s="26">
        <v>19</v>
      </c>
      <c r="V62" s="26">
        <v>20</v>
      </c>
      <c r="W62" s="26">
        <v>21</v>
      </c>
      <c r="X62" s="26">
        <v>22</v>
      </c>
      <c r="Y62" s="26">
        <v>23</v>
      </c>
      <c r="Z62" s="26">
        <v>24</v>
      </c>
    </row>
    <row r="63" spans="1:27" x14ac:dyDescent="0.25">
      <c r="A63" s="23" t="s">
        <v>381</v>
      </c>
    </row>
    <row r="64" spans="1:27" x14ac:dyDescent="0.25">
      <c r="A64" s="88" t="s">
        <v>345</v>
      </c>
      <c r="B64" s="31">
        <v>0</v>
      </c>
      <c r="C64" s="31">
        <v>0</v>
      </c>
      <c r="D64" s="31">
        <v>221085.00000000003</v>
      </c>
      <c r="E64" s="31">
        <v>395764.2585</v>
      </c>
      <c r="F64" s="31">
        <v>460033.66800000006</v>
      </c>
      <c r="G64" s="31">
        <v>469234.34136000008</v>
      </c>
      <c r="H64" s="31">
        <v>466653.55248252011</v>
      </c>
      <c r="I64" s="31">
        <v>488191.40875094401</v>
      </c>
      <c r="J64" s="31">
        <v>497955.2369259629</v>
      </c>
      <c r="K64" s="31">
        <v>495216.48312287009</v>
      </c>
      <c r="L64" s="31">
        <v>518072.62849777186</v>
      </c>
      <c r="M64" s="31">
        <v>528434.08106772718</v>
      </c>
      <c r="N64" s="31">
        <v>525527.69362185476</v>
      </c>
      <c r="O64" s="31">
        <v>549782.81794286345</v>
      </c>
      <c r="P64" s="31">
        <v>560778.47430172074</v>
      </c>
      <c r="Q64" s="31">
        <v>557694.19269306108</v>
      </c>
      <c r="R64" s="31">
        <v>583433.92466351017</v>
      </c>
      <c r="S64" s="31">
        <v>595102.60315678047</v>
      </c>
      <c r="T64" s="31">
        <v>591829.53883941809</v>
      </c>
      <c r="U64" s="31">
        <v>619144.74832431425</v>
      </c>
      <c r="V64" s="31">
        <v>631527.64329080062</v>
      </c>
      <c r="W64" s="31">
        <v>521443.39300216088</v>
      </c>
      <c r="X64" s="31">
        <v>358520.68003987451</v>
      </c>
      <c r="Y64" s="31">
        <v>107018.21872813438</v>
      </c>
      <c r="Z64" s="31">
        <v>9500</v>
      </c>
    </row>
    <row r="65" spans="1:27" x14ac:dyDescent="0.25">
      <c r="A65" s="88" t="s">
        <v>346</v>
      </c>
      <c r="B65" s="31">
        <v>0</v>
      </c>
      <c r="C65" s="31">
        <v>160650.00000000003</v>
      </c>
      <c r="D65" s="31">
        <v>409657.50000000006</v>
      </c>
      <c r="E65" s="31">
        <v>635132.98800000001</v>
      </c>
      <c r="F65" s="31">
        <v>852415.32600000012</v>
      </c>
      <c r="G65" s="31">
        <v>869463.6325200001</v>
      </c>
      <c r="H65" s="31">
        <v>842510.25991188013</v>
      </c>
      <c r="I65" s="31">
        <v>904589.96327380801</v>
      </c>
      <c r="J65" s="31">
        <v>922681.76253928419</v>
      </c>
      <c r="K65" s="31">
        <v>894078.62790056644</v>
      </c>
      <c r="L65" s="31">
        <v>959958.10574587132</v>
      </c>
      <c r="M65" s="31">
        <v>979157.26786078862</v>
      </c>
      <c r="N65" s="31">
        <v>948803.39255710435</v>
      </c>
      <c r="O65" s="31">
        <v>1018715.2214823646</v>
      </c>
      <c r="P65" s="31">
        <v>1039089.525912012</v>
      </c>
      <c r="Q65" s="31">
        <v>1006877.7506087393</v>
      </c>
      <c r="R65" s="31">
        <v>1081068.7427588571</v>
      </c>
      <c r="S65" s="31">
        <v>1102690.1176140343</v>
      </c>
      <c r="T65" s="31">
        <v>1068506.7239679992</v>
      </c>
      <c r="U65" s="31">
        <v>1147238.7983656412</v>
      </c>
      <c r="V65" s="31">
        <v>1170183.5743329541</v>
      </c>
      <c r="W65" s="31">
        <v>907126.3068229059</v>
      </c>
      <c r="X65" s="31">
        <v>608729.49536800268</v>
      </c>
      <c r="Y65" s="31">
        <v>248361.63411014507</v>
      </c>
      <c r="Z65" s="31">
        <v>0</v>
      </c>
    </row>
    <row r="66" spans="1:27" customFormat="1" x14ac:dyDescent="0.25">
      <c r="A66" s="88" t="s">
        <v>347</v>
      </c>
      <c r="B66" s="427">
        <v>0</v>
      </c>
      <c r="C66" s="427">
        <v>1216923.75</v>
      </c>
      <c r="D66" s="427">
        <v>4096976.625</v>
      </c>
      <c r="E66" s="427">
        <v>5803469.8137281248</v>
      </c>
      <c r="F66" s="427">
        <v>7940719.1248087501</v>
      </c>
      <c r="G66" s="427">
        <v>8442238.22742825</v>
      </c>
      <c r="H66" s="427">
        <v>7034495.00300459</v>
      </c>
      <c r="I66" s="427">
        <v>8611927.215799557</v>
      </c>
      <c r="J66" s="427">
        <v>8698046.4879575539</v>
      </c>
      <c r="K66" s="427">
        <v>7247647.2360906331</v>
      </c>
      <c r="L66" s="427">
        <v>8872877.2223655023</v>
      </c>
      <c r="M66" s="427">
        <v>8961605.9945891555</v>
      </c>
      <c r="N66" s="427">
        <v>7467258.1949914135</v>
      </c>
      <c r="O66" s="427">
        <v>9141734.2750803977</v>
      </c>
      <c r="P66" s="427">
        <v>9233151.6178312041</v>
      </c>
      <c r="Q66" s="427">
        <v>7693523.5855578482</v>
      </c>
      <c r="R66" s="427">
        <v>9418737.9653496109</v>
      </c>
      <c r="S66" s="427">
        <v>9512925.3450031076</v>
      </c>
      <c r="T66" s="427">
        <v>7926645.0437238393</v>
      </c>
      <c r="U66" s="427">
        <v>9704135.144437667</v>
      </c>
      <c r="V66" s="427">
        <v>9801176.4958820455</v>
      </c>
      <c r="W66" s="427">
        <v>6941805.7679146565</v>
      </c>
      <c r="X66" s="427">
        <v>4999090.0717246383</v>
      </c>
      <c r="Y66" s="427">
        <v>1514724.291732565</v>
      </c>
      <c r="Z66" s="427">
        <v>420714.67202872003</v>
      </c>
      <c r="AA66">
        <v>0</v>
      </c>
    </row>
    <row r="67" spans="1:27" s="12" customFormat="1" x14ac:dyDescent="0.25">
      <c r="A67" s="23" t="s">
        <v>53</v>
      </c>
      <c r="B67" s="38">
        <f t="shared" ref="B67:Z67" si="6">SUM(B64:B66)</f>
        <v>0</v>
      </c>
      <c r="C67" s="38">
        <f t="shared" si="6"/>
        <v>1377573.75</v>
      </c>
      <c r="D67" s="38">
        <f t="shared" si="6"/>
        <v>4727719.125</v>
      </c>
      <c r="E67" s="38">
        <f t="shared" si="6"/>
        <v>6834367.0602281252</v>
      </c>
      <c r="F67" s="38">
        <f t="shared" si="6"/>
        <v>9253168.1188087501</v>
      </c>
      <c r="G67" s="38">
        <f t="shared" si="6"/>
        <v>9780936.2013082504</v>
      </c>
      <c r="H67" s="38">
        <f t="shared" si="6"/>
        <v>8343658.8153989902</v>
      </c>
      <c r="I67" s="38">
        <f t="shared" si="6"/>
        <v>10004708.587824309</v>
      </c>
      <c r="J67" s="38">
        <f t="shared" si="6"/>
        <v>10118683.487422802</v>
      </c>
      <c r="K67" s="38">
        <f t="shared" si="6"/>
        <v>8636942.3471140694</v>
      </c>
      <c r="L67" s="38">
        <f t="shared" si="6"/>
        <v>10350907.956609145</v>
      </c>
      <c r="M67" s="38">
        <f t="shared" si="6"/>
        <v>10469197.343517672</v>
      </c>
      <c r="N67" s="38">
        <f t="shared" si="6"/>
        <v>8941589.2811703719</v>
      </c>
      <c r="O67" s="38">
        <f t="shared" si="6"/>
        <v>10710232.314505626</v>
      </c>
      <c r="P67" s="38">
        <f t="shared" si="6"/>
        <v>10833019.618044937</v>
      </c>
      <c r="Q67" s="38">
        <f t="shared" si="6"/>
        <v>9258095.5288596489</v>
      </c>
      <c r="R67" s="38">
        <f t="shared" si="6"/>
        <v>11083240.632771978</v>
      </c>
      <c r="S67" s="38">
        <f t="shared" si="6"/>
        <v>11210718.065773923</v>
      </c>
      <c r="T67" s="38">
        <f t="shared" si="6"/>
        <v>9586981.3065312561</v>
      </c>
      <c r="U67" s="38">
        <f t="shared" si="6"/>
        <v>11470518.691127623</v>
      </c>
      <c r="V67" s="38">
        <f t="shared" si="6"/>
        <v>11602887.713505801</v>
      </c>
      <c r="W67" s="38">
        <f t="shared" si="6"/>
        <v>8370375.4677397236</v>
      </c>
      <c r="X67" s="38">
        <f t="shared" si="6"/>
        <v>5966340.2471325155</v>
      </c>
      <c r="Y67" s="38">
        <f t="shared" si="6"/>
        <v>1870104.1445708445</v>
      </c>
      <c r="Z67" s="38">
        <f t="shared" si="6"/>
        <v>430214.67202872003</v>
      </c>
    </row>
    <row r="68" spans="1:27" x14ac:dyDescent="0.25">
      <c r="A68" s="23"/>
      <c r="B68" s="41"/>
      <c r="C68" s="41"/>
      <c r="D68" s="41"/>
      <c r="E68" s="41"/>
      <c r="F68" s="41"/>
      <c r="G68" s="41"/>
      <c r="H68" s="41"/>
      <c r="I68" s="41"/>
      <c r="J68" s="41"/>
      <c r="K68" s="41"/>
    </row>
    <row r="69" spans="1:27" x14ac:dyDescent="0.25">
      <c r="A69" s="23" t="s">
        <v>380</v>
      </c>
    </row>
    <row r="70" spans="1:27" x14ac:dyDescent="0.25">
      <c r="A70" s="88" t="s">
        <v>345</v>
      </c>
      <c r="B70" s="33">
        <v>0</v>
      </c>
      <c r="C70" s="33">
        <v>165100.6</v>
      </c>
      <c r="D70" s="33">
        <v>317854.01500000001</v>
      </c>
      <c r="E70" s="33">
        <v>514506.09927000001</v>
      </c>
      <c r="F70" s="33">
        <v>411124.26140299998</v>
      </c>
      <c r="G70" s="33">
        <v>373835.50401703001</v>
      </c>
      <c r="H70" s="33">
        <v>381098.85905720032</v>
      </c>
      <c r="I70" s="33">
        <v>376764.34764777229</v>
      </c>
      <c r="J70" s="33">
        <v>376981.99112425005</v>
      </c>
      <c r="K70" s="33">
        <v>381751.81103549252</v>
      </c>
      <c r="L70" s="33">
        <v>377423.82914584747</v>
      </c>
      <c r="M70" s="33">
        <v>377648.06743730593</v>
      </c>
      <c r="N70" s="33">
        <v>382424.54811167897</v>
      </c>
      <c r="O70" s="33">
        <v>378103.29359279579</v>
      </c>
      <c r="P70" s="33">
        <v>378334.32652872376</v>
      </c>
      <c r="Q70" s="33">
        <v>383117.66979401099</v>
      </c>
      <c r="R70" s="33">
        <v>378803.34649195109</v>
      </c>
      <c r="S70" s="33">
        <v>379041.37995687057</v>
      </c>
      <c r="T70" s="33">
        <v>383831.79375643929</v>
      </c>
      <c r="U70" s="33">
        <v>379524.61169400369</v>
      </c>
      <c r="V70" s="33">
        <v>379769.85781094374</v>
      </c>
      <c r="W70" s="33">
        <v>317804.04511124251</v>
      </c>
      <c r="X70" s="33">
        <v>215133.86597647186</v>
      </c>
      <c r="Y70" s="33">
        <v>73052.040927247319</v>
      </c>
      <c r="Z70" s="33">
        <v>25374.999999999996</v>
      </c>
    </row>
    <row r="71" spans="1:27" x14ac:dyDescent="0.25">
      <c r="A71" s="88" t="s">
        <v>346</v>
      </c>
      <c r="B71" s="33">
        <v>0</v>
      </c>
      <c r="C71" s="33">
        <v>176420</v>
      </c>
      <c r="D71" s="33">
        <v>442110.5</v>
      </c>
      <c r="E71" s="33">
        <v>709390.56799999997</v>
      </c>
      <c r="F71" s="33">
        <v>888526.84210000001</v>
      </c>
      <c r="G71" s="33">
        <v>890712.110521</v>
      </c>
      <c r="H71" s="33">
        <v>893294.23162621004</v>
      </c>
      <c r="I71" s="33">
        <v>895148.42394247209</v>
      </c>
      <c r="J71" s="33">
        <v>897399.9081818969</v>
      </c>
      <c r="K71" s="33">
        <v>900048.90726371575</v>
      </c>
      <c r="L71" s="33">
        <v>901970.64633635292</v>
      </c>
      <c r="M71" s="33">
        <v>904290.35279971652</v>
      </c>
      <c r="N71" s="33">
        <v>907008.25632771361</v>
      </c>
      <c r="O71" s="33">
        <v>908999.58889099082</v>
      </c>
      <c r="P71" s="33">
        <v>911389.58477990073</v>
      </c>
      <c r="Q71" s="33">
        <v>914178.48062769976</v>
      </c>
      <c r="R71" s="33">
        <v>916241.51543397678</v>
      </c>
      <c r="S71" s="33">
        <v>918703.93058831652</v>
      </c>
      <c r="T71" s="33">
        <v>921565.96989419963</v>
      </c>
      <c r="U71" s="33">
        <v>923702.87959314161</v>
      </c>
      <c r="V71" s="33">
        <v>926239.9083890731</v>
      </c>
      <c r="W71" s="33">
        <v>743341.84597837098</v>
      </c>
      <c r="X71" s="33">
        <v>465695.16527384677</v>
      </c>
      <c r="Y71" s="33">
        <v>186800.84677063406</v>
      </c>
      <c r="Z71" s="33">
        <v>0</v>
      </c>
    </row>
    <row r="72" spans="1:27" x14ac:dyDescent="0.25">
      <c r="A72" s="88" t="s">
        <v>347</v>
      </c>
      <c r="B72" s="33">
        <v>0</v>
      </c>
      <c r="C72" s="33">
        <v>1888125</v>
      </c>
      <c r="D72" s="33">
        <v>5393750</v>
      </c>
      <c r="E72" s="33">
        <v>7862575</v>
      </c>
      <c r="F72" s="33">
        <v>6858125</v>
      </c>
      <c r="G72" s="33">
        <v>6887500</v>
      </c>
      <c r="H72" s="33">
        <v>6779500</v>
      </c>
      <c r="I72" s="33">
        <v>6587500</v>
      </c>
      <c r="J72" s="33">
        <v>6587500</v>
      </c>
      <c r="K72" s="33">
        <v>6779500</v>
      </c>
      <c r="L72" s="33">
        <v>6587500</v>
      </c>
      <c r="M72" s="33">
        <v>6587500</v>
      </c>
      <c r="N72" s="33">
        <v>6779500</v>
      </c>
      <c r="O72" s="33">
        <v>6587500</v>
      </c>
      <c r="P72" s="33">
        <v>6587500</v>
      </c>
      <c r="Q72" s="33">
        <v>6779500</v>
      </c>
      <c r="R72" s="33">
        <v>6587500</v>
      </c>
      <c r="S72" s="33">
        <v>6587500</v>
      </c>
      <c r="T72" s="33">
        <v>6779500</v>
      </c>
      <c r="U72" s="33">
        <v>6587500</v>
      </c>
      <c r="V72" s="33">
        <v>6587500</v>
      </c>
      <c r="W72" s="33">
        <v>5762575</v>
      </c>
      <c r="X72" s="33">
        <v>3293750</v>
      </c>
      <c r="Y72" s="33">
        <v>988125</v>
      </c>
      <c r="Z72" s="33">
        <v>338975</v>
      </c>
      <c r="AA72" s="3">
        <v>0</v>
      </c>
    </row>
    <row r="73" spans="1:27" x14ac:dyDescent="0.25">
      <c r="A73" s="117" t="s">
        <v>54</v>
      </c>
      <c r="B73" s="37">
        <f t="shared" ref="B73:Z73" si="7">SUM(B70:B72)</f>
        <v>0</v>
      </c>
      <c r="C73" s="37">
        <f t="shared" si="7"/>
        <v>2229645.6</v>
      </c>
      <c r="D73" s="37">
        <f t="shared" si="7"/>
        <v>6153714.5149999997</v>
      </c>
      <c r="E73" s="37">
        <f t="shared" si="7"/>
        <v>9086471.667270001</v>
      </c>
      <c r="F73" s="37">
        <f t="shared" si="7"/>
        <v>8157776.103503</v>
      </c>
      <c r="G73" s="37">
        <f t="shared" si="7"/>
        <v>8152047.6145380298</v>
      </c>
      <c r="H73" s="37">
        <f t="shared" si="7"/>
        <v>8053893.0906834099</v>
      </c>
      <c r="I73" s="37">
        <f t="shared" si="7"/>
        <v>7859412.771590244</v>
      </c>
      <c r="J73" s="37">
        <f t="shared" si="7"/>
        <v>7861881.8993061464</v>
      </c>
      <c r="K73" s="37">
        <f t="shared" si="7"/>
        <v>8061300.7182992082</v>
      </c>
      <c r="L73" s="37">
        <f t="shared" si="7"/>
        <v>7866894.4754822003</v>
      </c>
      <c r="M73" s="37">
        <f t="shared" si="7"/>
        <v>7869438.4202370225</v>
      </c>
      <c r="N73" s="37">
        <f t="shared" si="7"/>
        <v>8068932.8044393929</v>
      </c>
      <c r="O73" s="37">
        <f t="shared" si="7"/>
        <v>7874602.8824837869</v>
      </c>
      <c r="P73" s="37">
        <f t="shared" si="7"/>
        <v>7877223.9113086248</v>
      </c>
      <c r="Q73" s="37">
        <f t="shared" si="7"/>
        <v>8076796.1504217107</v>
      </c>
      <c r="R73" s="37">
        <f t="shared" si="7"/>
        <v>7882544.8619259279</v>
      </c>
      <c r="S73" s="37">
        <f t="shared" si="7"/>
        <v>7885245.3105451874</v>
      </c>
      <c r="T73" s="37">
        <f t="shared" si="7"/>
        <v>8084897.763650639</v>
      </c>
      <c r="U73" s="37">
        <f t="shared" si="7"/>
        <v>7890727.4912871458</v>
      </c>
      <c r="V73" s="37">
        <f t="shared" si="7"/>
        <v>7893509.7662000172</v>
      </c>
      <c r="W73" s="37">
        <f t="shared" si="7"/>
        <v>6823720.8910896135</v>
      </c>
      <c r="X73" s="37">
        <f t="shared" si="7"/>
        <v>3974579.0312503185</v>
      </c>
      <c r="Y73" s="37">
        <f t="shared" si="7"/>
        <v>1247977.8876978813</v>
      </c>
      <c r="Z73" s="37">
        <f t="shared" si="7"/>
        <v>364350</v>
      </c>
    </row>
    <row r="74" spans="1:27" x14ac:dyDescent="0.25">
      <c r="B74" s="32"/>
      <c r="C74" s="32"/>
      <c r="D74" s="32"/>
      <c r="E74" s="32"/>
      <c r="F74" s="32"/>
      <c r="G74" s="32"/>
      <c r="H74" s="32"/>
      <c r="I74" s="32"/>
      <c r="J74" s="32"/>
      <c r="K74" s="32"/>
      <c r="L74" s="32"/>
    </row>
    <row r="75" spans="1:27" x14ac:dyDescent="0.25">
      <c r="A75" s="23" t="str">
        <f>A20</f>
        <v>Net Benefits ($)</v>
      </c>
      <c r="B75" s="34">
        <f t="shared" ref="B75:Z75" si="8">B67-B73</f>
        <v>0</v>
      </c>
      <c r="C75" s="34">
        <f t="shared" si="8"/>
        <v>-852071.85000000009</v>
      </c>
      <c r="D75" s="34">
        <f t="shared" si="8"/>
        <v>-1425995.3899999997</v>
      </c>
      <c r="E75" s="34">
        <f t="shared" si="8"/>
        <v>-2252104.6070418758</v>
      </c>
      <c r="F75" s="34">
        <f t="shared" si="8"/>
        <v>1095392.0153057501</v>
      </c>
      <c r="G75" s="34">
        <f t="shared" si="8"/>
        <v>1628888.5867702207</v>
      </c>
      <c r="H75" s="34">
        <f t="shared" si="8"/>
        <v>289765.72471558023</v>
      </c>
      <c r="I75" s="34">
        <f t="shared" si="8"/>
        <v>2145295.8162340652</v>
      </c>
      <c r="J75" s="34">
        <f t="shared" si="8"/>
        <v>2256801.5881166551</v>
      </c>
      <c r="K75" s="34">
        <f t="shared" si="8"/>
        <v>575641.62881486118</v>
      </c>
      <c r="L75" s="34">
        <f t="shared" si="8"/>
        <v>2484013.4811269445</v>
      </c>
      <c r="M75" s="34">
        <f t="shared" si="8"/>
        <v>2599758.9232806498</v>
      </c>
      <c r="N75" s="34">
        <f t="shared" si="8"/>
        <v>872656.47673097905</v>
      </c>
      <c r="O75" s="34">
        <f t="shared" si="8"/>
        <v>2835629.4320218386</v>
      </c>
      <c r="P75" s="34">
        <f t="shared" si="8"/>
        <v>2955795.7067363122</v>
      </c>
      <c r="Q75" s="34">
        <f t="shared" si="8"/>
        <v>1181299.3784379382</v>
      </c>
      <c r="R75" s="34">
        <f t="shared" si="8"/>
        <v>3200695.7708460502</v>
      </c>
      <c r="S75" s="34">
        <f t="shared" si="8"/>
        <v>3325472.7552287355</v>
      </c>
      <c r="T75" s="34">
        <f t="shared" si="8"/>
        <v>1502083.5428806171</v>
      </c>
      <c r="U75" s="34">
        <f t="shared" si="8"/>
        <v>3579791.1998404767</v>
      </c>
      <c r="V75" s="34">
        <f t="shared" si="8"/>
        <v>3709377.9473057836</v>
      </c>
      <c r="W75" s="34">
        <f t="shared" si="8"/>
        <v>1546654.5766501101</v>
      </c>
      <c r="X75" s="34">
        <f t="shared" si="8"/>
        <v>1991761.215882197</v>
      </c>
      <c r="Y75" s="34">
        <f t="shared" si="8"/>
        <v>622126.25687296316</v>
      </c>
      <c r="Z75" s="34">
        <f t="shared" si="8"/>
        <v>65864.67202872003</v>
      </c>
    </row>
    <row r="76" spans="1:27" x14ac:dyDescent="0.25">
      <c r="A76" s="23"/>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12"/>
    </row>
    <row r="77" spans="1:27" x14ac:dyDescent="0.25">
      <c r="A77" s="10" t="str">
        <f>A22</f>
        <v>Financial Benefits in Present Value</v>
      </c>
      <c r="B77" s="345">
        <f>B67/(1+Assumption_Hatchery!$C76)^'Fin_BaU_CRAB Value'!B62</f>
        <v>0</v>
      </c>
      <c r="C77" s="345">
        <f>C67/(1+Assumption_Hatchery!$C76)^'Fin_BaU_CRAB Value'!C62</f>
        <v>1299597.8773584906</v>
      </c>
      <c r="D77" s="345">
        <f>D67/(1+Assumption_Hatchery!$C76)^'Fin_BaU_CRAB Value'!D62</f>
        <v>4207653.1906372365</v>
      </c>
      <c r="E77" s="345">
        <f>E67/(1+Assumption_Hatchery!$C76)^'Fin_BaU_CRAB Value'!E62</f>
        <v>5738266.3710883176</v>
      </c>
      <c r="F77" s="345">
        <f>F67/(1+Assumption_Hatchery!$C76)^'Fin_BaU_CRAB Value'!F62</f>
        <v>7329375.8317844849</v>
      </c>
      <c r="G77" s="345">
        <f>G67/(1+Assumption_Hatchery!$C76)^'Fin_BaU_CRAB Value'!G62</f>
        <v>7308884.5147090741</v>
      </c>
      <c r="H77" s="345">
        <f>H67/(1+Assumption_Hatchery!$C76)^'Fin_BaU_CRAB Value'!H62</f>
        <v>5881950.2277479414</v>
      </c>
      <c r="I77" s="345">
        <f>I67/(1+Assumption_Hatchery!$C76)^'Fin_BaU_CRAB Value'!I62</f>
        <v>6653702.6160510322</v>
      </c>
      <c r="J77" s="345">
        <f>J67/(1+Assumption_Hatchery!$C76)^'Fin_BaU_CRAB Value'!J62</f>
        <v>6348587.2017013226</v>
      </c>
      <c r="K77" s="345">
        <f>K67/(1+Assumption_Hatchery!$C76)^'Fin_BaU_CRAB Value'!K62</f>
        <v>5112192.9048542259</v>
      </c>
      <c r="L77" s="345">
        <f>L67/(1+Assumption_Hatchery!$C76)^'Fin_BaU_CRAB Value'!L62</f>
        <v>5779892.9392996822</v>
      </c>
      <c r="M77" s="345">
        <f>M67/(1+Assumption_Hatchery!$C76)^'Fin_BaU_CRAB Value'!M62</f>
        <v>5515042.5614282023</v>
      </c>
      <c r="N77" s="345">
        <f>N67/(1+Assumption_Hatchery!$C76)^'Fin_BaU_CRAB Value'!N62</f>
        <v>4443695.9344301689</v>
      </c>
      <c r="O77" s="345">
        <f>O67/(1+Assumption_Hatchery!$C76)^'Fin_BaU_CRAB Value'!O62</f>
        <v>5021374.8463223446</v>
      </c>
      <c r="P77" s="345">
        <f>P67/(1+Assumption_Hatchery!$C76)^'Fin_BaU_CRAB Value'!P62</f>
        <v>4791455.0242051911</v>
      </c>
      <c r="Q77" s="345">
        <f>Q67/(1+Assumption_Hatchery!$C76)^'Fin_BaU_CRAB Value'!Q62</f>
        <v>3863079.7931450559</v>
      </c>
      <c r="R77" s="345">
        <f>R67/(1+Assumption_Hatchery!$C76)^'Fin_BaU_CRAB Value'!R62</f>
        <v>4362876.486585103</v>
      </c>
      <c r="S77" s="345">
        <f>S67/(1+Assumption_Hatchery!$C76)^'Fin_BaU_CRAB Value'!S62</f>
        <v>4163261.7965505305</v>
      </c>
      <c r="T77" s="345">
        <f>T67/(1+Assumption_Hatchery!$C76)^'Fin_BaU_CRAB Value'!T62</f>
        <v>3358739.3764149728</v>
      </c>
      <c r="U77" s="345">
        <f>U67/(1+Assumption_Hatchery!$C76)^'Fin_BaU_CRAB Value'!U62</f>
        <v>3791155.6645924994</v>
      </c>
      <c r="V77" s="345">
        <f>V67/(1+Assumption_Hatchery!$C76)^'Fin_BaU_CRAB Value'!V62</f>
        <v>3617835.2345995791</v>
      </c>
      <c r="W77" s="345">
        <f>W67/(1+Assumption_Hatchery!$C76)^'Fin_BaU_CRAB Value'!W62</f>
        <v>2462191.1666533621</v>
      </c>
      <c r="X77" s="345">
        <f>X67/(1+Assumption_Hatchery!$C76)^'Fin_BaU_CRAB Value'!X62</f>
        <v>1655689.8284679656</v>
      </c>
      <c r="Y77" s="345">
        <f>Y67/(1+Assumption_Hatchery!$C76)^'Fin_BaU_CRAB Value'!Y62</f>
        <v>489588.14327132987</v>
      </c>
      <c r="Z77" s="345">
        <f>Z67/(1+Assumption_Hatchery!$C76)^'Fin_BaU_CRAB Value'!Z62</f>
        <v>106253.79516969666</v>
      </c>
      <c r="AA77" s="343">
        <f>SUM(B77:Z77)</f>
        <v>103302343.32706782</v>
      </c>
    </row>
    <row r="78" spans="1:27" s="12" customFormat="1" x14ac:dyDescent="0.25">
      <c r="A78" s="10" t="str">
        <f>A23</f>
        <v>Financial Costs in Present Value</v>
      </c>
      <c r="B78" s="346">
        <f>B73/(1+Assumption_Hatchery!$C76)^'Fin_BaU_CRAB Value'!B62</f>
        <v>0</v>
      </c>
      <c r="C78" s="346">
        <f>C73/(1+Assumption_Hatchery!$C76)^'Fin_BaU_CRAB Value'!C62</f>
        <v>2103439.2452830188</v>
      </c>
      <c r="D78" s="346">
        <f>D73/(1+Assumption_Hatchery!$C76)^'Fin_BaU_CRAB Value'!D62</f>
        <v>5476784.0112139545</v>
      </c>
      <c r="E78" s="346">
        <f>E73/(1+Assumption_Hatchery!$C76)^'Fin_BaU_CRAB Value'!E62</f>
        <v>7629176.8265665602</v>
      </c>
      <c r="F78" s="346">
        <f>F73/(1+Assumption_Hatchery!$C76)^'Fin_BaU_CRAB Value'!F62</f>
        <v>6461722.7576992754</v>
      </c>
      <c r="G78" s="346">
        <f>G73/(1+Assumption_Hatchery!$C76)^'Fin_BaU_CRAB Value'!G62</f>
        <v>6091684.2055567857</v>
      </c>
      <c r="H78" s="346">
        <f>H73/(1+Assumption_Hatchery!$C76)^'Fin_BaU_CRAB Value'!H62</f>
        <v>5677676.8258515513</v>
      </c>
      <c r="I78" s="346">
        <f>I73/(1+Assumption_Hatchery!$C76)^'Fin_BaU_CRAB Value'!I62</f>
        <v>5226958.3726403322</v>
      </c>
      <c r="J78" s="346">
        <f>J73/(1+Assumption_Hatchery!$C76)^'Fin_BaU_CRAB Value'!J62</f>
        <v>4932641.9656530526</v>
      </c>
      <c r="K78" s="346">
        <f>K73/(1+Assumption_Hatchery!$C76)^'Fin_BaU_CRAB Value'!K62</f>
        <v>4771471.5092147887</v>
      </c>
      <c r="L78" s="346">
        <f>L73/(1+Assumption_Hatchery!$C76)^'Fin_BaU_CRAB Value'!L62</f>
        <v>4392832.7856516568</v>
      </c>
      <c r="M78" s="346">
        <f>M73/(1+Assumption_Hatchery!$C76)^'Fin_BaU_CRAB Value'!M62</f>
        <v>4145521.9916184046</v>
      </c>
      <c r="N78" s="346">
        <f>N73/(1+Assumption_Hatchery!$C76)^'Fin_BaU_CRAB Value'!N62</f>
        <v>4010012.4005678268</v>
      </c>
      <c r="O78" s="346">
        <f>O73/(1+Assumption_Hatchery!$C76)^'Fin_BaU_CRAB Value'!O62</f>
        <v>3691921.1159713026</v>
      </c>
      <c r="P78" s="346">
        <f>P73/(1+Assumption_Hatchery!$C76)^'Fin_BaU_CRAB Value'!P62</f>
        <v>3484103.7326064236</v>
      </c>
      <c r="Q78" s="346">
        <f>Q73/(1+Assumption_Hatchery!$C76)^'Fin_BaU_CRAB Value'!Q62</f>
        <v>3370164.8362542936</v>
      </c>
      <c r="R78" s="346">
        <f>R73/(1+Assumption_Hatchery!$C76)^'Fin_BaU_CRAB Value'!R62</f>
        <v>3102934.4910963629</v>
      </c>
      <c r="S78" s="346">
        <f>S73/(1+Assumption_Hatchery!$C76)^'Fin_BaU_CRAB Value'!S62</f>
        <v>2928299.5402449919</v>
      </c>
      <c r="T78" s="346">
        <f>T73/(1+Assumption_Hatchery!$C76)^'Fin_BaU_CRAB Value'!T62</f>
        <v>2832493.7334093908</v>
      </c>
      <c r="U78" s="346">
        <f>U73/(1+Assumption_Hatchery!$C76)^'Fin_BaU_CRAB Value'!U62</f>
        <v>2607988.0981745035</v>
      </c>
      <c r="V78" s="346">
        <f>V73/(1+Assumption_Hatchery!$C76)^'Fin_BaU_CRAB Value'!V62</f>
        <v>2461233.6568226353</v>
      </c>
      <c r="W78" s="346">
        <f>W73/(1+Assumption_Hatchery!$C76)^'Fin_BaU_CRAB Value'!W62</f>
        <v>2007234.3667859095</v>
      </c>
      <c r="X78" s="346">
        <f>X73/(1+Assumption_Hatchery!$C76)^'Fin_BaU_CRAB Value'!X62</f>
        <v>1102965.9392365278</v>
      </c>
      <c r="Y78" s="346">
        <f>Y73/(1+Assumption_Hatchery!$C76)^'Fin_BaU_CRAB Value'!Y62</f>
        <v>326717.19308011822</v>
      </c>
      <c r="Z78" s="346">
        <f>Z73/(1+Assumption_Hatchery!$C76)^'Fin_BaU_CRAB Value'!Z62</f>
        <v>89986.634085539888</v>
      </c>
      <c r="AA78" s="343">
        <f>SUM(B78:Z78)</f>
        <v>88925966.235285208</v>
      </c>
    </row>
    <row r="79" spans="1:27" x14ac:dyDescent="0.25">
      <c r="B79" s="32"/>
      <c r="C79" s="32"/>
      <c r="D79" s="32"/>
      <c r="E79" s="32"/>
      <c r="F79" s="32"/>
      <c r="G79" s="32"/>
      <c r="H79" s="32"/>
      <c r="I79" s="32"/>
      <c r="J79" s="32"/>
      <c r="K79" s="32"/>
      <c r="L79" s="32"/>
    </row>
    <row r="80" spans="1:27" s="12" customFormat="1" x14ac:dyDescent="0.25">
      <c r="A80" s="25" t="s">
        <v>391</v>
      </c>
      <c r="B80" s="35">
        <f>NPV(B3,C75:Z75)+B75</f>
        <v>9255906.681216849</v>
      </c>
      <c r="C80" s="40"/>
      <c r="D80" s="40"/>
      <c r="E80" s="40"/>
      <c r="F80" s="40"/>
      <c r="G80" s="40"/>
      <c r="H80" s="40"/>
      <c r="I80" s="40"/>
      <c r="J80" s="40"/>
      <c r="K80" s="40"/>
      <c r="L80" s="40"/>
    </row>
    <row r="82" spans="1:12" s="12" customFormat="1" x14ac:dyDescent="0.25">
      <c r="A82" s="25" t="s">
        <v>237</v>
      </c>
      <c r="B82" s="36">
        <f>IRR(B75:Z75)</f>
        <v>0.27746025739182012</v>
      </c>
      <c r="C82" s="4"/>
      <c r="D82" s="4"/>
      <c r="E82" s="4"/>
      <c r="F82" s="4"/>
      <c r="G82" s="4"/>
      <c r="H82" s="4"/>
      <c r="I82" s="4"/>
      <c r="J82" s="4"/>
      <c r="K82" s="4"/>
      <c r="L82" s="4"/>
    </row>
  </sheetData>
  <mergeCells count="1">
    <mergeCell ref="B2:K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AA82"/>
  <sheetViews>
    <sheetView showGridLines="0" zoomScale="85" zoomScaleNormal="85" workbookViewId="0">
      <selection activeCell="B81" sqref="B81"/>
    </sheetView>
  </sheetViews>
  <sheetFormatPr defaultColWidth="9" defaultRowHeight="15" x14ac:dyDescent="0.25"/>
  <cols>
    <col min="1" max="1" width="40.7109375" style="10" customWidth="1"/>
    <col min="2" max="2" width="21.28515625" style="26" customWidth="1"/>
    <col min="3" max="3" width="13" style="26" customWidth="1"/>
    <col min="4" max="4" width="17" style="26" customWidth="1"/>
    <col min="5" max="5" width="17.140625" style="26" customWidth="1"/>
    <col min="6" max="6" width="16.140625" style="26" customWidth="1"/>
    <col min="7" max="7" width="14.28515625" style="26" customWidth="1"/>
    <col min="8" max="8" width="15.5703125" style="26" customWidth="1"/>
    <col min="9" max="9" width="13.85546875" style="26" customWidth="1"/>
    <col min="10" max="10" width="13" style="26" customWidth="1"/>
    <col min="11" max="11" width="12.7109375" style="26" customWidth="1"/>
    <col min="12" max="12" width="15.42578125" style="26" customWidth="1"/>
    <col min="13" max="23" width="13.7109375" style="3" customWidth="1"/>
    <col min="24" max="24" width="15.7109375" style="3" customWidth="1"/>
    <col min="25" max="25" width="14.140625" style="3" customWidth="1"/>
    <col min="26" max="26" width="11.140625" style="3" customWidth="1"/>
    <col min="27" max="27" width="16" style="3" customWidth="1"/>
    <col min="28" max="16384" width="9" style="3"/>
  </cols>
  <sheetData>
    <row r="2" spans="1:27" s="440" customFormat="1" ht="34.9" customHeight="1" x14ac:dyDescent="0.25">
      <c r="A2" s="438" t="str">
        <f>'Fin_BaU_CRAB Value'!A2</f>
        <v>Note</v>
      </c>
      <c r="B2" s="533" t="str">
        <f>'Fin_BaU_CRAB Value'!B2</f>
        <v>Values have been brough from Financial Analysis "Annex 03_Annex_3_B_Financial_Analysis_Revised_21052023_PKSF Reply_Final"</v>
      </c>
      <c r="C2" s="533"/>
      <c r="D2" s="533"/>
      <c r="E2" s="533"/>
      <c r="F2" s="533"/>
      <c r="G2" s="533"/>
      <c r="H2" s="533"/>
      <c r="I2" s="533"/>
      <c r="J2" s="533"/>
      <c r="K2" s="533"/>
      <c r="L2" s="533"/>
      <c r="M2" s="533"/>
      <c r="N2" s="533"/>
    </row>
    <row r="3" spans="1:27" s="440" customFormat="1" ht="34.9" customHeight="1" x14ac:dyDescent="0.25">
      <c r="A3" s="451" t="str">
        <f>'Fin_BaU_CRAB Value'!A3</f>
        <v>Discount rate</v>
      </c>
      <c r="B3" s="455">
        <f>'Fin_BaU_CRAB Value'!B3</f>
        <v>0.09</v>
      </c>
      <c r="C3" s="454"/>
      <c r="D3" s="454"/>
      <c r="E3" s="454"/>
      <c r="F3" s="454"/>
      <c r="G3" s="454"/>
      <c r="H3" s="454"/>
      <c r="I3" s="454"/>
      <c r="J3" s="454"/>
      <c r="K3" s="454"/>
      <c r="L3" s="454"/>
      <c r="M3" s="454"/>
      <c r="N3" s="454"/>
    </row>
    <row r="5" spans="1:27" ht="38.25" customHeight="1" x14ac:dyDescent="0.25">
      <c r="A5" s="11" t="s">
        <v>378</v>
      </c>
      <c r="B5" s="30"/>
      <c r="C5" s="69"/>
      <c r="D5" s="70"/>
      <c r="E5" s="30"/>
      <c r="F5" s="116" t="s">
        <v>91</v>
      </c>
      <c r="G5" s="30"/>
      <c r="H5" s="30"/>
      <c r="I5" s="30"/>
      <c r="J5" s="30"/>
      <c r="K5" s="30"/>
      <c r="L5" s="30"/>
      <c r="M5" s="11"/>
    </row>
    <row r="6" spans="1:27" ht="15" customHeight="1" x14ac:dyDescent="0.25">
      <c r="A6" s="22"/>
      <c r="B6" s="30"/>
      <c r="C6" s="30"/>
      <c r="D6" s="30"/>
      <c r="E6" s="30"/>
      <c r="F6" s="30"/>
      <c r="G6" s="30"/>
      <c r="H6" s="30"/>
      <c r="I6" s="30"/>
      <c r="J6" s="30"/>
      <c r="K6" s="30"/>
      <c r="L6" s="30"/>
      <c r="M6" s="11"/>
    </row>
    <row r="7" spans="1:27" x14ac:dyDescent="0.25">
      <c r="A7" s="10" t="s">
        <v>19</v>
      </c>
      <c r="B7" s="26">
        <v>0</v>
      </c>
      <c r="C7" s="26">
        <v>1</v>
      </c>
      <c r="D7" s="26">
        <v>2</v>
      </c>
      <c r="E7" s="26">
        <v>3</v>
      </c>
      <c r="F7" s="26">
        <v>4</v>
      </c>
      <c r="G7" s="26">
        <v>5</v>
      </c>
      <c r="H7" s="26">
        <v>6</v>
      </c>
      <c r="I7" s="26">
        <v>7</v>
      </c>
      <c r="J7" s="26">
        <v>8</v>
      </c>
      <c r="K7" s="26">
        <v>9</v>
      </c>
      <c r="L7" s="26">
        <v>10</v>
      </c>
      <c r="M7" s="26">
        <v>11</v>
      </c>
      <c r="N7" s="26">
        <v>12</v>
      </c>
      <c r="O7" s="26">
        <v>13</v>
      </c>
      <c r="P7" s="26">
        <v>14</v>
      </c>
      <c r="Q7" s="26">
        <v>15</v>
      </c>
      <c r="R7" s="26">
        <v>16</v>
      </c>
      <c r="S7" s="26">
        <v>17</v>
      </c>
      <c r="T7" s="26">
        <v>18</v>
      </c>
      <c r="U7" s="26">
        <v>19</v>
      </c>
      <c r="V7" s="26">
        <v>20</v>
      </c>
      <c r="W7" s="26">
        <v>21</v>
      </c>
      <c r="X7" s="26">
        <v>22</v>
      </c>
      <c r="Y7" s="26">
        <v>23</v>
      </c>
      <c r="Z7" s="26">
        <v>24</v>
      </c>
    </row>
    <row r="8" spans="1:27" x14ac:dyDescent="0.25">
      <c r="A8" s="23" t="s">
        <v>381</v>
      </c>
    </row>
    <row r="9" spans="1:27" x14ac:dyDescent="0.25">
      <c r="A9" s="88" t="s">
        <v>345</v>
      </c>
      <c r="B9" s="31">
        <v>0</v>
      </c>
      <c r="C9" s="31">
        <v>0</v>
      </c>
      <c r="D9" s="31">
        <v>221085.00000000003</v>
      </c>
      <c r="E9" s="31">
        <v>375976.045575</v>
      </c>
      <c r="F9" s="31">
        <v>460033.66800000006</v>
      </c>
      <c r="G9" s="31">
        <v>469234.34136000008</v>
      </c>
      <c r="H9" s="31">
        <v>443320.87485839409</v>
      </c>
      <c r="I9" s="31">
        <v>488191.40875094401</v>
      </c>
      <c r="J9" s="31">
        <v>497955.2369259629</v>
      </c>
      <c r="K9" s="31">
        <v>470455.65896672657</v>
      </c>
      <c r="L9" s="31">
        <v>518072.62849777186</v>
      </c>
      <c r="M9" s="31">
        <v>528434.08106772718</v>
      </c>
      <c r="N9" s="31">
        <v>499251.30894076201</v>
      </c>
      <c r="O9" s="31">
        <v>549782.81794286345</v>
      </c>
      <c r="P9" s="31">
        <v>560778.47430172074</v>
      </c>
      <c r="Q9" s="31">
        <v>529809.48305840802</v>
      </c>
      <c r="R9" s="31">
        <v>583433.92466351017</v>
      </c>
      <c r="S9" s="31">
        <v>595102.60315678047</v>
      </c>
      <c r="T9" s="31">
        <v>562238.06189744722</v>
      </c>
      <c r="U9" s="31">
        <v>619144.74832431425</v>
      </c>
      <c r="V9" s="31">
        <v>631527.64329080062</v>
      </c>
      <c r="W9" s="31">
        <v>493946.2233520528</v>
      </c>
      <c r="X9" s="31">
        <v>358520.68003987451</v>
      </c>
      <c r="Y9" s="31">
        <v>107018.21872813438</v>
      </c>
      <c r="Z9" s="31">
        <v>8312.5</v>
      </c>
    </row>
    <row r="10" spans="1:27" x14ac:dyDescent="0.25">
      <c r="A10" s="88" t="s">
        <v>346</v>
      </c>
      <c r="B10" s="31">
        <v>0</v>
      </c>
      <c r="C10" s="31">
        <v>160650.00000000003</v>
      </c>
      <c r="D10" s="31">
        <v>409657.50000000006</v>
      </c>
      <c r="E10" s="31">
        <v>597025.00871999993</v>
      </c>
      <c r="F10" s="31">
        <v>852415.32600000012</v>
      </c>
      <c r="G10" s="31">
        <v>869463.6325200001</v>
      </c>
      <c r="H10" s="31">
        <v>791959.64431716723</v>
      </c>
      <c r="I10" s="31">
        <v>904589.96327380801</v>
      </c>
      <c r="J10" s="31">
        <v>922681.76253928419</v>
      </c>
      <c r="K10" s="31">
        <v>840433.91022653237</v>
      </c>
      <c r="L10" s="31">
        <v>959958.10574587132</v>
      </c>
      <c r="M10" s="31">
        <v>979157.26786078862</v>
      </c>
      <c r="N10" s="31">
        <v>891875.18900367804</v>
      </c>
      <c r="O10" s="31">
        <v>1018715.2214823646</v>
      </c>
      <c r="P10" s="31">
        <v>1039089.525912012</v>
      </c>
      <c r="Q10" s="31">
        <v>946465.08557221491</v>
      </c>
      <c r="R10" s="31">
        <v>1081068.7427588571</v>
      </c>
      <c r="S10" s="31">
        <v>1102690.1176140343</v>
      </c>
      <c r="T10" s="31">
        <v>1004396.3205299192</v>
      </c>
      <c r="U10" s="31">
        <v>1147238.7983656412</v>
      </c>
      <c r="V10" s="31">
        <v>1170183.5743329541</v>
      </c>
      <c r="W10" s="31">
        <v>852698.72841353144</v>
      </c>
      <c r="X10" s="31">
        <v>608729.49536800268</v>
      </c>
      <c r="Y10" s="31">
        <v>248361.63411014507</v>
      </c>
      <c r="Z10" s="31">
        <v>0</v>
      </c>
    </row>
    <row r="11" spans="1:27" x14ac:dyDescent="0.25">
      <c r="A11" s="88" t="s">
        <v>347</v>
      </c>
      <c r="B11" s="31">
        <v>0</v>
      </c>
      <c r="C11" s="31">
        <v>1216923.75</v>
      </c>
      <c r="D11" s="31">
        <v>4096976.625</v>
      </c>
      <c r="E11" s="136">
        <v>4700810.5491197817</v>
      </c>
      <c r="F11" s="31">
        <v>7940719.1248087501</v>
      </c>
      <c r="G11" s="31">
        <v>8442238.22742825</v>
      </c>
      <c r="H11" s="136">
        <v>5697940.9524337184</v>
      </c>
      <c r="I11" s="31">
        <v>8611927.215799557</v>
      </c>
      <c r="J11" s="31">
        <v>8698046.4879575539</v>
      </c>
      <c r="K11" s="136">
        <v>5870594.2612334136</v>
      </c>
      <c r="L11" s="31">
        <v>8872877.2223655023</v>
      </c>
      <c r="M11" s="31">
        <v>8961605.9945891555</v>
      </c>
      <c r="N11" s="136">
        <v>6048479.1379430452</v>
      </c>
      <c r="O11" s="31">
        <v>9141734.2750803977</v>
      </c>
      <c r="P11" s="31">
        <v>9233151.6178312041</v>
      </c>
      <c r="Q11" s="136">
        <v>6231754.1043018578</v>
      </c>
      <c r="R11" s="31">
        <v>9418737.9653496109</v>
      </c>
      <c r="S11" s="31">
        <v>9512925.3450031076</v>
      </c>
      <c r="T11" s="31">
        <v>6420582.4854163099</v>
      </c>
      <c r="U11" s="31">
        <v>9704135.144437667</v>
      </c>
      <c r="V11" s="31">
        <v>9801176.4958820455</v>
      </c>
      <c r="W11" s="31">
        <v>5622862.6720108725</v>
      </c>
      <c r="X11" s="31">
        <v>4999090.0717246383</v>
      </c>
      <c r="Y11" s="31">
        <v>1514724.291732565</v>
      </c>
      <c r="Z11" s="31">
        <v>340778.88434326323</v>
      </c>
      <c r="AA11" s="3">
        <v>0</v>
      </c>
    </row>
    <row r="12" spans="1:27" s="12" customFormat="1" x14ac:dyDescent="0.25">
      <c r="A12" s="23" t="s">
        <v>53</v>
      </c>
      <c r="B12" s="38">
        <f>(B9+B10+B11)</f>
        <v>0</v>
      </c>
      <c r="C12" s="38">
        <f t="shared" ref="C12:Z12" si="0">(C9+C10+C11)</f>
        <v>1377573.75</v>
      </c>
      <c r="D12" s="38">
        <f t="shared" si="0"/>
        <v>4727719.125</v>
      </c>
      <c r="E12" s="38">
        <f t="shared" si="0"/>
        <v>5673811.6034147814</v>
      </c>
      <c r="F12" s="38">
        <f t="shared" si="0"/>
        <v>9253168.1188087501</v>
      </c>
      <c r="G12" s="38">
        <f t="shared" si="0"/>
        <v>9780936.2013082504</v>
      </c>
      <c r="H12" s="38">
        <f t="shared" si="0"/>
        <v>6933221.4716092795</v>
      </c>
      <c r="I12" s="38">
        <f t="shared" si="0"/>
        <v>10004708.587824309</v>
      </c>
      <c r="J12" s="38">
        <f t="shared" si="0"/>
        <v>10118683.487422802</v>
      </c>
      <c r="K12" s="38">
        <f t="shared" si="0"/>
        <v>7181483.8304266725</v>
      </c>
      <c r="L12" s="38">
        <f t="shared" si="0"/>
        <v>10350907.956609145</v>
      </c>
      <c r="M12" s="38">
        <f t="shared" si="0"/>
        <v>10469197.343517672</v>
      </c>
      <c r="N12" s="38">
        <f t="shared" si="0"/>
        <v>7439605.635887485</v>
      </c>
      <c r="O12" s="38">
        <f t="shared" si="0"/>
        <v>10710232.314505626</v>
      </c>
      <c r="P12" s="38">
        <f t="shared" si="0"/>
        <v>10833019.618044937</v>
      </c>
      <c r="Q12" s="38">
        <f t="shared" si="0"/>
        <v>7708028.6729324805</v>
      </c>
      <c r="R12" s="38">
        <f t="shared" si="0"/>
        <v>11083240.632771978</v>
      </c>
      <c r="S12" s="38">
        <f t="shared" si="0"/>
        <v>11210718.065773923</v>
      </c>
      <c r="T12" s="38">
        <f t="shared" si="0"/>
        <v>7987216.8678436764</v>
      </c>
      <c r="U12" s="38">
        <f t="shared" si="0"/>
        <v>11470518.691127623</v>
      </c>
      <c r="V12" s="38">
        <f t="shared" si="0"/>
        <v>11602887.713505801</v>
      </c>
      <c r="W12" s="38">
        <f t="shared" si="0"/>
        <v>6969507.6237764563</v>
      </c>
      <c r="X12" s="38">
        <f t="shared" si="0"/>
        <v>5966340.2471325155</v>
      </c>
      <c r="Y12" s="38">
        <f t="shared" si="0"/>
        <v>1870104.1445708445</v>
      </c>
      <c r="Z12" s="38">
        <f t="shared" si="0"/>
        <v>349091.38434326323</v>
      </c>
    </row>
    <row r="13" spans="1:27" x14ac:dyDescent="0.25">
      <c r="A13" s="23"/>
      <c r="B13" s="41"/>
      <c r="C13" s="41"/>
      <c r="D13" s="41"/>
      <c r="E13" s="41"/>
      <c r="F13" s="41"/>
      <c r="G13" s="41"/>
      <c r="H13" s="41"/>
      <c r="I13" s="41"/>
      <c r="J13" s="41"/>
      <c r="K13" s="41"/>
    </row>
    <row r="14" spans="1:27" x14ac:dyDescent="0.25">
      <c r="A14" s="23" t="s">
        <v>348</v>
      </c>
    </row>
    <row r="15" spans="1:27" x14ac:dyDescent="0.25">
      <c r="A15" s="88" t="s">
        <v>345</v>
      </c>
      <c r="B15" s="33">
        <v>0</v>
      </c>
      <c r="C15" s="33">
        <v>165100.6</v>
      </c>
      <c r="D15" s="33">
        <v>451054.01500000001</v>
      </c>
      <c r="E15" s="33">
        <v>835202.59927000001</v>
      </c>
      <c r="F15" s="33">
        <v>844924.26140299998</v>
      </c>
      <c r="G15" s="33">
        <v>663635.50401703001</v>
      </c>
      <c r="H15" s="33">
        <v>448215.10905720032</v>
      </c>
      <c r="I15" s="33">
        <v>376764.34764777229</v>
      </c>
      <c r="J15" s="33">
        <v>376981.99112425005</v>
      </c>
      <c r="K15" s="33">
        <v>393068.06103549252</v>
      </c>
      <c r="L15" s="33">
        <v>377423.82914584747</v>
      </c>
      <c r="M15" s="33">
        <v>377648.06743730593</v>
      </c>
      <c r="N15" s="33">
        <v>393740.79811167897</v>
      </c>
      <c r="O15" s="33">
        <v>378103.29359279579</v>
      </c>
      <c r="P15" s="33">
        <v>378334.32652872376</v>
      </c>
      <c r="Q15" s="33">
        <v>394433.91979401099</v>
      </c>
      <c r="R15" s="33">
        <v>378803.34649195109</v>
      </c>
      <c r="S15" s="33">
        <v>379041.37995687057</v>
      </c>
      <c r="T15" s="33">
        <v>395148.04375643929</v>
      </c>
      <c r="U15" s="33">
        <v>379524.61169400369</v>
      </c>
      <c r="V15" s="33">
        <v>379769.85781094374</v>
      </c>
      <c r="W15" s="33">
        <v>327110.79511124251</v>
      </c>
      <c r="X15" s="33">
        <v>215133.86597647186</v>
      </c>
      <c r="Y15" s="33">
        <v>73052.040927247319</v>
      </c>
      <c r="Z15" s="33">
        <v>26009.374999999993</v>
      </c>
    </row>
    <row r="16" spans="1:27" x14ac:dyDescent="0.25">
      <c r="A16" s="88" t="s">
        <v>346</v>
      </c>
      <c r="B16" s="33">
        <v>0</v>
      </c>
      <c r="C16" s="33">
        <v>250820</v>
      </c>
      <c r="D16" s="33">
        <v>553710.5</v>
      </c>
      <c r="E16" s="33">
        <v>821498.06799999997</v>
      </c>
      <c r="F16" s="33">
        <v>962926.84210000001</v>
      </c>
      <c r="G16" s="33">
        <v>890712.110521</v>
      </c>
      <c r="H16" s="33">
        <v>893928.60662621004</v>
      </c>
      <c r="I16" s="33">
        <v>895148.42394247209</v>
      </c>
      <c r="J16" s="33">
        <v>897399.9081818969</v>
      </c>
      <c r="K16" s="33">
        <v>900683.28226371575</v>
      </c>
      <c r="L16" s="33">
        <v>901970.64633635292</v>
      </c>
      <c r="M16" s="33">
        <v>904290.35279971652</v>
      </c>
      <c r="N16" s="33">
        <v>907642.63132771361</v>
      </c>
      <c r="O16" s="33">
        <v>908999.58889099082</v>
      </c>
      <c r="P16" s="33">
        <v>911389.58477990073</v>
      </c>
      <c r="Q16" s="33">
        <v>914812.85562769976</v>
      </c>
      <c r="R16" s="33">
        <v>916241.51543397678</v>
      </c>
      <c r="S16" s="33">
        <v>918703.93058831652</v>
      </c>
      <c r="T16" s="33">
        <v>922200.34489419963</v>
      </c>
      <c r="U16" s="33">
        <v>923702.87959314161</v>
      </c>
      <c r="V16" s="33">
        <v>926239.9083890731</v>
      </c>
      <c r="W16" s="33">
        <v>743849.34597837098</v>
      </c>
      <c r="X16" s="33">
        <v>465695.16527384677</v>
      </c>
      <c r="Y16" s="33">
        <v>186800.84677063406</v>
      </c>
      <c r="Z16" s="33">
        <v>0</v>
      </c>
    </row>
    <row r="17" spans="1:27" x14ac:dyDescent="0.25">
      <c r="A17" s="88" t="s">
        <v>347</v>
      </c>
      <c r="B17" s="33">
        <v>0</v>
      </c>
      <c r="C17" s="33">
        <v>3580725</v>
      </c>
      <c r="D17" s="33">
        <v>9343150</v>
      </c>
      <c r="E17" s="33">
        <v>12020939</v>
      </c>
      <c r="F17" s="33">
        <v>7986525</v>
      </c>
      <c r="G17" s="33">
        <v>7451700</v>
      </c>
      <c r="H17" s="33">
        <v>7025340</v>
      </c>
      <c r="I17" s="33">
        <v>6587500</v>
      </c>
      <c r="J17" s="33">
        <v>6587500</v>
      </c>
      <c r="K17" s="33">
        <v>7025340</v>
      </c>
      <c r="L17" s="33">
        <v>6587500</v>
      </c>
      <c r="M17" s="33">
        <v>6587500</v>
      </c>
      <c r="N17" s="33">
        <v>7025340</v>
      </c>
      <c r="O17" s="33">
        <v>6587500</v>
      </c>
      <c r="P17" s="33">
        <v>6587500</v>
      </c>
      <c r="Q17" s="33">
        <v>7025340</v>
      </c>
      <c r="R17" s="33">
        <v>6587500</v>
      </c>
      <c r="S17" s="33">
        <v>6587500</v>
      </c>
      <c r="T17" s="33">
        <v>7025340</v>
      </c>
      <c r="U17" s="33">
        <v>6587500</v>
      </c>
      <c r="V17" s="33">
        <v>6587500</v>
      </c>
      <c r="W17" s="33">
        <v>5971539</v>
      </c>
      <c r="X17" s="33">
        <v>3293750</v>
      </c>
      <c r="Y17" s="33">
        <v>988125</v>
      </c>
      <c r="Z17" s="33">
        <v>351267</v>
      </c>
      <c r="AA17" s="3">
        <v>0</v>
      </c>
    </row>
    <row r="18" spans="1:27" x14ac:dyDescent="0.25">
      <c r="A18" s="117" t="s">
        <v>54</v>
      </c>
      <c r="B18" s="37">
        <f t="shared" ref="B18:Z18" si="1">SUM(B15:B17)</f>
        <v>0</v>
      </c>
      <c r="C18" s="37">
        <f t="shared" si="1"/>
        <v>3996645.6</v>
      </c>
      <c r="D18" s="37">
        <f t="shared" si="1"/>
        <v>10347914.515000001</v>
      </c>
      <c r="E18" s="37">
        <f t="shared" si="1"/>
        <v>13677639.667270001</v>
      </c>
      <c r="F18" s="37">
        <f t="shared" si="1"/>
        <v>9794376.103503</v>
      </c>
      <c r="G18" s="37">
        <f t="shared" si="1"/>
        <v>9006047.6145380307</v>
      </c>
      <c r="H18" s="37">
        <f t="shared" si="1"/>
        <v>8367483.7156834099</v>
      </c>
      <c r="I18" s="37">
        <f t="shared" si="1"/>
        <v>7859412.771590244</v>
      </c>
      <c r="J18" s="37">
        <f t="shared" si="1"/>
        <v>7861881.8993061464</v>
      </c>
      <c r="K18" s="37">
        <f t="shared" si="1"/>
        <v>8319091.3432992082</v>
      </c>
      <c r="L18" s="37">
        <f t="shared" si="1"/>
        <v>7866894.4754822003</v>
      </c>
      <c r="M18" s="37">
        <f t="shared" si="1"/>
        <v>7869438.4202370225</v>
      </c>
      <c r="N18" s="37">
        <f t="shared" si="1"/>
        <v>8326723.4294393929</v>
      </c>
      <c r="O18" s="37">
        <f t="shared" si="1"/>
        <v>7874602.8824837869</v>
      </c>
      <c r="P18" s="37">
        <f t="shared" si="1"/>
        <v>7877223.9113086248</v>
      </c>
      <c r="Q18" s="37">
        <f t="shared" si="1"/>
        <v>8334586.7754217107</v>
      </c>
      <c r="R18" s="37">
        <f t="shared" si="1"/>
        <v>7882544.8619259279</v>
      </c>
      <c r="S18" s="37">
        <f t="shared" si="1"/>
        <v>7885245.3105451874</v>
      </c>
      <c r="T18" s="37">
        <f t="shared" si="1"/>
        <v>8342688.388650639</v>
      </c>
      <c r="U18" s="37">
        <f t="shared" si="1"/>
        <v>7890727.4912871458</v>
      </c>
      <c r="V18" s="37">
        <f t="shared" si="1"/>
        <v>7893509.7662000172</v>
      </c>
      <c r="W18" s="37">
        <f t="shared" si="1"/>
        <v>7042499.1410896135</v>
      </c>
      <c r="X18" s="37">
        <f t="shared" si="1"/>
        <v>3974579.0312503185</v>
      </c>
      <c r="Y18" s="37">
        <f t="shared" si="1"/>
        <v>1247977.8876978813</v>
      </c>
      <c r="Z18" s="37">
        <f t="shared" si="1"/>
        <v>377276.375</v>
      </c>
    </row>
    <row r="19" spans="1:27" x14ac:dyDescent="0.25">
      <c r="B19" s="32"/>
      <c r="C19" s="32"/>
      <c r="D19" s="32"/>
      <c r="E19" s="32"/>
      <c r="F19" s="32"/>
      <c r="G19" s="32"/>
      <c r="H19" s="32"/>
      <c r="I19" s="32"/>
      <c r="J19" s="32"/>
      <c r="K19" s="32"/>
      <c r="L19" s="32"/>
    </row>
    <row r="20" spans="1:27" x14ac:dyDescent="0.25">
      <c r="A20" s="23" t="s">
        <v>55</v>
      </c>
      <c r="B20" s="34">
        <f t="shared" ref="B20:Z20" si="2">B12-B18</f>
        <v>0</v>
      </c>
      <c r="C20" s="34">
        <f t="shared" si="2"/>
        <v>-2619071.85</v>
      </c>
      <c r="D20" s="34">
        <f t="shared" si="2"/>
        <v>-5620195.3900000006</v>
      </c>
      <c r="E20" s="34">
        <f t="shared" si="2"/>
        <v>-8003828.0638552196</v>
      </c>
      <c r="F20" s="34">
        <f t="shared" si="2"/>
        <v>-541207.98469424993</v>
      </c>
      <c r="G20" s="34">
        <f t="shared" si="2"/>
        <v>774888.58677021973</v>
      </c>
      <c r="H20" s="34">
        <f t="shared" si="2"/>
        <v>-1434262.2440741304</v>
      </c>
      <c r="I20" s="34">
        <f t="shared" si="2"/>
        <v>2145295.8162340652</v>
      </c>
      <c r="J20" s="34">
        <f t="shared" si="2"/>
        <v>2256801.5881166551</v>
      </c>
      <c r="K20" s="34">
        <f t="shared" si="2"/>
        <v>-1137607.5128725357</v>
      </c>
      <c r="L20" s="34">
        <f t="shared" si="2"/>
        <v>2484013.4811269445</v>
      </c>
      <c r="M20" s="34">
        <f t="shared" si="2"/>
        <v>2599758.9232806498</v>
      </c>
      <c r="N20" s="34">
        <f t="shared" si="2"/>
        <v>-887117.79355190787</v>
      </c>
      <c r="O20" s="34">
        <f t="shared" si="2"/>
        <v>2835629.4320218386</v>
      </c>
      <c r="P20" s="34">
        <f t="shared" si="2"/>
        <v>2955795.7067363122</v>
      </c>
      <c r="Q20" s="34">
        <f t="shared" si="2"/>
        <v>-626558.10248923022</v>
      </c>
      <c r="R20" s="34">
        <f t="shared" si="2"/>
        <v>3200695.7708460502</v>
      </c>
      <c r="S20" s="34">
        <f t="shared" si="2"/>
        <v>3325472.7552287355</v>
      </c>
      <c r="T20" s="34">
        <f t="shared" si="2"/>
        <v>-355471.52080696262</v>
      </c>
      <c r="U20" s="34">
        <f t="shared" si="2"/>
        <v>3579791.1998404767</v>
      </c>
      <c r="V20" s="34">
        <f t="shared" si="2"/>
        <v>3709377.9473057836</v>
      </c>
      <c r="W20" s="34">
        <f t="shared" si="2"/>
        <v>-72991.517313157208</v>
      </c>
      <c r="X20" s="34">
        <f t="shared" si="2"/>
        <v>1991761.215882197</v>
      </c>
      <c r="Y20" s="34">
        <f t="shared" si="2"/>
        <v>622126.25687296316</v>
      </c>
      <c r="Z20" s="34">
        <f t="shared" si="2"/>
        <v>-28184.990656736773</v>
      </c>
    </row>
    <row r="21" spans="1:27" x14ac:dyDescent="0.25">
      <c r="A21" s="23"/>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row>
    <row r="22" spans="1:27" x14ac:dyDescent="0.25">
      <c r="A22" s="10" t="s">
        <v>392</v>
      </c>
      <c r="B22" s="345">
        <f>B12/(1+Assumption_Hatchery!$C76)^B7</f>
        <v>0</v>
      </c>
      <c r="C22" s="345">
        <f>C12/(1+Assumption_Hatchery!$C76)^C7</f>
        <v>1299597.8773584906</v>
      </c>
      <c r="D22" s="345">
        <f>D12/(1+Assumption_Hatchery!$C76)^D7</f>
        <v>4207653.1906372365</v>
      </c>
      <c r="E22" s="345">
        <f>E12/(1+Assumption_Hatchery!$C76)^E7</f>
        <v>4763841.6305194721</v>
      </c>
      <c r="F22" s="345">
        <f>F12/(1+Assumption_Hatchery!$C76)^F7</f>
        <v>7329375.8317844849</v>
      </c>
      <c r="G22" s="345">
        <f>G12/(1+Assumption_Hatchery!$C76)^G7</f>
        <v>7308884.5147090741</v>
      </c>
      <c r="H22" s="345">
        <f>H12/(1+Assumption_Hatchery!$C76)^H7</f>
        <v>4887647.5556136454</v>
      </c>
      <c r="I22" s="345">
        <f>I12/(1+Assumption_Hatchery!$C76)^I7</f>
        <v>6653702.6160510322</v>
      </c>
      <c r="J22" s="345">
        <f>J12/(1+Assumption_Hatchery!$C76)^J7</f>
        <v>6348587.2017013226</v>
      </c>
      <c r="K22" s="345">
        <f>K12/(1+Assumption_Hatchery!$C76)^K7</f>
        <v>4250709.245095266</v>
      </c>
      <c r="L22" s="345">
        <f>L12/(1+Assumption_Hatchery!$C76)^L7</f>
        <v>5779892.9392996822</v>
      </c>
      <c r="M22" s="345">
        <f>M12/(1+Assumption_Hatchery!$C76)^M7</f>
        <v>5515042.5614282023</v>
      </c>
      <c r="N22" s="345">
        <f>N12/(1+Assumption_Hatchery!$C76)^N7</f>
        <v>3697256.0781308697</v>
      </c>
      <c r="O22" s="345">
        <f>O12/(1+Assumption_Hatchery!$C76)^O7</f>
        <v>5021374.8463223446</v>
      </c>
      <c r="P22" s="345">
        <f>P12/(1+Assumption_Hatchery!$C76)^P7</f>
        <v>4791455.0242051911</v>
      </c>
      <c r="Q22" s="345">
        <f>Q12/(1+Assumption_Hatchery!$C76)^Q7</f>
        <v>3216291.0523624578</v>
      </c>
      <c r="R22" s="345">
        <f>R12/(1+Assumption_Hatchery!$C76)^R7</f>
        <v>4362876.486585103</v>
      </c>
      <c r="S22" s="345">
        <f>S12/(1+Assumption_Hatchery!$C76)^S7</f>
        <v>4163261.7965505305</v>
      </c>
      <c r="T22" s="345">
        <f>T12/(1+Assumption_Hatchery!$C76)^T7</f>
        <v>2798271.8380514826</v>
      </c>
      <c r="U22" s="345">
        <f>U12/(1+Assumption_Hatchery!$C76)^U7</f>
        <v>3791155.6645924994</v>
      </c>
      <c r="V22" s="345">
        <f>V12/(1+Assumption_Hatchery!$C76)^V7</f>
        <v>3617835.2345995791</v>
      </c>
      <c r="W22" s="345">
        <f>W12/(1+Assumption_Hatchery!$C76)^W7</f>
        <v>2050118.3218510374</v>
      </c>
      <c r="X22" s="345">
        <f>X12/(1+Assumption_Hatchery!$C76)^X7</f>
        <v>1655689.8284679656</v>
      </c>
      <c r="Y22" s="345">
        <f>Y12/(1+Assumption_Hatchery!$C76)^Y7</f>
        <v>489588.14327132987</v>
      </c>
      <c r="Z22" s="345">
        <f>Z12/(1+Assumption_Hatchery!$C76)^Z7</f>
        <v>86218.083341050631</v>
      </c>
      <c r="AA22" s="343">
        <f>SUM(B22:Z22)</f>
        <v>98086327.56252934</v>
      </c>
    </row>
    <row r="23" spans="1:27" s="12" customFormat="1" x14ac:dyDescent="0.25">
      <c r="A23" s="10" t="s">
        <v>393</v>
      </c>
      <c r="B23" s="346">
        <f>B18/(1+Assumption_Hatchery!$C76)^'Fin_RCP 4.5_CRAB Value'!B7</f>
        <v>0</v>
      </c>
      <c r="C23" s="346">
        <f>C18/(1+Assumption_Hatchery!$C76)^'Fin_RCP 4.5_CRAB Value'!C7</f>
        <v>3770420.3773584906</v>
      </c>
      <c r="D23" s="346">
        <f>D18/(1+Assumption_Hatchery!$C76)^'Fin_RCP 4.5_CRAB Value'!D7</f>
        <v>9209607.0799216796</v>
      </c>
      <c r="E23" s="346">
        <f>E18/(1+Assumption_Hatchery!$C76)^'Fin_RCP 4.5_CRAB Value'!E7</f>
        <v>11484010.011007408</v>
      </c>
      <c r="F23" s="346">
        <f>F18/(1+Assumption_Hatchery!$C76)^'Fin_RCP 4.5_CRAB Value'!F7</f>
        <v>7758063.2469546199</v>
      </c>
      <c r="G23" s="346">
        <f>G18/(1+Assumption_Hatchery!$C76)^'Fin_RCP 4.5_CRAB Value'!G7</f>
        <v>6729842.6851843987</v>
      </c>
      <c r="H23" s="346">
        <f>H18/(1+Assumption_Hatchery!$C76)^'Fin_RCP 4.5_CRAB Value'!H7</f>
        <v>5898745.8423283678</v>
      </c>
      <c r="I23" s="346">
        <f>I18/(1+Assumption_Hatchery!$C76)^'Fin_RCP 4.5_CRAB Value'!I7</f>
        <v>5226958.3726403322</v>
      </c>
      <c r="J23" s="346">
        <f>J18/(1+Assumption_Hatchery!$C76)^'Fin_RCP 4.5_CRAB Value'!J7</f>
        <v>4932641.9656530526</v>
      </c>
      <c r="K23" s="346">
        <f>K18/(1+Assumption_Hatchery!$C76)^'Fin_RCP 4.5_CRAB Value'!K7</f>
        <v>4924057.3840647331</v>
      </c>
      <c r="L23" s="346">
        <f>L18/(1+Assumption_Hatchery!$C76)^'Fin_RCP 4.5_CRAB Value'!L7</f>
        <v>4392832.7856516568</v>
      </c>
      <c r="M23" s="346">
        <f>M18/(1+Assumption_Hatchery!$C76)^'Fin_RCP 4.5_CRAB Value'!M7</f>
        <v>4145521.9916184046</v>
      </c>
      <c r="N23" s="346">
        <f>N18/(1+Assumption_Hatchery!$C76)^'Fin_RCP 4.5_CRAB Value'!N7</f>
        <v>4138126.443410194</v>
      </c>
      <c r="O23" s="346">
        <f>O18/(1+Assumption_Hatchery!$C76)^'Fin_RCP 4.5_CRAB Value'!O7</f>
        <v>3691921.1159713026</v>
      </c>
      <c r="P23" s="346">
        <f>P18/(1+Assumption_Hatchery!$C76)^'Fin_RCP 4.5_CRAB Value'!P7</f>
        <v>3484103.7326064236</v>
      </c>
      <c r="Q23" s="346">
        <f>Q18/(1+Assumption_Hatchery!$C76)^'Fin_RCP 4.5_CRAB Value'!Q7</f>
        <v>3477731.8570519714</v>
      </c>
      <c r="R23" s="346">
        <f>R18/(1+Assumption_Hatchery!$C76)^'Fin_RCP 4.5_CRAB Value'!R7</f>
        <v>3102934.4910963629</v>
      </c>
      <c r="S23" s="346">
        <f>S18/(1+Assumption_Hatchery!$C76)^'Fin_RCP 4.5_CRAB Value'!S7</f>
        <v>2928299.5402449919</v>
      </c>
      <c r="T23" s="346">
        <f>T18/(1+Assumption_Hatchery!$C76)^'Fin_RCP 4.5_CRAB Value'!T7</f>
        <v>2922809.0782894576</v>
      </c>
      <c r="U23" s="346">
        <f>U18/(1+Assumption_Hatchery!$C76)^'Fin_RCP 4.5_CRAB Value'!U7</f>
        <v>2607988.0981745035</v>
      </c>
      <c r="V23" s="346">
        <f>V18/(1+Assumption_Hatchery!$C76)^'Fin_RCP 4.5_CRAB Value'!V7</f>
        <v>2461233.6568226353</v>
      </c>
      <c r="W23" s="346">
        <f>W18/(1+Assumption_Hatchery!$C76)^'Fin_RCP 4.5_CRAB Value'!W7</f>
        <v>2071589.1710216317</v>
      </c>
      <c r="X23" s="346">
        <f>X18/(1+Assumption_Hatchery!$C76)^'Fin_RCP 4.5_CRAB Value'!X7</f>
        <v>1102965.9392365278</v>
      </c>
      <c r="Y23" s="346">
        <f>Y18/(1+Assumption_Hatchery!$C76)^'Fin_RCP 4.5_CRAB Value'!Y7</f>
        <v>326717.19308011822</v>
      </c>
      <c r="Z23" s="346">
        <f>Z18/(1+Assumption_Hatchery!$C76)^'Fin_RCP 4.5_CRAB Value'!Z7</f>
        <v>93179.171418262471</v>
      </c>
      <c r="AA23" s="343">
        <f>SUM(B23:Z23)</f>
        <v>100882301.23080751</v>
      </c>
    </row>
    <row r="24" spans="1:27" x14ac:dyDescent="0.25">
      <c r="B24" s="32"/>
      <c r="C24" s="32"/>
      <c r="D24" s="32"/>
      <c r="E24" s="32"/>
      <c r="F24" s="32"/>
      <c r="G24" s="32"/>
      <c r="H24" s="32"/>
      <c r="I24" s="32"/>
      <c r="J24" s="32"/>
      <c r="K24" s="32"/>
      <c r="L24" s="32"/>
    </row>
    <row r="25" spans="1:27" s="12" customFormat="1" x14ac:dyDescent="0.25">
      <c r="A25" s="25" t="s">
        <v>391</v>
      </c>
      <c r="B25" s="35">
        <f>NPV(B3,C20:Z20)+B20</f>
        <v>-5660811.2807352329</v>
      </c>
      <c r="C25" s="40"/>
      <c r="D25" s="40"/>
      <c r="E25" s="40"/>
      <c r="F25" s="40"/>
      <c r="G25" s="40"/>
      <c r="H25" s="40"/>
      <c r="I25" s="40"/>
      <c r="J25" s="40"/>
      <c r="K25" s="40"/>
      <c r="L25" s="40"/>
    </row>
    <row r="27" spans="1:27" s="12" customFormat="1" x14ac:dyDescent="0.25">
      <c r="A27" s="25" t="s">
        <v>237</v>
      </c>
      <c r="B27" s="36">
        <f>IRR(B20:Z20)</f>
        <v>4.137626058113919E-2</v>
      </c>
      <c r="C27" s="4"/>
      <c r="D27" s="4"/>
      <c r="E27" s="4"/>
      <c r="F27" s="4"/>
      <c r="G27" s="4"/>
      <c r="H27" s="4"/>
      <c r="I27" s="4"/>
      <c r="J27" s="4"/>
      <c r="K27" s="4"/>
      <c r="L27" s="4"/>
    </row>
    <row r="30" spans="1:27" s="1" customFormat="1" x14ac:dyDescent="0.25">
      <c r="A30" s="24"/>
      <c r="B30" s="42"/>
      <c r="C30" s="42"/>
      <c r="D30" s="42"/>
      <c r="E30" s="42"/>
      <c r="F30" s="42"/>
      <c r="G30" s="42"/>
      <c r="H30" s="42"/>
      <c r="I30" s="42"/>
      <c r="J30" s="42"/>
      <c r="K30" s="42"/>
      <c r="L30" s="42"/>
    </row>
    <row r="32" spans="1:27" ht="38.25" customHeight="1" x14ac:dyDescent="0.25">
      <c r="A32" s="11" t="str">
        <f>A5</f>
        <v>Aggregate Financial Analysis_CRAB Value chain</v>
      </c>
      <c r="B32" s="30"/>
      <c r="C32" s="69"/>
      <c r="D32" s="70"/>
      <c r="E32" s="30"/>
      <c r="F32" s="116" t="s">
        <v>90</v>
      </c>
      <c r="G32" s="30"/>
      <c r="H32" s="30"/>
      <c r="I32" s="30"/>
      <c r="J32" s="30"/>
      <c r="K32" s="30"/>
      <c r="L32" s="30"/>
      <c r="M32" s="11"/>
    </row>
    <row r="33" spans="1:27" ht="38.25" customHeight="1" x14ac:dyDescent="0.25">
      <c r="A33" s="11"/>
      <c r="B33" s="30"/>
      <c r="C33" s="69"/>
      <c r="D33" s="70"/>
      <c r="E33" s="30"/>
      <c r="F33" s="116"/>
      <c r="G33" s="30"/>
      <c r="H33" s="30"/>
      <c r="I33" s="30"/>
      <c r="J33" s="30"/>
      <c r="K33" s="30"/>
      <c r="L33" s="30"/>
      <c r="M33" s="11"/>
    </row>
    <row r="34" spans="1:27" x14ac:dyDescent="0.25">
      <c r="A34" s="10" t="s">
        <v>19</v>
      </c>
      <c r="B34" s="26">
        <v>0</v>
      </c>
      <c r="C34" s="26">
        <v>1</v>
      </c>
      <c r="D34" s="26">
        <v>2</v>
      </c>
      <c r="E34" s="26">
        <v>3</v>
      </c>
      <c r="F34" s="26">
        <v>4</v>
      </c>
      <c r="G34" s="26">
        <v>5</v>
      </c>
      <c r="H34" s="26">
        <v>6</v>
      </c>
      <c r="I34" s="26">
        <v>7</v>
      </c>
      <c r="J34" s="26">
        <v>8</v>
      </c>
      <c r="K34" s="26">
        <v>9</v>
      </c>
      <c r="L34" s="26">
        <v>10</v>
      </c>
      <c r="M34" s="26">
        <v>11</v>
      </c>
      <c r="N34" s="26">
        <v>12</v>
      </c>
      <c r="O34" s="26">
        <v>13</v>
      </c>
      <c r="P34" s="26">
        <v>14</v>
      </c>
      <c r="Q34" s="26">
        <v>15</v>
      </c>
      <c r="R34" s="26">
        <v>16</v>
      </c>
      <c r="S34" s="26">
        <v>17</v>
      </c>
      <c r="T34" s="26">
        <v>18</v>
      </c>
      <c r="U34" s="26">
        <v>19</v>
      </c>
      <c r="V34" s="26">
        <v>20</v>
      </c>
      <c r="W34" s="26">
        <v>21</v>
      </c>
      <c r="X34" s="26">
        <v>22</v>
      </c>
      <c r="Y34" s="26">
        <v>23</v>
      </c>
      <c r="Z34" s="26">
        <v>24</v>
      </c>
    </row>
    <row r="35" spans="1:27" x14ac:dyDescent="0.25">
      <c r="A35" s="23" t="s">
        <v>381</v>
      </c>
    </row>
    <row r="36" spans="1:27" x14ac:dyDescent="0.25">
      <c r="A36" s="88" t="s">
        <v>345</v>
      </c>
      <c r="B36" s="31">
        <v>0</v>
      </c>
      <c r="C36" s="31">
        <v>0</v>
      </c>
      <c r="D36" s="31">
        <v>221085.00000000003</v>
      </c>
      <c r="E36" s="31">
        <v>375976.045575</v>
      </c>
      <c r="F36" s="31">
        <v>460033.66800000006</v>
      </c>
      <c r="G36" s="31">
        <v>469234.34136000008</v>
      </c>
      <c r="H36" s="31">
        <v>443320.87485839409</v>
      </c>
      <c r="I36" s="31">
        <v>488191.40875094401</v>
      </c>
      <c r="J36" s="31">
        <v>497955.2369259629</v>
      </c>
      <c r="K36" s="31">
        <v>470455.65896672657</v>
      </c>
      <c r="L36" s="31">
        <v>518072.62849777186</v>
      </c>
      <c r="M36" s="31">
        <v>528434.08106772718</v>
      </c>
      <c r="N36" s="31">
        <v>499251.30894076201</v>
      </c>
      <c r="O36" s="31">
        <v>549782.81794286345</v>
      </c>
      <c r="P36" s="31">
        <v>560778.47430172074</v>
      </c>
      <c r="Q36" s="31">
        <v>529809.48305840802</v>
      </c>
      <c r="R36" s="31">
        <v>583433.92466351017</v>
      </c>
      <c r="S36" s="31">
        <v>595102.60315678047</v>
      </c>
      <c r="T36" s="31">
        <v>562238.06189744722</v>
      </c>
      <c r="U36" s="31">
        <v>619144.74832431425</v>
      </c>
      <c r="V36" s="31">
        <v>631527.64329080062</v>
      </c>
      <c r="W36" s="31">
        <v>493946.2233520528</v>
      </c>
      <c r="X36" s="31">
        <v>358520.68003987451</v>
      </c>
      <c r="Y36" s="31">
        <v>107018.21872813438</v>
      </c>
      <c r="Z36" s="31">
        <v>8312.5</v>
      </c>
    </row>
    <row r="37" spans="1:27" x14ac:dyDescent="0.25">
      <c r="A37" s="88" t="s">
        <v>346</v>
      </c>
      <c r="B37" s="31">
        <v>0</v>
      </c>
      <c r="C37" s="31">
        <v>160650.00000000003</v>
      </c>
      <c r="D37" s="31">
        <v>409657.50000000006</v>
      </c>
      <c r="E37" s="31">
        <v>597025.00871999993</v>
      </c>
      <c r="F37" s="31">
        <v>852415.32600000012</v>
      </c>
      <c r="G37" s="31">
        <v>869463.6325200001</v>
      </c>
      <c r="H37" s="31">
        <v>791959.64431716723</v>
      </c>
      <c r="I37" s="31">
        <v>904589.96327380801</v>
      </c>
      <c r="J37" s="31">
        <v>922681.76253928419</v>
      </c>
      <c r="K37" s="31">
        <v>840433.91022653237</v>
      </c>
      <c r="L37" s="31">
        <v>959958.10574587132</v>
      </c>
      <c r="M37" s="31">
        <v>979157.26786078862</v>
      </c>
      <c r="N37" s="31">
        <v>891875.18900367804</v>
      </c>
      <c r="O37" s="31">
        <v>1018715.2214823646</v>
      </c>
      <c r="P37" s="31">
        <v>1039089.525912012</v>
      </c>
      <c r="Q37" s="31">
        <v>946465.08557221491</v>
      </c>
      <c r="R37" s="31">
        <v>1081068.7427588571</v>
      </c>
      <c r="S37" s="31">
        <v>1102690.1176140343</v>
      </c>
      <c r="T37" s="31">
        <v>1004396.3205299192</v>
      </c>
      <c r="U37" s="31">
        <v>1147238.7983656412</v>
      </c>
      <c r="V37" s="31">
        <v>1170183.5743329541</v>
      </c>
      <c r="W37" s="31">
        <v>852698.72841353144</v>
      </c>
      <c r="X37" s="31">
        <v>608729.49536800268</v>
      </c>
      <c r="Y37" s="31">
        <v>248361.63411014507</v>
      </c>
      <c r="Z37" s="31">
        <v>0</v>
      </c>
    </row>
    <row r="38" spans="1:27" customFormat="1" x14ac:dyDescent="0.25">
      <c r="A38" s="88" t="s">
        <v>347</v>
      </c>
      <c r="B38" s="427">
        <v>0</v>
      </c>
      <c r="C38" s="427">
        <v>1216923.75</v>
      </c>
      <c r="D38" s="427">
        <v>4096976.625</v>
      </c>
      <c r="E38" s="427">
        <v>4700810.5491197817</v>
      </c>
      <c r="F38" s="427">
        <v>7940719.1248087501</v>
      </c>
      <c r="G38" s="427">
        <v>8442238.22742825</v>
      </c>
      <c r="H38" s="427">
        <v>5697940.9524337184</v>
      </c>
      <c r="I38" s="427">
        <v>8611927.215799557</v>
      </c>
      <c r="J38" s="427">
        <v>8698046.4879575539</v>
      </c>
      <c r="K38" s="427">
        <v>5870594.2612334136</v>
      </c>
      <c r="L38" s="427">
        <v>8872877.2223655023</v>
      </c>
      <c r="M38" s="427">
        <v>8961605.9945891555</v>
      </c>
      <c r="N38" s="427">
        <v>6048479.1379430452</v>
      </c>
      <c r="O38" s="427">
        <v>9141734.2750803977</v>
      </c>
      <c r="P38" s="427">
        <v>9233151.6178312041</v>
      </c>
      <c r="Q38" s="427">
        <v>6231754.1043018578</v>
      </c>
      <c r="R38" s="427">
        <v>9418737.9653496109</v>
      </c>
      <c r="S38" s="427">
        <v>9512925.3450031076</v>
      </c>
      <c r="T38" s="427">
        <v>6420582.4854163099</v>
      </c>
      <c r="U38" s="427">
        <v>9704135.144437667</v>
      </c>
      <c r="V38" s="427">
        <v>9801176.4958820455</v>
      </c>
      <c r="W38" s="427">
        <v>5622862.6720108725</v>
      </c>
      <c r="X38" s="427">
        <v>4999090.0717246383</v>
      </c>
      <c r="Y38" s="427">
        <v>1514724.291732565</v>
      </c>
      <c r="Z38" s="427">
        <v>340778.88434326323</v>
      </c>
      <c r="AA38">
        <v>0</v>
      </c>
    </row>
    <row r="39" spans="1:27" s="12" customFormat="1" x14ac:dyDescent="0.25">
      <c r="A39" s="23" t="s">
        <v>53</v>
      </c>
      <c r="B39" s="38">
        <f t="shared" ref="B39:Z39" si="3">SUM(B36:B38)</f>
        <v>0</v>
      </c>
      <c r="C39" s="38">
        <f t="shared" si="3"/>
        <v>1377573.75</v>
      </c>
      <c r="D39" s="38">
        <f t="shared" si="3"/>
        <v>4727719.125</v>
      </c>
      <c r="E39" s="38">
        <f t="shared" si="3"/>
        <v>5673811.6034147814</v>
      </c>
      <c r="F39" s="38">
        <f t="shared" si="3"/>
        <v>9253168.1188087501</v>
      </c>
      <c r="G39" s="38">
        <f t="shared" si="3"/>
        <v>9780936.2013082504</v>
      </c>
      <c r="H39" s="38">
        <f t="shared" si="3"/>
        <v>6933221.4716092795</v>
      </c>
      <c r="I39" s="38">
        <f t="shared" si="3"/>
        <v>10004708.587824309</v>
      </c>
      <c r="J39" s="38">
        <f t="shared" si="3"/>
        <v>10118683.487422802</v>
      </c>
      <c r="K39" s="38">
        <f t="shared" si="3"/>
        <v>7181483.8304266725</v>
      </c>
      <c r="L39" s="38">
        <f t="shared" si="3"/>
        <v>10350907.956609145</v>
      </c>
      <c r="M39" s="38">
        <f t="shared" si="3"/>
        <v>10469197.343517672</v>
      </c>
      <c r="N39" s="38">
        <f t="shared" si="3"/>
        <v>7439605.635887485</v>
      </c>
      <c r="O39" s="38">
        <f t="shared" si="3"/>
        <v>10710232.314505626</v>
      </c>
      <c r="P39" s="38">
        <f t="shared" si="3"/>
        <v>10833019.618044937</v>
      </c>
      <c r="Q39" s="38">
        <f t="shared" si="3"/>
        <v>7708028.6729324805</v>
      </c>
      <c r="R39" s="38">
        <f t="shared" si="3"/>
        <v>11083240.632771978</v>
      </c>
      <c r="S39" s="38">
        <f t="shared" si="3"/>
        <v>11210718.065773923</v>
      </c>
      <c r="T39" s="38">
        <f t="shared" si="3"/>
        <v>7987216.8678436764</v>
      </c>
      <c r="U39" s="38">
        <f t="shared" si="3"/>
        <v>11470518.691127623</v>
      </c>
      <c r="V39" s="38">
        <f t="shared" si="3"/>
        <v>11602887.713505801</v>
      </c>
      <c r="W39" s="38">
        <f t="shared" si="3"/>
        <v>6969507.6237764563</v>
      </c>
      <c r="X39" s="38">
        <f t="shared" si="3"/>
        <v>5966340.2471325155</v>
      </c>
      <c r="Y39" s="38">
        <f t="shared" si="3"/>
        <v>1870104.1445708445</v>
      </c>
      <c r="Z39" s="38">
        <f t="shared" si="3"/>
        <v>349091.38434326323</v>
      </c>
    </row>
    <row r="40" spans="1:27" x14ac:dyDescent="0.25">
      <c r="A40" s="23"/>
      <c r="B40" s="41"/>
      <c r="C40" s="41"/>
      <c r="D40" s="41"/>
      <c r="E40" s="41"/>
      <c r="F40" s="41"/>
      <c r="G40" s="41"/>
      <c r="H40" s="41"/>
      <c r="I40" s="41"/>
      <c r="J40" s="41"/>
      <c r="K40" s="41"/>
    </row>
    <row r="41" spans="1:27" x14ac:dyDescent="0.25">
      <c r="A41" s="23" t="s">
        <v>380</v>
      </c>
    </row>
    <row r="42" spans="1:27" x14ac:dyDescent="0.25">
      <c r="A42" s="88" t="s">
        <v>345</v>
      </c>
      <c r="B42" s="33">
        <v>0</v>
      </c>
      <c r="C42" s="33">
        <v>165100.6</v>
      </c>
      <c r="D42" s="33">
        <v>377054.01500000001</v>
      </c>
      <c r="E42" s="33">
        <v>662202.59927000001</v>
      </c>
      <c r="F42" s="33">
        <v>603924.26140299998</v>
      </c>
      <c r="G42" s="33">
        <v>502635.50401703001</v>
      </c>
      <c r="H42" s="33">
        <v>417215.10905720032</v>
      </c>
      <c r="I42" s="33">
        <v>376764.34764777229</v>
      </c>
      <c r="J42" s="33">
        <v>376981.99112425005</v>
      </c>
      <c r="K42" s="33">
        <v>393068.06103549252</v>
      </c>
      <c r="L42" s="33">
        <v>377423.82914584747</v>
      </c>
      <c r="M42" s="33">
        <v>377648.06743730593</v>
      </c>
      <c r="N42" s="33">
        <v>393740.79811167897</v>
      </c>
      <c r="O42" s="33">
        <v>378103.29359279579</v>
      </c>
      <c r="P42" s="33">
        <v>378334.32652872376</v>
      </c>
      <c r="Q42" s="33">
        <v>394433.91979401099</v>
      </c>
      <c r="R42" s="33">
        <v>378803.34649195109</v>
      </c>
      <c r="S42" s="33">
        <v>379041.37995687057</v>
      </c>
      <c r="T42" s="33">
        <v>395148.04375643929</v>
      </c>
      <c r="U42" s="33">
        <v>379524.61169400369</v>
      </c>
      <c r="V42" s="33">
        <v>379769.85781094374</v>
      </c>
      <c r="W42" s="33">
        <v>327110.79511124251</v>
      </c>
      <c r="X42" s="33">
        <v>215133.86597647186</v>
      </c>
      <c r="Y42" s="33">
        <v>73052.040927247319</v>
      </c>
      <c r="Z42" s="33">
        <v>26009.374999999993</v>
      </c>
    </row>
    <row r="43" spans="1:27" x14ac:dyDescent="0.25">
      <c r="A43" s="88" t="s">
        <v>346</v>
      </c>
      <c r="B43" s="33">
        <v>0</v>
      </c>
      <c r="C43" s="33">
        <v>201220</v>
      </c>
      <c r="D43" s="33">
        <v>479310.5</v>
      </c>
      <c r="E43" s="33">
        <v>747098.06799999997</v>
      </c>
      <c r="F43" s="33">
        <v>913326.84210000001</v>
      </c>
      <c r="G43" s="33">
        <v>890712.110521</v>
      </c>
      <c r="H43" s="33">
        <v>893928.60662621004</v>
      </c>
      <c r="I43" s="33">
        <v>895148.42394247209</v>
      </c>
      <c r="J43" s="33">
        <v>897399.9081818969</v>
      </c>
      <c r="K43" s="33">
        <v>900683.28226371575</v>
      </c>
      <c r="L43" s="33">
        <v>901970.64633635292</v>
      </c>
      <c r="M43" s="33">
        <v>904290.35279971652</v>
      </c>
      <c r="N43" s="33">
        <v>907642.63132771361</v>
      </c>
      <c r="O43" s="33">
        <v>908999.58889099082</v>
      </c>
      <c r="P43" s="33">
        <v>911389.58477990073</v>
      </c>
      <c r="Q43" s="33">
        <v>914812.85562769976</v>
      </c>
      <c r="R43" s="33">
        <v>916241.51543397678</v>
      </c>
      <c r="S43" s="33">
        <v>918703.93058831652</v>
      </c>
      <c r="T43" s="33">
        <v>922200.34489419963</v>
      </c>
      <c r="U43" s="33">
        <v>923702.87959314161</v>
      </c>
      <c r="V43" s="33">
        <v>926239.9083890731</v>
      </c>
      <c r="W43" s="33">
        <v>743849.34597837098</v>
      </c>
      <c r="X43" s="33">
        <v>465695.16527384677</v>
      </c>
      <c r="Y43" s="33">
        <v>186800.84677063406</v>
      </c>
      <c r="Z43" s="33">
        <v>0</v>
      </c>
    </row>
    <row r="44" spans="1:27" x14ac:dyDescent="0.25">
      <c r="A44" s="88" t="s">
        <v>347</v>
      </c>
      <c r="B44" s="33">
        <v>0</v>
      </c>
      <c r="C44" s="33">
        <v>2464725</v>
      </c>
      <c r="D44" s="33">
        <v>6739150</v>
      </c>
      <c r="E44" s="33">
        <v>9416939</v>
      </c>
      <c r="F44" s="33">
        <v>7242525</v>
      </c>
      <c r="G44" s="33">
        <v>7079700</v>
      </c>
      <c r="H44" s="33">
        <v>7025340</v>
      </c>
      <c r="I44" s="33">
        <v>6587500</v>
      </c>
      <c r="J44" s="33">
        <v>6587500</v>
      </c>
      <c r="K44" s="33">
        <v>7025340</v>
      </c>
      <c r="L44" s="33">
        <v>6587500</v>
      </c>
      <c r="M44" s="33">
        <v>6587500</v>
      </c>
      <c r="N44" s="33">
        <v>7025340</v>
      </c>
      <c r="O44" s="33">
        <v>6587500</v>
      </c>
      <c r="P44" s="33">
        <v>6587500</v>
      </c>
      <c r="Q44" s="33">
        <v>7025340</v>
      </c>
      <c r="R44" s="33">
        <v>6587500</v>
      </c>
      <c r="S44" s="33">
        <v>6587500</v>
      </c>
      <c r="T44" s="33">
        <v>7025340</v>
      </c>
      <c r="U44" s="33">
        <v>6587500</v>
      </c>
      <c r="V44" s="33">
        <v>6587500</v>
      </c>
      <c r="W44" s="33">
        <v>5971539</v>
      </c>
      <c r="X44" s="33">
        <v>3293750</v>
      </c>
      <c r="Y44" s="33">
        <v>988125</v>
      </c>
      <c r="Z44" s="33">
        <v>351267</v>
      </c>
      <c r="AA44" s="3">
        <v>0</v>
      </c>
    </row>
    <row r="45" spans="1:27" x14ac:dyDescent="0.25">
      <c r="A45" s="117" t="s">
        <v>54</v>
      </c>
      <c r="B45" s="37">
        <f t="shared" ref="B45:Z45" si="4">SUM(B42:B44)</f>
        <v>0</v>
      </c>
      <c r="C45" s="37">
        <f t="shared" si="4"/>
        <v>2831045.6</v>
      </c>
      <c r="D45" s="37">
        <f t="shared" si="4"/>
        <v>7595514.5149999997</v>
      </c>
      <c r="E45" s="37">
        <f t="shared" si="4"/>
        <v>10826239.667270001</v>
      </c>
      <c r="F45" s="37">
        <f t="shared" si="4"/>
        <v>8759776.103503</v>
      </c>
      <c r="G45" s="37">
        <f t="shared" si="4"/>
        <v>8473047.6145380307</v>
      </c>
      <c r="H45" s="37">
        <f t="shared" si="4"/>
        <v>8336483.7156834099</v>
      </c>
      <c r="I45" s="37">
        <f t="shared" si="4"/>
        <v>7859412.771590244</v>
      </c>
      <c r="J45" s="37">
        <f t="shared" si="4"/>
        <v>7861881.8993061464</v>
      </c>
      <c r="K45" s="37">
        <f t="shared" si="4"/>
        <v>8319091.3432992082</v>
      </c>
      <c r="L45" s="37">
        <f t="shared" si="4"/>
        <v>7866894.4754822003</v>
      </c>
      <c r="M45" s="37">
        <f t="shared" si="4"/>
        <v>7869438.4202370225</v>
      </c>
      <c r="N45" s="37">
        <f t="shared" si="4"/>
        <v>8326723.4294393929</v>
      </c>
      <c r="O45" s="37">
        <f t="shared" si="4"/>
        <v>7874602.8824837869</v>
      </c>
      <c r="P45" s="37">
        <f t="shared" si="4"/>
        <v>7877223.9113086248</v>
      </c>
      <c r="Q45" s="37">
        <f t="shared" si="4"/>
        <v>8334586.7754217107</v>
      </c>
      <c r="R45" s="37">
        <f t="shared" si="4"/>
        <v>7882544.8619259279</v>
      </c>
      <c r="S45" s="37">
        <f t="shared" si="4"/>
        <v>7885245.3105451874</v>
      </c>
      <c r="T45" s="37">
        <f t="shared" si="4"/>
        <v>8342688.388650639</v>
      </c>
      <c r="U45" s="37">
        <f t="shared" si="4"/>
        <v>7890727.4912871458</v>
      </c>
      <c r="V45" s="37">
        <f t="shared" si="4"/>
        <v>7893509.7662000172</v>
      </c>
      <c r="W45" s="37">
        <f t="shared" si="4"/>
        <v>7042499.1410896135</v>
      </c>
      <c r="X45" s="37">
        <f t="shared" si="4"/>
        <v>3974579.0312503185</v>
      </c>
      <c r="Y45" s="37">
        <f t="shared" si="4"/>
        <v>1247977.8876978813</v>
      </c>
      <c r="Z45" s="37">
        <f t="shared" si="4"/>
        <v>377276.375</v>
      </c>
    </row>
    <row r="46" spans="1:27" x14ac:dyDescent="0.25">
      <c r="B46" s="32"/>
      <c r="C46" s="32"/>
      <c r="D46" s="32"/>
      <c r="E46" s="32"/>
      <c r="F46" s="32"/>
      <c r="G46" s="32"/>
      <c r="H46" s="32"/>
      <c r="I46" s="32"/>
      <c r="J46" s="32"/>
      <c r="K46" s="32"/>
      <c r="L46" s="32"/>
    </row>
    <row r="47" spans="1:27" x14ac:dyDescent="0.25">
      <c r="A47" s="23" t="str">
        <f>A20</f>
        <v>Net Benefits ($)</v>
      </c>
      <c r="B47" s="34">
        <f t="shared" ref="B47:Z47" si="5">B39-B45</f>
        <v>0</v>
      </c>
      <c r="C47" s="34">
        <f t="shared" si="5"/>
        <v>-1453471.85</v>
      </c>
      <c r="D47" s="34">
        <f t="shared" si="5"/>
        <v>-2867795.3899999997</v>
      </c>
      <c r="E47" s="34">
        <f t="shared" si="5"/>
        <v>-5152428.0638552196</v>
      </c>
      <c r="F47" s="34">
        <f t="shared" si="5"/>
        <v>493392.01530575007</v>
      </c>
      <c r="G47" s="34">
        <f t="shared" si="5"/>
        <v>1307888.5867702197</v>
      </c>
      <c r="H47" s="34">
        <f t="shared" si="5"/>
        <v>-1403262.2440741304</v>
      </c>
      <c r="I47" s="34">
        <f t="shared" si="5"/>
        <v>2145295.8162340652</v>
      </c>
      <c r="J47" s="34">
        <f t="shared" si="5"/>
        <v>2256801.5881166551</v>
      </c>
      <c r="K47" s="34">
        <f t="shared" si="5"/>
        <v>-1137607.5128725357</v>
      </c>
      <c r="L47" s="34">
        <f t="shared" si="5"/>
        <v>2484013.4811269445</v>
      </c>
      <c r="M47" s="34">
        <f t="shared" si="5"/>
        <v>2599758.9232806498</v>
      </c>
      <c r="N47" s="34">
        <f t="shared" si="5"/>
        <v>-887117.79355190787</v>
      </c>
      <c r="O47" s="34">
        <f t="shared" si="5"/>
        <v>2835629.4320218386</v>
      </c>
      <c r="P47" s="34">
        <f t="shared" si="5"/>
        <v>2955795.7067363122</v>
      </c>
      <c r="Q47" s="34">
        <f t="shared" si="5"/>
        <v>-626558.10248923022</v>
      </c>
      <c r="R47" s="34">
        <f t="shared" si="5"/>
        <v>3200695.7708460502</v>
      </c>
      <c r="S47" s="34">
        <f t="shared" si="5"/>
        <v>3325472.7552287355</v>
      </c>
      <c r="T47" s="34">
        <f t="shared" si="5"/>
        <v>-355471.52080696262</v>
      </c>
      <c r="U47" s="34">
        <f t="shared" si="5"/>
        <v>3579791.1998404767</v>
      </c>
      <c r="V47" s="34">
        <f t="shared" si="5"/>
        <v>3709377.9473057836</v>
      </c>
      <c r="W47" s="34">
        <f t="shared" si="5"/>
        <v>-72991.517313157208</v>
      </c>
      <c r="X47" s="34">
        <f t="shared" si="5"/>
        <v>1991761.215882197</v>
      </c>
      <c r="Y47" s="34">
        <f t="shared" si="5"/>
        <v>622126.25687296316</v>
      </c>
      <c r="Z47" s="34">
        <f t="shared" si="5"/>
        <v>-28184.990656736773</v>
      </c>
    </row>
    <row r="48" spans="1:27" x14ac:dyDescent="0.25">
      <c r="A48" s="23"/>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12"/>
    </row>
    <row r="49" spans="1:27" x14ac:dyDescent="0.25">
      <c r="A49" s="10" t="str">
        <f>A22</f>
        <v>Financial Benefits in Present Value</v>
      </c>
      <c r="B49" s="345">
        <f>B39/(1+Assumption_Hatchery!$C76)^'Fin_RCP 4.5_CRAB Value'!B34</f>
        <v>0</v>
      </c>
      <c r="C49" s="345">
        <f>C39/(1+Assumption_Hatchery!$C76)^'Fin_RCP 4.5_CRAB Value'!C34</f>
        <v>1299597.8773584906</v>
      </c>
      <c r="D49" s="345">
        <f>D39/(1+Assumption_Hatchery!$C76)^'Fin_RCP 4.5_CRAB Value'!D34</f>
        <v>4207653.1906372365</v>
      </c>
      <c r="E49" s="345">
        <f>E39/(1+Assumption_Hatchery!$C76)^'Fin_RCP 4.5_CRAB Value'!E34</f>
        <v>4763841.6305194721</v>
      </c>
      <c r="F49" s="345">
        <f>F39/(1+Assumption_Hatchery!$C76)^'Fin_RCP 4.5_CRAB Value'!F34</f>
        <v>7329375.8317844849</v>
      </c>
      <c r="G49" s="345">
        <f>G39/(1+Assumption_Hatchery!$C76)^'Fin_RCP 4.5_CRAB Value'!G34</f>
        <v>7308884.5147090741</v>
      </c>
      <c r="H49" s="345">
        <f>H39/(1+Assumption_Hatchery!$C76)^'Fin_RCP 4.5_CRAB Value'!H34</f>
        <v>4887647.5556136454</v>
      </c>
      <c r="I49" s="345">
        <f>I39/(1+Assumption_Hatchery!$C76)^'Fin_RCP 4.5_CRAB Value'!I34</f>
        <v>6653702.6160510322</v>
      </c>
      <c r="J49" s="345">
        <f>J39/(1+Assumption_Hatchery!$C76)^'Fin_RCP 4.5_CRAB Value'!J34</f>
        <v>6348587.2017013226</v>
      </c>
      <c r="K49" s="345">
        <f>K39/(1+Assumption_Hatchery!$C76)^'Fin_RCP 4.5_CRAB Value'!K34</f>
        <v>4250709.245095266</v>
      </c>
      <c r="L49" s="345">
        <f>L39/(1+Assumption_Hatchery!$C76)^'Fin_RCP 4.5_CRAB Value'!L34</f>
        <v>5779892.9392996822</v>
      </c>
      <c r="M49" s="345">
        <f>M39/(1+Assumption_Hatchery!$C76)^'Fin_RCP 4.5_CRAB Value'!M34</f>
        <v>5515042.5614282023</v>
      </c>
      <c r="N49" s="345">
        <f>N39/(1+Assumption_Hatchery!$C76)^'Fin_RCP 4.5_CRAB Value'!N34</f>
        <v>3697256.0781308697</v>
      </c>
      <c r="O49" s="345">
        <f>O39/(1+Assumption_Hatchery!$C76)^'Fin_RCP 4.5_CRAB Value'!O34</f>
        <v>5021374.8463223446</v>
      </c>
      <c r="P49" s="345">
        <f>P39/(1+Assumption_Hatchery!$C76)^'Fin_RCP 4.5_CRAB Value'!P34</f>
        <v>4791455.0242051911</v>
      </c>
      <c r="Q49" s="345">
        <f>Q39/(1+Assumption_Hatchery!$C76)^'Fin_RCP 4.5_CRAB Value'!Q34</f>
        <v>3216291.0523624578</v>
      </c>
      <c r="R49" s="345">
        <f>R39/(1+Assumption_Hatchery!$C76)^'Fin_RCP 4.5_CRAB Value'!R34</f>
        <v>4362876.486585103</v>
      </c>
      <c r="S49" s="345">
        <f>S39/(1+Assumption_Hatchery!$C76)^'Fin_RCP 4.5_CRAB Value'!S34</f>
        <v>4163261.7965505305</v>
      </c>
      <c r="T49" s="345">
        <f>T39/(1+Assumption_Hatchery!$C76)^'Fin_RCP 4.5_CRAB Value'!T34</f>
        <v>2798271.8380514826</v>
      </c>
      <c r="U49" s="345">
        <f>U39/(1+Assumption_Hatchery!$C76)^'Fin_RCP 4.5_CRAB Value'!U34</f>
        <v>3791155.6645924994</v>
      </c>
      <c r="V49" s="345">
        <f>V39/(1+Assumption_Hatchery!$C76)^'Fin_RCP 4.5_CRAB Value'!V34</f>
        <v>3617835.2345995791</v>
      </c>
      <c r="W49" s="345">
        <f>W39/(1+Assumption_Hatchery!$C76)^'Fin_RCP 4.5_CRAB Value'!W34</f>
        <v>2050118.3218510374</v>
      </c>
      <c r="X49" s="345">
        <f>X39/(1+Assumption_Hatchery!$C76)^'Fin_RCP 4.5_CRAB Value'!X34</f>
        <v>1655689.8284679656</v>
      </c>
      <c r="Y49" s="345">
        <f>Y39/(1+Assumption_Hatchery!$C76)^'Fin_RCP 4.5_CRAB Value'!Y34</f>
        <v>489588.14327132987</v>
      </c>
      <c r="Z49" s="345">
        <f>Z39/(1+Assumption_Hatchery!$C76)^'Fin_RCP 4.5_CRAB Value'!Z34</f>
        <v>86218.083341050631</v>
      </c>
      <c r="AA49" s="343">
        <f>SUM(B49:Z49)</f>
        <v>98086327.56252934</v>
      </c>
    </row>
    <row r="50" spans="1:27" s="12" customFormat="1" x14ac:dyDescent="0.25">
      <c r="A50" s="10" t="str">
        <f>A23</f>
        <v>Financial Costs in Present Value</v>
      </c>
      <c r="B50" s="346">
        <f>B45/(1+Assumption_Hatchery!$C76)^'Fin_RCP 4.5_CRAB Value'!B34</f>
        <v>0</v>
      </c>
      <c r="C50" s="346">
        <f>C45/(1+Assumption_Hatchery!$C76)^'Fin_RCP 4.5_CRAB Value'!C34</f>
        <v>2670797.7358490564</v>
      </c>
      <c r="D50" s="346">
        <f>D45/(1+Assumption_Hatchery!$C76)^'Fin_RCP 4.5_CRAB Value'!D34</f>
        <v>6759980.8784264848</v>
      </c>
      <c r="E50" s="346">
        <f>E45/(1+Assumption_Hatchery!$C76)^'Fin_RCP 4.5_CRAB Value'!E34</f>
        <v>9089919.5873691011</v>
      </c>
      <c r="F50" s="346">
        <f>F45/(1+Assumption_Hatchery!$C76)^'Fin_RCP 4.5_CRAB Value'!F34</f>
        <v>6938563.1429685634</v>
      </c>
      <c r="G50" s="346">
        <f>G45/(1+Assumption_Hatchery!$C76)^'Fin_RCP 4.5_CRAB Value'!G34</f>
        <v>6331554.0790467905</v>
      </c>
      <c r="H50" s="346">
        <f>H45/(1+Assumption_Hatchery!$C76)^'Fin_RCP 4.5_CRAB Value'!H34</f>
        <v>5876892.0655747373</v>
      </c>
      <c r="I50" s="346">
        <f>I45/(1+Assumption_Hatchery!$C76)^'Fin_RCP 4.5_CRAB Value'!I34</f>
        <v>5226958.3726403322</v>
      </c>
      <c r="J50" s="346">
        <f>J45/(1+Assumption_Hatchery!$C76)^'Fin_RCP 4.5_CRAB Value'!J34</f>
        <v>4932641.9656530526</v>
      </c>
      <c r="K50" s="346">
        <f>K45/(1+Assumption_Hatchery!$C76)^'Fin_RCP 4.5_CRAB Value'!K34</f>
        <v>4924057.3840647331</v>
      </c>
      <c r="L50" s="346">
        <f>L45/(1+Assumption_Hatchery!$C76)^'Fin_RCP 4.5_CRAB Value'!L34</f>
        <v>4392832.7856516568</v>
      </c>
      <c r="M50" s="346">
        <f>M45/(1+Assumption_Hatchery!$C76)^'Fin_RCP 4.5_CRAB Value'!M34</f>
        <v>4145521.9916184046</v>
      </c>
      <c r="N50" s="346">
        <f>N45/(1+Assumption_Hatchery!$C76)^'Fin_RCP 4.5_CRAB Value'!N34</f>
        <v>4138126.443410194</v>
      </c>
      <c r="O50" s="346">
        <f>O45/(1+Assumption_Hatchery!$C76)^'Fin_RCP 4.5_CRAB Value'!O34</f>
        <v>3691921.1159713026</v>
      </c>
      <c r="P50" s="346">
        <f>P45/(1+Assumption_Hatchery!$C76)^'Fin_RCP 4.5_CRAB Value'!P34</f>
        <v>3484103.7326064236</v>
      </c>
      <c r="Q50" s="346">
        <f>Q45/(1+Assumption_Hatchery!$C76)^'Fin_RCP 4.5_CRAB Value'!Q34</f>
        <v>3477731.8570519714</v>
      </c>
      <c r="R50" s="346">
        <f>R45/(1+Assumption_Hatchery!$C76)^'Fin_RCP 4.5_CRAB Value'!R34</f>
        <v>3102934.4910963629</v>
      </c>
      <c r="S50" s="346">
        <f>S45/(1+Assumption_Hatchery!$C76)^'Fin_RCP 4.5_CRAB Value'!S34</f>
        <v>2928299.5402449919</v>
      </c>
      <c r="T50" s="346">
        <f>T45/(1+Assumption_Hatchery!$C76)^'Fin_RCP 4.5_CRAB Value'!T34</f>
        <v>2922809.0782894576</v>
      </c>
      <c r="U50" s="346">
        <f>U45/(1+Assumption_Hatchery!$C76)^'Fin_RCP 4.5_CRAB Value'!U34</f>
        <v>2607988.0981745035</v>
      </c>
      <c r="V50" s="346">
        <f>V45/(1+Assumption_Hatchery!$C76)^'Fin_RCP 4.5_CRAB Value'!V34</f>
        <v>2461233.6568226353</v>
      </c>
      <c r="W50" s="346">
        <f>W45/(1+Assumption_Hatchery!$C76)^'Fin_RCP 4.5_CRAB Value'!W34</f>
        <v>2071589.1710216317</v>
      </c>
      <c r="X50" s="346">
        <f>X45/(1+Assumption_Hatchery!$C76)^'Fin_RCP 4.5_CRAB Value'!X34</f>
        <v>1102965.9392365278</v>
      </c>
      <c r="Y50" s="346">
        <f>Y45/(1+Assumption_Hatchery!$C76)^'Fin_RCP 4.5_CRAB Value'!Y34</f>
        <v>326717.19308011822</v>
      </c>
      <c r="Z50" s="346">
        <f>Z45/(1+Assumption_Hatchery!$C76)^'Fin_RCP 4.5_CRAB Value'!Z34</f>
        <v>93179.171418262471</v>
      </c>
      <c r="AA50" s="343">
        <f>SUM(B50:Z50)</f>
        <v>93699319.477287292</v>
      </c>
    </row>
    <row r="51" spans="1:27" x14ac:dyDescent="0.25">
      <c r="B51" s="32"/>
      <c r="C51" s="32"/>
      <c r="D51" s="32"/>
      <c r="E51" s="32"/>
      <c r="F51" s="32"/>
      <c r="G51" s="32"/>
      <c r="H51" s="32"/>
      <c r="I51" s="32"/>
      <c r="J51" s="32"/>
      <c r="K51" s="32"/>
      <c r="L51" s="32"/>
    </row>
    <row r="52" spans="1:27" s="12" customFormat="1" x14ac:dyDescent="0.25">
      <c r="A52" s="25" t="s">
        <v>391</v>
      </c>
      <c r="B52" s="35">
        <f>NPV(B3,C47:Z47)+B47</f>
        <v>1024824.9453412285</v>
      </c>
      <c r="C52" s="40"/>
      <c r="D52" s="40"/>
      <c r="E52" s="40"/>
      <c r="F52" s="40"/>
      <c r="G52" s="40"/>
      <c r="H52" s="40"/>
      <c r="I52" s="40"/>
      <c r="J52" s="40"/>
      <c r="K52" s="40"/>
      <c r="L52" s="40"/>
    </row>
    <row r="54" spans="1:27" s="12" customFormat="1" x14ac:dyDescent="0.25">
      <c r="A54" s="25" t="s">
        <v>237</v>
      </c>
      <c r="B54" s="36">
        <f>IRR(B47:Z47)</f>
        <v>0.10323990553099405</v>
      </c>
      <c r="C54" s="4"/>
      <c r="D54" s="4"/>
      <c r="E54" s="4"/>
      <c r="F54" s="4"/>
      <c r="G54" s="4"/>
      <c r="H54" s="4"/>
      <c r="I54" s="4"/>
      <c r="J54" s="4"/>
      <c r="K54" s="4"/>
      <c r="L54" s="4"/>
    </row>
    <row r="56" spans="1:27" ht="38.25" customHeight="1" x14ac:dyDescent="0.25">
      <c r="A56" s="11"/>
      <c r="B56" s="30"/>
      <c r="C56" s="69"/>
      <c r="D56" s="70"/>
      <c r="E56" s="30"/>
      <c r="F56" s="116"/>
      <c r="G56" s="30"/>
      <c r="H56" s="30"/>
      <c r="I56" s="30"/>
      <c r="J56" s="30"/>
      <c r="K56" s="30"/>
      <c r="L56" s="30"/>
      <c r="M56" s="11"/>
    </row>
    <row r="57" spans="1:27" s="1" customFormat="1" x14ac:dyDescent="0.25">
      <c r="A57" s="24"/>
      <c r="B57" s="42"/>
      <c r="C57" s="42"/>
      <c r="D57" s="42"/>
      <c r="E57" s="42"/>
      <c r="F57" s="42"/>
      <c r="G57" s="42"/>
      <c r="H57" s="42"/>
      <c r="I57" s="42"/>
      <c r="J57" s="42"/>
      <c r="K57" s="42"/>
      <c r="L57" s="42"/>
    </row>
    <row r="59" spans="1:27" ht="26.25" x14ac:dyDescent="0.25">
      <c r="F59" s="19" t="s">
        <v>92</v>
      </c>
    </row>
    <row r="60" spans="1:27" ht="38.25" customHeight="1" x14ac:dyDescent="0.25">
      <c r="A60" s="11" t="str">
        <f>A5</f>
        <v>Aggregate Financial Analysis_CRAB Value chain</v>
      </c>
      <c r="B60" s="30"/>
      <c r="C60" s="69"/>
      <c r="D60" s="70"/>
      <c r="E60" s="30"/>
      <c r="F60" s="30"/>
      <c r="G60" s="30"/>
      <c r="H60" s="30"/>
      <c r="I60" s="30"/>
      <c r="J60" s="30"/>
      <c r="K60" s="30"/>
      <c r="L60" s="30"/>
      <c r="M60" s="11"/>
    </row>
    <row r="62" spans="1:27" x14ac:dyDescent="0.25">
      <c r="A62" s="10" t="s">
        <v>19</v>
      </c>
      <c r="B62" s="26">
        <v>0</v>
      </c>
      <c r="C62" s="26">
        <v>1</v>
      </c>
      <c r="D62" s="26">
        <v>2</v>
      </c>
      <c r="E62" s="26">
        <v>3</v>
      </c>
      <c r="F62" s="26">
        <v>4</v>
      </c>
      <c r="G62" s="26">
        <v>5</v>
      </c>
      <c r="H62" s="26">
        <v>6</v>
      </c>
      <c r="I62" s="26">
        <v>7</v>
      </c>
      <c r="J62" s="26">
        <v>8</v>
      </c>
      <c r="K62" s="26">
        <v>9</v>
      </c>
      <c r="L62" s="26">
        <v>10</v>
      </c>
      <c r="M62" s="26">
        <v>11</v>
      </c>
      <c r="N62" s="26">
        <v>12</v>
      </c>
      <c r="O62" s="26">
        <v>13</v>
      </c>
      <c r="P62" s="26">
        <v>14</v>
      </c>
      <c r="Q62" s="26">
        <v>15</v>
      </c>
      <c r="R62" s="26">
        <v>16</v>
      </c>
      <c r="S62" s="26">
        <v>17</v>
      </c>
      <c r="T62" s="26">
        <v>18</v>
      </c>
      <c r="U62" s="26">
        <v>19</v>
      </c>
      <c r="V62" s="26">
        <v>20</v>
      </c>
      <c r="W62" s="26">
        <v>21</v>
      </c>
      <c r="X62" s="26">
        <v>22</v>
      </c>
      <c r="Y62" s="26">
        <v>23</v>
      </c>
      <c r="Z62" s="26">
        <v>24</v>
      </c>
    </row>
    <row r="63" spans="1:27" x14ac:dyDescent="0.25">
      <c r="A63" s="23" t="s">
        <v>381</v>
      </c>
    </row>
    <row r="64" spans="1:27" x14ac:dyDescent="0.25">
      <c r="A64" s="88" t="s">
        <v>345</v>
      </c>
      <c r="B64" s="31">
        <v>0</v>
      </c>
      <c r="C64" s="31">
        <v>0</v>
      </c>
      <c r="D64" s="31">
        <v>221085.00000000003</v>
      </c>
      <c r="E64" s="31">
        <v>375976.045575</v>
      </c>
      <c r="F64" s="31">
        <v>460033.66800000006</v>
      </c>
      <c r="G64" s="31">
        <v>469234.34136000008</v>
      </c>
      <c r="H64" s="31">
        <v>443320.87485839409</v>
      </c>
      <c r="I64" s="31">
        <v>488191.40875094401</v>
      </c>
      <c r="J64" s="31">
        <v>497955.2369259629</v>
      </c>
      <c r="K64" s="31">
        <v>470455.65896672657</v>
      </c>
      <c r="L64" s="31">
        <v>518072.62849777186</v>
      </c>
      <c r="M64" s="31">
        <v>528434.08106772718</v>
      </c>
      <c r="N64" s="31">
        <v>499251.30894076201</v>
      </c>
      <c r="O64" s="31">
        <v>549782.81794286345</v>
      </c>
      <c r="P64" s="31">
        <v>560778.47430172074</v>
      </c>
      <c r="Q64" s="31">
        <v>529809.48305840802</v>
      </c>
      <c r="R64" s="31">
        <v>583433.92466351017</v>
      </c>
      <c r="S64" s="31">
        <v>595102.60315678047</v>
      </c>
      <c r="T64" s="31">
        <v>562238.06189744722</v>
      </c>
      <c r="U64" s="31">
        <v>619144.74832431425</v>
      </c>
      <c r="V64" s="31">
        <v>631527.64329080062</v>
      </c>
      <c r="W64" s="31">
        <v>493946.2233520528</v>
      </c>
      <c r="X64" s="31">
        <v>358520.68003987451</v>
      </c>
      <c r="Y64" s="31">
        <v>107018.21872813438</v>
      </c>
      <c r="Z64" s="31">
        <v>8312.5</v>
      </c>
    </row>
    <row r="65" spans="1:27" x14ac:dyDescent="0.25">
      <c r="A65" s="88" t="s">
        <v>346</v>
      </c>
      <c r="B65" s="31">
        <v>0</v>
      </c>
      <c r="C65" s="31">
        <v>160650.00000000003</v>
      </c>
      <c r="D65" s="31">
        <v>409657.50000000006</v>
      </c>
      <c r="E65" s="31">
        <v>597025.00871999993</v>
      </c>
      <c r="F65" s="31">
        <v>852415.32600000012</v>
      </c>
      <c r="G65" s="31">
        <v>869463.6325200001</v>
      </c>
      <c r="H65" s="31">
        <v>791959.64431716723</v>
      </c>
      <c r="I65" s="31">
        <v>904589.96327380801</v>
      </c>
      <c r="J65" s="31">
        <v>922681.76253928419</v>
      </c>
      <c r="K65" s="31">
        <v>840433.91022653237</v>
      </c>
      <c r="L65" s="31">
        <v>959958.10574587132</v>
      </c>
      <c r="M65" s="31">
        <v>979157.26786078862</v>
      </c>
      <c r="N65" s="31">
        <v>891875.18900367804</v>
      </c>
      <c r="O65" s="31">
        <v>1018715.2214823646</v>
      </c>
      <c r="P65" s="31">
        <v>1039089.525912012</v>
      </c>
      <c r="Q65" s="31">
        <v>946465.08557221491</v>
      </c>
      <c r="R65" s="31">
        <v>1081068.7427588571</v>
      </c>
      <c r="S65" s="31">
        <v>1102690.1176140343</v>
      </c>
      <c r="T65" s="31">
        <v>1004396.3205299192</v>
      </c>
      <c r="U65" s="31">
        <v>1147238.7983656412</v>
      </c>
      <c r="V65" s="31">
        <v>1170183.5743329541</v>
      </c>
      <c r="W65" s="31">
        <v>852698.72841353144</v>
      </c>
      <c r="X65" s="31">
        <v>608729.49536800268</v>
      </c>
      <c r="Y65" s="31">
        <v>248361.63411014507</v>
      </c>
      <c r="Z65" s="31">
        <v>0</v>
      </c>
    </row>
    <row r="66" spans="1:27" customFormat="1" x14ac:dyDescent="0.25">
      <c r="A66" s="88" t="s">
        <v>347</v>
      </c>
      <c r="B66" s="427">
        <v>0</v>
      </c>
      <c r="C66" s="427">
        <v>1216923.75</v>
      </c>
      <c r="D66" s="427">
        <v>4096976.625</v>
      </c>
      <c r="E66" s="427">
        <v>4700810.5491197817</v>
      </c>
      <c r="F66" s="427">
        <v>7940719.1248087501</v>
      </c>
      <c r="G66" s="427">
        <v>8442238.22742825</v>
      </c>
      <c r="H66" s="427">
        <v>5697940.9524337184</v>
      </c>
      <c r="I66" s="427">
        <v>8611927.215799557</v>
      </c>
      <c r="J66" s="427">
        <v>8698046.4879575539</v>
      </c>
      <c r="K66" s="427">
        <v>5870594.2612334136</v>
      </c>
      <c r="L66" s="427">
        <v>8872877.2223655023</v>
      </c>
      <c r="M66" s="427">
        <v>8961605.9945891555</v>
      </c>
      <c r="N66" s="427">
        <v>6048479.1379430452</v>
      </c>
      <c r="O66" s="427">
        <v>9141734.2750803977</v>
      </c>
      <c r="P66" s="427">
        <v>9233151.6178312041</v>
      </c>
      <c r="Q66" s="427">
        <v>6231754.1043018578</v>
      </c>
      <c r="R66" s="427">
        <v>9418737.9653496109</v>
      </c>
      <c r="S66" s="427">
        <v>9512925.3450031076</v>
      </c>
      <c r="T66" s="427">
        <v>6420582.4854163099</v>
      </c>
      <c r="U66" s="427">
        <v>9704135.144437667</v>
      </c>
      <c r="V66" s="427">
        <v>9801176.4958820455</v>
      </c>
      <c r="W66" s="427">
        <v>5622862.6720108725</v>
      </c>
      <c r="X66" s="427">
        <v>4999090.0717246383</v>
      </c>
      <c r="Y66" s="427">
        <v>1514724.291732565</v>
      </c>
      <c r="Z66" s="427">
        <v>340778.88434326323</v>
      </c>
      <c r="AA66">
        <v>0</v>
      </c>
    </row>
    <row r="67" spans="1:27" s="12" customFormat="1" x14ac:dyDescent="0.25">
      <c r="A67" s="23" t="s">
        <v>53</v>
      </c>
      <c r="B67" s="38">
        <f t="shared" ref="B67:Z67" si="6">SUM(B64:B66)</f>
        <v>0</v>
      </c>
      <c r="C67" s="38">
        <f t="shared" si="6"/>
        <v>1377573.75</v>
      </c>
      <c r="D67" s="38">
        <f t="shared" si="6"/>
        <v>4727719.125</v>
      </c>
      <c r="E67" s="38">
        <f t="shared" si="6"/>
        <v>5673811.6034147814</v>
      </c>
      <c r="F67" s="38">
        <f t="shared" si="6"/>
        <v>9253168.1188087501</v>
      </c>
      <c r="G67" s="38">
        <f t="shared" si="6"/>
        <v>9780936.2013082504</v>
      </c>
      <c r="H67" s="38">
        <f t="shared" si="6"/>
        <v>6933221.4716092795</v>
      </c>
      <c r="I67" s="38">
        <f t="shared" si="6"/>
        <v>10004708.587824309</v>
      </c>
      <c r="J67" s="38">
        <f t="shared" si="6"/>
        <v>10118683.487422802</v>
      </c>
      <c r="K67" s="38">
        <f t="shared" si="6"/>
        <v>7181483.8304266725</v>
      </c>
      <c r="L67" s="38">
        <f t="shared" si="6"/>
        <v>10350907.956609145</v>
      </c>
      <c r="M67" s="38">
        <f t="shared" si="6"/>
        <v>10469197.343517672</v>
      </c>
      <c r="N67" s="38">
        <f t="shared" si="6"/>
        <v>7439605.635887485</v>
      </c>
      <c r="O67" s="38">
        <f t="shared" si="6"/>
        <v>10710232.314505626</v>
      </c>
      <c r="P67" s="38">
        <f t="shared" si="6"/>
        <v>10833019.618044937</v>
      </c>
      <c r="Q67" s="38">
        <f t="shared" si="6"/>
        <v>7708028.6729324805</v>
      </c>
      <c r="R67" s="38">
        <f t="shared" si="6"/>
        <v>11083240.632771978</v>
      </c>
      <c r="S67" s="38">
        <f t="shared" si="6"/>
        <v>11210718.065773923</v>
      </c>
      <c r="T67" s="38">
        <f t="shared" si="6"/>
        <v>7987216.8678436764</v>
      </c>
      <c r="U67" s="38">
        <f t="shared" si="6"/>
        <v>11470518.691127623</v>
      </c>
      <c r="V67" s="38">
        <f t="shared" si="6"/>
        <v>11602887.713505801</v>
      </c>
      <c r="W67" s="38">
        <f t="shared" si="6"/>
        <v>6969507.6237764563</v>
      </c>
      <c r="X67" s="38">
        <f t="shared" si="6"/>
        <v>5966340.2471325155</v>
      </c>
      <c r="Y67" s="38">
        <f t="shared" si="6"/>
        <v>1870104.1445708445</v>
      </c>
      <c r="Z67" s="38">
        <f t="shared" si="6"/>
        <v>349091.38434326323</v>
      </c>
    </row>
    <row r="68" spans="1:27" x14ac:dyDescent="0.25">
      <c r="A68" s="23"/>
      <c r="B68" s="41"/>
      <c r="C68" s="41"/>
      <c r="D68" s="41"/>
      <c r="E68" s="41"/>
      <c r="F68" s="41"/>
      <c r="G68" s="41"/>
      <c r="H68" s="41"/>
      <c r="I68" s="41"/>
      <c r="J68" s="41"/>
      <c r="K68" s="41"/>
    </row>
    <row r="69" spans="1:27" x14ac:dyDescent="0.25">
      <c r="A69" s="23" t="s">
        <v>380</v>
      </c>
    </row>
    <row r="70" spans="1:27" x14ac:dyDescent="0.25">
      <c r="A70" s="88" t="s">
        <v>345</v>
      </c>
      <c r="B70" s="33">
        <v>0</v>
      </c>
      <c r="C70" s="33">
        <v>-151468.44036697247</v>
      </c>
      <c r="D70" s="33">
        <v>-81448.543893611626</v>
      </c>
      <c r="E70" s="33">
        <v>-114149.22267763887</v>
      </c>
      <c r="F70" s="33">
        <v>34648.656691553297</v>
      </c>
      <c r="G70" s="33">
        <v>62002.698605566889</v>
      </c>
      <c r="H70" s="33">
        <v>30353.444897017212</v>
      </c>
      <c r="I70" s="33">
        <v>60954.418225683716</v>
      </c>
      <c r="J70" s="33">
        <v>60712.392810444944</v>
      </c>
      <c r="K70" s="33">
        <v>35631.399877578384</v>
      </c>
      <c r="L70" s="33">
        <v>59411.572823156232</v>
      </c>
      <c r="M70" s="33">
        <v>58434.533657073938</v>
      </c>
      <c r="N70" s="33">
        <v>37512.650463167491</v>
      </c>
      <c r="O70" s="33">
        <v>55998.194950213583</v>
      </c>
      <c r="P70" s="33">
        <v>54595.766286717175</v>
      </c>
      <c r="Q70" s="33">
        <v>37165.741980267623</v>
      </c>
      <c r="R70" s="33">
        <v>51540.255159624459</v>
      </c>
      <c r="S70" s="33">
        <v>49925.953220284166</v>
      </c>
      <c r="T70" s="33">
        <v>35422.037887495666</v>
      </c>
      <c r="U70" s="33">
        <v>46603.64126567723</v>
      </c>
      <c r="V70" s="33">
        <v>44921.365672783977</v>
      </c>
      <c r="W70" s="33">
        <v>27310.636613039758</v>
      </c>
      <c r="X70" s="33">
        <v>21534.076943335924</v>
      </c>
      <c r="Y70" s="33">
        <v>4679.9070349119311</v>
      </c>
      <c r="Z70" s="33">
        <v>-2236.9724359157349</v>
      </c>
    </row>
    <row r="71" spans="1:27" x14ac:dyDescent="0.25">
      <c r="A71" s="88" t="s">
        <v>346</v>
      </c>
      <c r="B71" s="33">
        <v>0</v>
      </c>
      <c r="C71" s="33">
        <v>176420</v>
      </c>
      <c r="D71" s="33">
        <v>442110.5</v>
      </c>
      <c r="E71" s="33">
        <v>709898.06799999997</v>
      </c>
      <c r="F71" s="33">
        <v>888526.84210000001</v>
      </c>
      <c r="G71" s="33">
        <v>890712.110521</v>
      </c>
      <c r="H71" s="33">
        <v>893928.60662621004</v>
      </c>
      <c r="I71" s="33">
        <v>895148.42394247209</v>
      </c>
      <c r="J71" s="33">
        <v>897399.9081818969</v>
      </c>
      <c r="K71" s="33">
        <v>900683.28226371575</v>
      </c>
      <c r="L71" s="33">
        <v>901970.64633635292</v>
      </c>
      <c r="M71" s="33">
        <v>904290.35279971652</v>
      </c>
      <c r="N71" s="33">
        <v>907642.63132771361</v>
      </c>
      <c r="O71" s="33">
        <v>908999.58889099082</v>
      </c>
      <c r="P71" s="33">
        <v>911389.58477990073</v>
      </c>
      <c r="Q71" s="33">
        <v>914812.85562769976</v>
      </c>
      <c r="R71" s="33">
        <v>916241.51543397678</v>
      </c>
      <c r="S71" s="33">
        <v>918703.93058831652</v>
      </c>
      <c r="T71" s="33">
        <v>922200.34489419963</v>
      </c>
      <c r="U71" s="33">
        <v>923702.87959314161</v>
      </c>
      <c r="V71" s="33">
        <v>926239.9083890731</v>
      </c>
      <c r="W71" s="33">
        <v>743849.34597837098</v>
      </c>
      <c r="X71" s="33">
        <v>465695.16527384677</v>
      </c>
      <c r="Y71" s="33">
        <v>186800.84677063406</v>
      </c>
      <c r="Z71" s="33">
        <v>0</v>
      </c>
    </row>
    <row r="72" spans="1:27" x14ac:dyDescent="0.25">
      <c r="A72" s="88" t="s">
        <v>347</v>
      </c>
      <c r="B72" s="33">
        <v>0</v>
      </c>
      <c r="C72" s="33">
        <v>1888125</v>
      </c>
      <c r="D72" s="33">
        <v>5393750</v>
      </c>
      <c r="E72" s="33">
        <v>8071539</v>
      </c>
      <c r="F72" s="33">
        <v>6858125</v>
      </c>
      <c r="G72" s="33">
        <v>6887500</v>
      </c>
      <c r="H72" s="33">
        <v>7025340</v>
      </c>
      <c r="I72" s="33">
        <v>6587500</v>
      </c>
      <c r="J72" s="33">
        <v>6587500</v>
      </c>
      <c r="K72" s="33">
        <v>7025340</v>
      </c>
      <c r="L72" s="33">
        <v>6587500</v>
      </c>
      <c r="M72" s="33">
        <v>6587500</v>
      </c>
      <c r="N72" s="33">
        <v>7025340</v>
      </c>
      <c r="O72" s="33">
        <v>6587500</v>
      </c>
      <c r="P72" s="33">
        <v>6587500</v>
      </c>
      <c r="Q72" s="33">
        <v>7025340</v>
      </c>
      <c r="R72" s="33">
        <v>6587500</v>
      </c>
      <c r="S72" s="33">
        <v>6587500</v>
      </c>
      <c r="T72" s="33">
        <v>7025340</v>
      </c>
      <c r="U72" s="33">
        <v>6587500</v>
      </c>
      <c r="V72" s="33">
        <v>6587500</v>
      </c>
      <c r="W72" s="33">
        <v>5971539</v>
      </c>
      <c r="X72" s="33">
        <v>3293750</v>
      </c>
      <c r="Y72" s="33">
        <v>988125</v>
      </c>
      <c r="Z72" s="33">
        <v>351267</v>
      </c>
      <c r="AA72" s="3">
        <v>0</v>
      </c>
    </row>
    <row r="73" spans="1:27" x14ac:dyDescent="0.25">
      <c r="A73" s="117" t="s">
        <v>54</v>
      </c>
      <c r="B73" s="37">
        <f t="shared" ref="B73:Z73" si="7">SUM(B70:B72)</f>
        <v>0</v>
      </c>
      <c r="C73" s="37">
        <f t="shared" si="7"/>
        <v>1913076.5596330275</v>
      </c>
      <c r="D73" s="37">
        <f t="shared" si="7"/>
        <v>5754411.956106388</v>
      </c>
      <c r="E73" s="37">
        <f t="shared" si="7"/>
        <v>8667287.8453223612</v>
      </c>
      <c r="F73" s="37">
        <f t="shared" si="7"/>
        <v>7781300.4987915531</v>
      </c>
      <c r="G73" s="37">
        <f t="shared" si="7"/>
        <v>7840214.8091265671</v>
      </c>
      <c r="H73" s="37">
        <f t="shared" si="7"/>
        <v>7949622.0515232272</v>
      </c>
      <c r="I73" s="37">
        <f t="shared" si="7"/>
        <v>7543602.8421681561</v>
      </c>
      <c r="J73" s="37">
        <f t="shared" si="7"/>
        <v>7545612.3009923417</v>
      </c>
      <c r="K73" s="37">
        <f t="shared" si="7"/>
        <v>7961654.6821412938</v>
      </c>
      <c r="L73" s="37">
        <f t="shared" si="7"/>
        <v>7548882.2191595091</v>
      </c>
      <c r="M73" s="37">
        <f t="shared" si="7"/>
        <v>7550224.8864567904</v>
      </c>
      <c r="N73" s="37">
        <f t="shared" si="7"/>
        <v>7970495.2817908814</v>
      </c>
      <c r="O73" s="37">
        <f t="shared" si="7"/>
        <v>7552497.7838412039</v>
      </c>
      <c r="P73" s="37">
        <f t="shared" si="7"/>
        <v>7553485.3510666182</v>
      </c>
      <c r="Q73" s="37">
        <f t="shared" si="7"/>
        <v>7977318.5976079674</v>
      </c>
      <c r="R73" s="37">
        <f t="shared" si="7"/>
        <v>7555281.7705936013</v>
      </c>
      <c r="S73" s="37">
        <f t="shared" si="7"/>
        <v>7556129.8838086007</v>
      </c>
      <c r="T73" s="37">
        <f t="shared" si="7"/>
        <v>7982962.3827816956</v>
      </c>
      <c r="U73" s="37">
        <f t="shared" si="7"/>
        <v>7557806.5208588187</v>
      </c>
      <c r="V73" s="37">
        <f t="shared" si="7"/>
        <v>7558661.2740618568</v>
      </c>
      <c r="W73" s="37">
        <f t="shared" si="7"/>
        <v>6742698.9825914111</v>
      </c>
      <c r="X73" s="37">
        <f t="shared" si="7"/>
        <v>3780979.2422171826</v>
      </c>
      <c r="Y73" s="37">
        <f t="shared" si="7"/>
        <v>1179605.7538055461</v>
      </c>
      <c r="Z73" s="37">
        <f t="shared" si="7"/>
        <v>349030.02756408427</v>
      </c>
    </row>
    <row r="74" spans="1:27" x14ac:dyDescent="0.25">
      <c r="B74" s="32"/>
      <c r="C74" s="32"/>
      <c r="D74" s="32"/>
      <c r="E74" s="32"/>
      <c r="F74" s="32"/>
      <c r="G74" s="32"/>
      <c r="H74" s="32"/>
      <c r="I74" s="32"/>
      <c r="J74" s="32"/>
      <c r="K74" s="32"/>
      <c r="L74" s="32"/>
    </row>
    <row r="75" spans="1:27" x14ac:dyDescent="0.25">
      <c r="A75" s="23" t="str">
        <f>A20</f>
        <v>Net Benefits ($)</v>
      </c>
      <c r="B75" s="34">
        <f t="shared" ref="B75:Z75" si="8">B67-B73</f>
        <v>0</v>
      </c>
      <c r="C75" s="34">
        <f t="shared" si="8"/>
        <v>-535502.80963302753</v>
      </c>
      <c r="D75" s="34">
        <f t="shared" si="8"/>
        <v>-1026692.831106388</v>
      </c>
      <c r="E75" s="34">
        <f t="shared" si="8"/>
        <v>-2993476.2419075798</v>
      </c>
      <c r="F75" s="34">
        <f t="shared" si="8"/>
        <v>1471867.620017197</v>
      </c>
      <c r="G75" s="34">
        <f t="shared" si="8"/>
        <v>1940721.3921816833</v>
      </c>
      <c r="H75" s="34">
        <f t="shared" si="8"/>
        <v>-1016400.5799139477</v>
      </c>
      <c r="I75" s="34">
        <f t="shared" si="8"/>
        <v>2461105.7456561532</v>
      </c>
      <c r="J75" s="34">
        <f t="shared" si="8"/>
        <v>2573071.1864304598</v>
      </c>
      <c r="K75" s="34">
        <f t="shared" si="8"/>
        <v>-780170.8517146213</v>
      </c>
      <c r="L75" s="34">
        <f t="shared" si="8"/>
        <v>2802025.7374496358</v>
      </c>
      <c r="M75" s="34">
        <f t="shared" si="8"/>
        <v>2918972.4570608819</v>
      </c>
      <c r="N75" s="34">
        <f t="shared" si="8"/>
        <v>-530889.64590339642</v>
      </c>
      <c r="O75" s="34">
        <f t="shared" si="8"/>
        <v>3157734.5306644216</v>
      </c>
      <c r="P75" s="34">
        <f t="shared" si="8"/>
        <v>3279534.2669783188</v>
      </c>
      <c r="Q75" s="34">
        <f t="shared" si="8"/>
        <v>-269289.92467548698</v>
      </c>
      <c r="R75" s="34">
        <f t="shared" si="8"/>
        <v>3527958.8621783769</v>
      </c>
      <c r="S75" s="34">
        <f t="shared" si="8"/>
        <v>3654588.1819653222</v>
      </c>
      <c r="T75" s="34">
        <f t="shared" si="8"/>
        <v>4254.4850619807839</v>
      </c>
      <c r="U75" s="34">
        <f t="shared" si="8"/>
        <v>3912712.1702688038</v>
      </c>
      <c r="V75" s="34">
        <f t="shared" si="8"/>
        <v>4044226.439443944</v>
      </c>
      <c r="W75" s="34">
        <f t="shared" si="8"/>
        <v>226808.64118504524</v>
      </c>
      <c r="X75" s="34">
        <f t="shared" si="8"/>
        <v>2185361.0049153329</v>
      </c>
      <c r="Y75" s="34">
        <f t="shared" si="8"/>
        <v>690498.39076529839</v>
      </c>
      <c r="Z75" s="34">
        <f t="shared" si="8"/>
        <v>61.35677917895373</v>
      </c>
    </row>
    <row r="76" spans="1:27" x14ac:dyDescent="0.25">
      <c r="A76" s="23"/>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12"/>
    </row>
    <row r="77" spans="1:27" x14ac:dyDescent="0.25">
      <c r="A77" s="10" t="str">
        <f>A22</f>
        <v>Financial Benefits in Present Value</v>
      </c>
      <c r="B77" s="345">
        <f>B67/(1+Assumption_Hatchery!$C76)^'Fin_RCP 4.5_CRAB Value'!B62</f>
        <v>0</v>
      </c>
      <c r="C77" s="345">
        <f>C67/(1+Assumption_Hatchery!$C76)^'Fin_RCP 4.5_CRAB Value'!C62</f>
        <v>1299597.8773584906</v>
      </c>
      <c r="D77" s="345">
        <f>D67/(1+Assumption_Hatchery!$C76)^'Fin_RCP 4.5_CRAB Value'!D62</f>
        <v>4207653.1906372365</v>
      </c>
      <c r="E77" s="345">
        <f>E67/(1+Assumption_Hatchery!$C76)^'Fin_RCP 4.5_CRAB Value'!E62</f>
        <v>4763841.6305194721</v>
      </c>
      <c r="F77" s="345">
        <f>F67/(1+Assumption_Hatchery!$C76)^'Fin_RCP 4.5_CRAB Value'!F62</f>
        <v>7329375.8317844849</v>
      </c>
      <c r="G77" s="345">
        <f>G67/(1+Assumption_Hatchery!$C76)^'Fin_RCP 4.5_CRAB Value'!G62</f>
        <v>7308884.5147090741</v>
      </c>
      <c r="H77" s="345">
        <f>H67/(1+Assumption_Hatchery!$C76)^'Fin_RCP 4.5_CRAB Value'!H62</f>
        <v>4887647.5556136454</v>
      </c>
      <c r="I77" s="345">
        <f>I67/(1+Assumption_Hatchery!$C76)^'Fin_RCP 4.5_CRAB Value'!I62</f>
        <v>6653702.6160510322</v>
      </c>
      <c r="J77" s="345">
        <f>J67/(1+Assumption_Hatchery!$C76)^'Fin_RCP 4.5_CRAB Value'!J62</f>
        <v>6348587.2017013226</v>
      </c>
      <c r="K77" s="345">
        <f>K67/(1+Assumption_Hatchery!$C76)^'Fin_RCP 4.5_CRAB Value'!K62</f>
        <v>4250709.245095266</v>
      </c>
      <c r="L77" s="345">
        <f>L67/(1+Assumption_Hatchery!$C76)^'Fin_RCP 4.5_CRAB Value'!L62</f>
        <v>5779892.9392996822</v>
      </c>
      <c r="M77" s="345">
        <f>M67/(1+Assumption_Hatchery!$C76)^'Fin_RCP 4.5_CRAB Value'!M62</f>
        <v>5515042.5614282023</v>
      </c>
      <c r="N77" s="345">
        <f>N67/(1+Assumption_Hatchery!$C76)^'Fin_RCP 4.5_CRAB Value'!N62</f>
        <v>3697256.0781308697</v>
      </c>
      <c r="O77" s="345">
        <f>O67/(1+Assumption_Hatchery!$C76)^'Fin_RCP 4.5_CRAB Value'!O62</f>
        <v>5021374.8463223446</v>
      </c>
      <c r="P77" s="345">
        <f>P67/(1+Assumption_Hatchery!$C76)^'Fin_RCP 4.5_CRAB Value'!P62</f>
        <v>4791455.0242051911</v>
      </c>
      <c r="Q77" s="345">
        <f>Q67/(1+Assumption_Hatchery!$C76)^'Fin_RCP 4.5_CRAB Value'!Q62</f>
        <v>3216291.0523624578</v>
      </c>
      <c r="R77" s="345">
        <f>R67/(1+Assumption_Hatchery!$C76)^'Fin_RCP 4.5_CRAB Value'!R62</f>
        <v>4362876.486585103</v>
      </c>
      <c r="S77" s="345">
        <f>S67/(1+Assumption_Hatchery!$C76)^'Fin_RCP 4.5_CRAB Value'!S62</f>
        <v>4163261.7965505305</v>
      </c>
      <c r="T77" s="345">
        <f>T67/(1+Assumption_Hatchery!$C76)^'Fin_RCP 4.5_CRAB Value'!T62</f>
        <v>2798271.8380514826</v>
      </c>
      <c r="U77" s="345">
        <f>U67/(1+Assumption_Hatchery!$C76)^'Fin_RCP 4.5_CRAB Value'!U62</f>
        <v>3791155.6645924994</v>
      </c>
      <c r="V77" s="345">
        <f>V67/(1+Assumption_Hatchery!$C76)^'Fin_RCP 4.5_CRAB Value'!V62</f>
        <v>3617835.2345995791</v>
      </c>
      <c r="W77" s="345">
        <f>W67/(1+Assumption_Hatchery!$C76)^'Fin_RCP 4.5_CRAB Value'!W62</f>
        <v>2050118.3218510374</v>
      </c>
      <c r="X77" s="345">
        <f>X67/(1+Assumption_Hatchery!$C76)^'Fin_RCP 4.5_CRAB Value'!X62</f>
        <v>1655689.8284679656</v>
      </c>
      <c r="Y77" s="345">
        <f>Y67/(1+Assumption_Hatchery!$C76)^'Fin_RCP 4.5_CRAB Value'!Y62</f>
        <v>489588.14327132987</v>
      </c>
      <c r="Z77" s="345">
        <f>Z67/(1+Assumption_Hatchery!$C76)^'Fin_RCP 4.5_CRAB Value'!Z62</f>
        <v>86218.083341050631</v>
      </c>
      <c r="AA77" s="343">
        <f>SUM(B77:Z77)</f>
        <v>98086327.56252934</v>
      </c>
    </row>
    <row r="78" spans="1:27" s="12" customFormat="1" x14ac:dyDescent="0.25">
      <c r="A78" s="10" t="str">
        <f>A23</f>
        <v>Financial Costs in Present Value</v>
      </c>
      <c r="B78" s="346">
        <f>B73/(1+Assumption_Hatchery!$C76)^'Fin_RCP 4.5_CRAB Value'!B62</f>
        <v>0</v>
      </c>
      <c r="C78" s="346">
        <f>C73/(1+Assumption_Hatchery!$C76)^'Fin_RCP 4.5_CRAB Value'!C62</f>
        <v>1804789.2072009693</v>
      </c>
      <c r="D78" s="346">
        <f>D73/(1+Assumption_Hatchery!$C76)^'Fin_RCP 4.5_CRAB Value'!D62</f>
        <v>5121406.1553100636</v>
      </c>
      <c r="E78" s="346">
        <f>E73/(1+Assumption_Hatchery!$C76)^'Fin_RCP 4.5_CRAB Value'!E62</f>
        <v>7277222.0065241437</v>
      </c>
      <c r="F78" s="346">
        <f>F73/(1+Assumption_Hatchery!$C76)^'Fin_RCP 4.5_CRAB Value'!F62</f>
        <v>6163518.8168436363</v>
      </c>
      <c r="G78" s="346">
        <f>G73/(1+Assumption_Hatchery!$C76)^'Fin_RCP 4.5_CRAB Value'!G62</f>
        <v>5858664.5931453193</v>
      </c>
      <c r="H78" s="346">
        <f>H73/(1+Assumption_Hatchery!$C76)^'Fin_RCP 4.5_CRAB Value'!H62</f>
        <v>5604169.8577329824</v>
      </c>
      <c r="I78" s="346">
        <f>I73/(1+Assumption_Hatchery!$C76)^'Fin_RCP 4.5_CRAB Value'!I62</f>
        <v>5016926.7325256048</v>
      </c>
      <c r="J78" s="346">
        <f>J73/(1+Assumption_Hatchery!$C76)^'Fin_RCP 4.5_CRAB Value'!J62</f>
        <v>4734210.5069916612</v>
      </c>
      <c r="K78" s="346">
        <f>K73/(1+Assumption_Hatchery!$C76)^'Fin_RCP 4.5_CRAB Value'!K62</f>
        <v>4712491.1735160612</v>
      </c>
      <c r="L78" s="346">
        <f>L73/(1+Assumption_Hatchery!$C76)^'Fin_RCP 4.5_CRAB Value'!L62</f>
        <v>4215256.4027260737</v>
      </c>
      <c r="M78" s="346">
        <f>M73/(1+Assumption_Hatchery!$C76)^'Fin_RCP 4.5_CRAB Value'!M62</f>
        <v>3977364.284086802</v>
      </c>
      <c r="N78" s="346">
        <f>N73/(1+Assumption_Hatchery!$C76)^'Fin_RCP 4.5_CRAB Value'!N62</f>
        <v>3961091.9675850994</v>
      </c>
      <c r="O78" s="346">
        <f>O73/(1+Assumption_Hatchery!$C76)^'Fin_RCP 4.5_CRAB Value'!O62</f>
        <v>3540905.6764644049</v>
      </c>
      <c r="P78" s="346">
        <f>P73/(1+Assumption_Hatchery!$C76)^'Fin_RCP 4.5_CRAB Value'!P62</f>
        <v>3340913.8552044975</v>
      </c>
      <c r="Q78" s="346">
        <f>Q73/(1+Assumption_Hatchery!$C76)^'Fin_RCP 4.5_CRAB Value'!Q62</f>
        <v>3328656.3291376443</v>
      </c>
      <c r="R78" s="346">
        <f>R73/(1+Assumption_Hatchery!$C76)^'Fin_RCP 4.5_CRAB Value'!R62</f>
        <v>2974108.5913970382</v>
      </c>
      <c r="S78" s="346">
        <f>S73/(1+Assumption_Hatchery!$C76)^'Fin_RCP 4.5_CRAB Value'!S62</f>
        <v>2806077.78114367</v>
      </c>
      <c r="T78" s="346">
        <f>T73/(1+Assumption_Hatchery!$C76)^'Fin_RCP 4.5_CRAB Value'!T62</f>
        <v>2796781.3056255658</v>
      </c>
      <c r="U78" s="346">
        <f>U73/(1+Assumption_Hatchery!$C76)^'Fin_RCP 4.5_CRAB Value'!U62</f>
        <v>2497953.3859799057</v>
      </c>
      <c r="V78" s="346">
        <f>V73/(1+Assumption_Hatchery!$C76)^'Fin_RCP 4.5_CRAB Value'!V62</f>
        <v>2356826.3141832789</v>
      </c>
      <c r="W78" s="346">
        <f>W73/(1+Assumption_Hatchery!$C76)^'Fin_RCP 4.5_CRAB Value'!W62</f>
        <v>1983401.3346622575</v>
      </c>
      <c r="X78" s="346">
        <f>X73/(1+Assumption_Hatchery!$C76)^'Fin_RCP 4.5_CRAB Value'!X62</f>
        <v>1049241.0110194751</v>
      </c>
      <c r="Y78" s="346">
        <f>Y73/(1+Assumption_Hatchery!$C76)^'Fin_RCP 4.5_CRAB Value'!Y62</f>
        <v>308817.55568236846</v>
      </c>
      <c r="Z78" s="346">
        <f>Z73/(1+Assumption_Hatchery!$C76)^'Fin_RCP 4.5_CRAB Value'!Z62</f>
        <v>86202.929532798546</v>
      </c>
      <c r="AA78" s="343">
        <f>SUM(B78:Z78)</f>
        <v>85516997.774221316</v>
      </c>
    </row>
    <row r="79" spans="1:27" x14ac:dyDescent="0.25">
      <c r="B79" s="32"/>
      <c r="C79" s="32"/>
      <c r="D79" s="32"/>
      <c r="E79" s="32"/>
      <c r="F79" s="32"/>
      <c r="G79" s="32"/>
      <c r="H79" s="32"/>
      <c r="I79" s="32"/>
      <c r="J79" s="32"/>
      <c r="K79" s="32"/>
      <c r="L79" s="32"/>
    </row>
    <row r="80" spans="1:27" s="12" customFormat="1" x14ac:dyDescent="0.25">
      <c r="A80" s="25" t="s">
        <v>391</v>
      </c>
      <c r="B80" s="35">
        <f>NPV(B3,C75:Z75)+B75</f>
        <v>8050020.7978164479</v>
      </c>
      <c r="C80" s="40"/>
      <c r="D80" s="40"/>
      <c r="E80" s="40"/>
      <c r="F80" s="40"/>
      <c r="G80" s="40"/>
      <c r="H80" s="40"/>
      <c r="I80" s="40"/>
      <c r="J80" s="40"/>
      <c r="K80" s="40"/>
      <c r="L80" s="40"/>
    </row>
    <row r="82" spans="1:12" s="12" customFormat="1" x14ac:dyDescent="0.25">
      <c r="A82" s="25" t="s">
        <v>237</v>
      </c>
      <c r="B82" s="36">
        <f>IRR(B75:Z75)</f>
        <v>0.27522230309563689</v>
      </c>
      <c r="C82" s="4"/>
      <c r="D82" s="4"/>
      <c r="E82" s="4"/>
      <c r="F82" s="4"/>
      <c r="G82" s="4"/>
      <c r="H82" s="4"/>
      <c r="I82" s="4"/>
      <c r="J82" s="4"/>
      <c r="K82" s="4"/>
      <c r="L82" s="4"/>
    </row>
  </sheetData>
  <mergeCells count="1">
    <mergeCell ref="B2:N2"/>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AA82"/>
  <sheetViews>
    <sheetView showGridLines="0" topLeftCell="A37" zoomScale="85" zoomScaleNormal="85" workbookViewId="0">
      <selection activeCell="B81" sqref="B81"/>
    </sheetView>
  </sheetViews>
  <sheetFormatPr defaultColWidth="9" defaultRowHeight="15" x14ac:dyDescent="0.25"/>
  <cols>
    <col min="1" max="1" width="40.7109375" style="10" customWidth="1"/>
    <col min="2" max="2" width="21.28515625" style="26" customWidth="1"/>
    <col min="3" max="3" width="13" style="26" customWidth="1"/>
    <col min="4" max="4" width="17" style="26" customWidth="1"/>
    <col min="5" max="5" width="17.140625" style="26" customWidth="1"/>
    <col min="6" max="6" width="16.140625" style="26" customWidth="1"/>
    <col min="7" max="7" width="14.28515625" style="26" customWidth="1"/>
    <col min="8" max="8" width="15.5703125" style="26" customWidth="1"/>
    <col min="9" max="9" width="13.85546875" style="26" customWidth="1"/>
    <col min="10" max="10" width="13" style="26" customWidth="1"/>
    <col min="11" max="11" width="12.7109375" style="26" customWidth="1"/>
    <col min="12" max="12" width="15.42578125" style="26" customWidth="1"/>
    <col min="13" max="23" width="13.7109375" style="3" customWidth="1"/>
    <col min="24" max="24" width="15.7109375" style="3" customWidth="1"/>
    <col min="25" max="25" width="14.140625" style="3" customWidth="1"/>
    <col min="26" max="26" width="11.140625" style="3" customWidth="1"/>
    <col min="27" max="27" width="16" style="3" customWidth="1"/>
    <col min="28" max="16384" width="9" style="3"/>
  </cols>
  <sheetData>
    <row r="2" spans="1:27" ht="26.25" x14ac:dyDescent="0.4">
      <c r="A2" s="441" t="str">
        <f>'Fin_RCP 4.5_CRAB Value'!A2</f>
        <v>Note</v>
      </c>
      <c r="B2" s="534" t="str">
        <f>'Fin_RCP 4.5_CRAB Value'!B2:N2</f>
        <v>Values have been brough from Financial Analysis "Annex 03_Annex_3_B_Financial_Analysis_Revised_21052023_PKSF Reply_Final"</v>
      </c>
      <c r="C2" s="534"/>
      <c r="D2" s="534"/>
      <c r="E2" s="534"/>
      <c r="F2" s="534"/>
      <c r="G2" s="534"/>
      <c r="H2" s="534"/>
      <c r="I2" s="534"/>
      <c r="J2" s="534"/>
      <c r="K2" s="534"/>
      <c r="L2" s="534"/>
      <c r="M2" s="534"/>
      <c r="N2" s="534"/>
    </row>
    <row r="3" spans="1:27" ht="26.25" x14ac:dyDescent="0.4">
      <c r="A3" s="456" t="str">
        <f>'Fin_RCP 4.5_CRAB Value'!A3</f>
        <v>Discount rate</v>
      </c>
      <c r="B3" s="458">
        <f>'Fin_RCP 4.5_CRAB Value'!B3</f>
        <v>0.09</v>
      </c>
      <c r="C3" s="457"/>
      <c r="D3" s="457"/>
      <c r="E3" s="457"/>
      <c r="F3" s="457"/>
      <c r="G3" s="457"/>
      <c r="H3" s="457"/>
      <c r="I3" s="457"/>
      <c r="J3" s="457"/>
      <c r="K3" s="457"/>
      <c r="L3" s="457"/>
      <c r="M3" s="457"/>
      <c r="N3" s="457"/>
    </row>
    <row r="5" spans="1:27" ht="38.25" customHeight="1" x14ac:dyDescent="0.25">
      <c r="A5" s="11" t="s">
        <v>378</v>
      </c>
      <c r="B5" s="30"/>
      <c r="C5" s="69"/>
      <c r="D5" s="70"/>
      <c r="E5" s="30"/>
      <c r="F5" s="116" t="s">
        <v>91</v>
      </c>
      <c r="G5" s="30"/>
      <c r="H5" s="30"/>
      <c r="I5" s="30"/>
      <c r="J5" s="30"/>
      <c r="K5" s="30"/>
      <c r="L5" s="30"/>
      <c r="M5" s="11"/>
    </row>
    <row r="6" spans="1:27" ht="15" customHeight="1" x14ac:dyDescent="0.25">
      <c r="A6" s="22"/>
      <c r="B6" s="30"/>
      <c r="C6" s="30"/>
      <c r="D6" s="30"/>
      <c r="E6" s="30"/>
      <c r="F6" s="30"/>
      <c r="G6" s="30"/>
      <c r="H6" s="30"/>
      <c r="I6" s="30"/>
      <c r="J6" s="30"/>
      <c r="K6" s="30"/>
      <c r="L6" s="30"/>
      <c r="M6" s="11"/>
    </row>
    <row r="7" spans="1:27" x14ac:dyDescent="0.25">
      <c r="A7" s="10" t="s">
        <v>19</v>
      </c>
      <c r="B7" s="26">
        <v>0</v>
      </c>
      <c r="C7" s="26">
        <v>1</v>
      </c>
      <c r="D7" s="26">
        <v>2</v>
      </c>
      <c r="E7" s="26">
        <v>3</v>
      </c>
      <c r="F7" s="26">
        <v>4</v>
      </c>
      <c r="G7" s="26">
        <v>5</v>
      </c>
      <c r="H7" s="26">
        <v>6</v>
      </c>
      <c r="I7" s="26">
        <v>7</v>
      </c>
      <c r="J7" s="26">
        <v>8</v>
      </c>
      <c r="K7" s="26">
        <v>9</v>
      </c>
      <c r="L7" s="26">
        <v>10</v>
      </c>
      <c r="M7" s="26">
        <v>11</v>
      </c>
      <c r="N7" s="26">
        <v>12</v>
      </c>
      <c r="O7" s="26">
        <v>13</v>
      </c>
      <c r="P7" s="26">
        <v>14</v>
      </c>
      <c r="Q7" s="26">
        <v>15</v>
      </c>
      <c r="R7" s="26">
        <v>16</v>
      </c>
      <c r="S7" s="26">
        <v>17</v>
      </c>
      <c r="T7" s="26">
        <v>18</v>
      </c>
      <c r="U7" s="26">
        <v>19</v>
      </c>
      <c r="V7" s="26">
        <v>20</v>
      </c>
      <c r="W7" s="26">
        <v>21</v>
      </c>
      <c r="X7" s="26">
        <v>22</v>
      </c>
      <c r="Y7" s="26">
        <v>23</v>
      </c>
      <c r="Z7" s="26">
        <v>24</v>
      </c>
    </row>
    <row r="8" spans="1:27" x14ac:dyDescent="0.25">
      <c r="A8" s="23" t="s">
        <v>381</v>
      </c>
    </row>
    <row r="9" spans="1:27" x14ac:dyDescent="0.25">
      <c r="A9" s="88" t="s">
        <v>345</v>
      </c>
      <c r="B9" s="31">
        <v>0</v>
      </c>
      <c r="C9" s="31">
        <v>0</v>
      </c>
      <c r="D9" s="31">
        <v>221085.00000000003</v>
      </c>
      <c r="E9" s="31">
        <v>366081.9391125</v>
      </c>
      <c r="F9" s="31">
        <v>460033.66800000006</v>
      </c>
      <c r="G9" s="31">
        <v>469234.34136000008</v>
      </c>
      <c r="H9" s="31">
        <v>431654.53604633111</v>
      </c>
      <c r="I9" s="31">
        <v>488191.40875094401</v>
      </c>
      <c r="J9" s="31">
        <v>497955.2369259629</v>
      </c>
      <c r="K9" s="31">
        <v>458075.24688865483</v>
      </c>
      <c r="L9" s="31">
        <v>518072.62849777186</v>
      </c>
      <c r="M9" s="31">
        <v>528434.08106772718</v>
      </c>
      <c r="N9" s="31">
        <v>486113.11660021567</v>
      </c>
      <c r="O9" s="31">
        <v>549782.81794286345</v>
      </c>
      <c r="P9" s="31">
        <v>560778.47430172074</v>
      </c>
      <c r="Q9" s="31">
        <v>515867.12824108155</v>
      </c>
      <c r="R9" s="31">
        <v>583433.92466351017</v>
      </c>
      <c r="S9" s="31">
        <v>595102.60315678047</v>
      </c>
      <c r="T9" s="31">
        <v>547442.32342646178</v>
      </c>
      <c r="U9" s="31">
        <v>619144.74832431425</v>
      </c>
      <c r="V9" s="31">
        <v>631527.64329080062</v>
      </c>
      <c r="W9" s="31">
        <v>483760.13852699887</v>
      </c>
      <c r="X9" s="31">
        <v>358520.68003987451</v>
      </c>
      <c r="Y9" s="31">
        <v>107018.21872813438</v>
      </c>
      <c r="Z9" s="31">
        <v>9500</v>
      </c>
    </row>
    <row r="10" spans="1:27" x14ac:dyDescent="0.25">
      <c r="A10" s="88" t="s">
        <v>346</v>
      </c>
      <c r="B10" s="31">
        <v>0</v>
      </c>
      <c r="C10" s="31">
        <v>160650.00000000003</v>
      </c>
      <c r="D10" s="31">
        <v>409657.50000000006</v>
      </c>
      <c r="E10" s="31">
        <v>571619.68920000002</v>
      </c>
      <c r="F10" s="31">
        <v>852415.32600000012</v>
      </c>
      <c r="G10" s="31">
        <v>869463.6325200001</v>
      </c>
      <c r="H10" s="31">
        <v>758259.23392069212</v>
      </c>
      <c r="I10" s="31">
        <v>904589.96327380801</v>
      </c>
      <c r="J10" s="31">
        <v>922681.76253928419</v>
      </c>
      <c r="K10" s="31">
        <v>804670.76511050982</v>
      </c>
      <c r="L10" s="31">
        <v>959958.10574587132</v>
      </c>
      <c r="M10" s="31">
        <v>979157.26786078862</v>
      </c>
      <c r="N10" s="31">
        <v>853923.05330139399</v>
      </c>
      <c r="O10" s="31">
        <v>1018715.2214823646</v>
      </c>
      <c r="P10" s="31">
        <v>1039089.525912012</v>
      </c>
      <c r="Q10" s="31">
        <v>906189.97554786538</v>
      </c>
      <c r="R10" s="31">
        <v>1081068.7427588571</v>
      </c>
      <c r="S10" s="31">
        <v>1102690.1176140343</v>
      </c>
      <c r="T10" s="31">
        <v>961656.05157119932</v>
      </c>
      <c r="U10" s="31">
        <v>1147238.7983656412</v>
      </c>
      <c r="V10" s="31">
        <v>1170183.5743329541</v>
      </c>
      <c r="W10" s="31">
        <v>816413.67614061537</v>
      </c>
      <c r="X10" s="31">
        <v>608729.49536800268</v>
      </c>
      <c r="Y10" s="31">
        <v>248361.63411014507</v>
      </c>
      <c r="Z10" s="31">
        <v>0</v>
      </c>
    </row>
    <row r="11" spans="1:27" x14ac:dyDescent="0.25">
      <c r="A11" s="88" t="s">
        <v>347</v>
      </c>
      <c r="B11" s="31">
        <v>0</v>
      </c>
      <c r="C11" s="31">
        <v>1216923.75</v>
      </c>
      <c r="D11" s="31">
        <v>4096976.625</v>
      </c>
      <c r="E11" s="136">
        <v>4497689.1056392966</v>
      </c>
      <c r="F11" s="31">
        <v>7940719.1248087501</v>
      </c>
      <c r="G11" s="31">
        <v>8442238.22742825</v>
      </c>
      <c r="H11" s="136">
        <v>5451733.6273285579</v>
      </c>
      <c r="I11" s="31">
        <v>8611927.215799557</v>
      </c>
      <c r="J11" s="31">
        <v>8698046.4879575539</v>
      </c>
      <c r="K11" s="136">
        <v>5616926.6079702405</v>
      </c>
      <c r="L11" s="31">
        <v>8872877.2223655023</v>
      </c>
      <c r="M11" s="31">
        <v>8961605.9945891555</v>
      </c>
      <c r="N11" s="136">
        <v>5787125.1011183457</v>
      </c>
      <c r="O11" s="31">
        <v>9141734.2750803977</v>
      </c>
      <c r="P11" s="31">
        <v>9233151.6178312041</v>
      </c>
      <c r="Q11" s="136">
        <v>5962480.7788073327</v>
      </c>
      <c r="R11" s="31">
        <v>9418737.9653496109</v>
      </c>
      <c r="S11" s="31">
        <v>9512925.3450031076</v>
      </c>
      <c r="T11" s="31">
        <v>6143149.9088859754</v>
      </c>
      <c r="U11" s="31">
        <v>9704135.144437667</v>
      </c>
      <c r="V11" s="31">
        <v>9801176.4958820455</v>
      </c>
      <c r="W11" s="31">
        <v>5379899.4701338587</v>
      </c>
      <c r="X11" s="31">
        <v>4999090.0717246383</v>
      </c>
      <c r="Y11" s="31">
        <v>1514724.291732565</v>
      </c>
      <c r="Z11" s="31">
        <v>326053.87082225806</v>
      </c>
      <c r="AA11" s="3">
        <v>0</v>
      </c>
    </row>
    <row r="12" spans="1:27" s="12" customFormat="1" x14ac:dyDescent="0.25">
      <c r="A12" s="23" t="s">
        <v>53</v>
      </c>
      <c r="B12" s="38">
        <f>(B9+B10+B11)</f>
        <v>0</v>
      </c>
      <c r="C12" s="38">
        <f t="shared" ref="C12:Z12" si="0">(C9+C10+C11)</f>
        <v>1377573.75</v>
      </c>
      <c r="D12" s="38">
        <f t="shared" si="0"/>
        <v>4727719.125</v>
      </c>
      <c r="E12" s="38">
        <f t="shared" si="0"/>
        <v>5435390.7339517968</v>
      </c>
      <c r="F12" s="38">
        <f t="shared" si="0"/>
        <v>9253168.1188087501</v>
      </c>
      <c r="G12" s="38">
        <f t="shared" si="0"/>
        <v>9780936.2013082504</v>
      </c>
      <c r="H12" s="38">
        <f t="shared" si="0"/>
        <v>6641647.3972955812</v>
      </c>
      <c r="I12" s="38">
        <f t="shared" si="0"/>
        <v>10004708.587824309</v>
      </c>
      <c r="J12" s="38">
        <f t="shared" si="0"/>
        <v>10118683.487422802</v>
      </c>
      <c r="K12" s="38">
        <f t="shared" si="0"/>
        <v>6879672.6199694052</v>
      </c>
      <c r="L12" s="38">
        <f t="shared" si="0"/>
        <v>10350907.956609145</v>
      </c>
      <c r="M12" s="38">
        <f t="shared" si="0"/>
        <v>10469197.343517672</v>
      </c>
      <c r="N12" s="38">
        <f t="shared" si="0"/>
        <v>7127161.2710199552</v>
      </c>
      <c r="O12" s="38">
        <f t="shared" si="0"/>
        <v>10710232.314505626</v>
      </c>
      <c r="P12" s="38">
        <f t="shared" si="0"/>
        <v>10833019.618044937</v>
      </c>
      <c r="Q12" s="38">
        <f t="shared" si="0"/>
        <v>7384537.8825962795</v>
      </c>
      <c r="R12" s="38">
        <f t="shared" si="0"/>
        <v>11083240.632771978</v>
      </c>
      <c r="S12" s="38">
        <f t="shared" si="0"/>
        <v>11210718.065773923</v>
      </c>
      <c r="T12" s="38">
        <f t="shared" si="0"/>
        <v>7652248.2838836368</v>
      </c>
      <c r="U12" s="38">
        <f t="shared" si="0"/>
        <v>11470518.691127623</v>
      </c>
      <c r="V12" s="38">
        <f t="shared" si="0"/>
        <v>11602887.713505801</v>
      </c>
      <c r="W12" s="38">
        <f t="shared" si="0"/>
        <v>6680073.2848014729</v>
      </c>
      <c r="X12" s="38">
        <f t="shared" si="0"/>
        <v>5966340.2471325155</v>
      </c>
      <c r="Y12" s="38">
        <f t="shared" si="0"/>
        <v>1870104.1445708445</v>
      </c>
      <c r="Z12" s="38">
        <f t="shared" si="0"/>
        <v>335553.87082225806</v>
      </c>
    </row>
    <row r="13" spans="1:27" x14ac:dyDescent="0.25">
      <c r="A13" s="23"/>
      <c r="B13" s="41"/>
      <c r="C13" s="41"/>
      <c r="D13" s="41"/>
      <c r="E13" s="41"/>
      <c r="F13" s="41"/>
      <c r="G13" s="41"/>
      <c r="H13" s="41"/>
      <c r="I13" s="41"/>
      <c r="J13" s="41"/>
      <c r="K13" s="41"/>
    </row>
    <row r="14" spans="1:27" x14ac:dyDescent="0.25">
      <c r="A14" s="23" t="s">
        <v>348</v>
      </c>
    </row>
    <row r="15" spans="1:27" x14ac:dyDescent="0.25">
      <c r="A15" s="88" t="s">
        <v>345</v>
      </c>
      <c r="B15" s="33">
        <v>0</v>
      </c>
      <c r="C15" s="33">
        <v>165100.6</v>
      </c>
      <c r="D15" s="33">
        <v>451054.01500000001</v>
      </c>
      <c r="E15" s="33">
        <v>848103.22427000001</v>
      </c>
      <c r="F15" s="33">
        <v>844924.26140299998</v>
      </c>
      <c r="G15" s="33">
        <v>663635.50401703001</v>
      </c>
      <c r="H15" s="33">
        <v>466496.35905720032</v>
      </c>
      <c r="I15" s="33">
        <v>376764.34764777229</v>
      </c>
      <c r="J15" s="33">
        <v>376981.99112425005</v>
      </c>
      <c r="K15" s="33">
        <v>411349.31103549252</v>
      </c>
      <c r="L15" s="33">
        <v>377423.82914584747</v>
      </c>
      <c r="M15" s="33">
        <v>377648.06743730593</v>
      </c>
      <c r="N15" s="33">
        <v>412022.04811167897</v>
      </c>
      <c r="O15" s="33">
        <v>378103.29359279579</v>
      </c>
      <c r="P15" s="33">
        <v>378334.32652872376</v>
      </c>
      <c r="Q15" s="33">
        <v>412715.16979401099</v>
      </c>
      <c r="R15" s="33">
        <v>378803.34649195109</v>
      </c>
      <c r="S15" s="33">
        <v>379041.37995687057</v>
      </c>
      <c r="T15" s="33">
        <v>413429.29375643929</v>
      </c>
      <c r="U15" s="33">
        <v>379524.61169400369</v>
      </c>
      <c r="V15" s="33">
        <v>379769.85781094374</v>
      </c>
      <c r="W15" s="33">
        <v>342750.79511124251</v>
      </c>
      <c r="X15" s="33">
        <v>215133.86597647186</v>
      </c>
      <c r="Y15" s="33">
        <v>73052.040927247319</v>
      </c>
      <c r="Z15" s="33">
        <v>28546.874999999996</v>
      </c>
    </row>
    <row r="16" spans="1:27" x14ac:dyDescent="0.25">
      <c r="A16" s="88" t="s">
        <v>346</v>
      </c>
      <c r="B16" s="33">
        <v>0</v>
      </c>
      <c r="C16" s="33">
        <v>250820</v>
      </c>
      <c r="D16" s="33">
        <v>553710.5</v>
      </c>
      <c r="E16" s="33">
        <v>822513.06799999997</v>
      </c>
      <c r="F16" s="33">
        <v>962926.84210000001</v>
      </c>
      <c r="G16" s="33">
        <v>890712.110521</v>
      </c>
      <c r="H16" s="33">
        <v>895197.35662621004</v>
      </c>
      <c r="I16" s="33">
        <v>895148.42394247209</v>
      </c>
      <c r="J16" s="33">
        <v>897399.9081818969</v>
      </c>
      <c r="K16" s="33">
        <v>901952.03226371575</v>
      </c>
      <c r="L16" s="33">
        <v>901970.64633635292</v>
      </c>
      <c r="M16" s="33">
        <v>904290.35279971652</v>
      </c>
      <c r="N16" s="33">
        <v>908911.38132771361</v>
      </c>
      <c r="O16" s="33">
        <v>908999.58889099082</v>
      </c>
      <c r="P16" s="33">
        <v>911389.58477990073</v>
      </c>
      <c r="Q16" s="33">
        <v>916081.60562769976</v>
      </c>
      <c r="R16" s="33">
        <v>916241.51543397678</v>
      </c>
      <c r="S16" s="33">
        <v>918703.93058831652</v>
      </c>
      <c r="T16" s="33">
        <v>923469.09489419963</v>
      </c>
      <c r="U16" s="33">
        <v>923702.87959314161</v>
      </c>
      <c r="V16" s="33">
        <v>926239.9083890731</v>
      </c>
      <c r="W16" s="33">
        <v>744864.34597837098</v>
      </c>
      <c r="X16" s="33">
        <v>465695.16527384677</v>
      </c>
      <c r="Y16" s="33">
        <v>186800.84677063406</v>
      </c>
      <c r="Z16" s="33">
        <v>0</v>
      </c>
    </row>
    <row r="17" spans="1:27" x14ac:dyDescent="0.25">
      <c r="A17" s="88" t="s">
        <v>347</v>
      </c>
      <c r="B17" s="33">
        <v>0</v>
      </c>
      <c r="C17" s="33">
        <v>3580725</v>
      </c>
      <c r="D17" s="33">
        <v>9343150</v>
      </c>
      <c r="E17" s="33">
        <v>12109415.5</v>
      </c>
      <c r="F17" s="33">
        <v>7986525</v>
      </c>
      <c r="G17" s="33">
        <v>7451700</v>
      </c>
      <c r="H17" s="33">
        <v>7129430</v>
      </c>
      <c r="I17" s="33">
        <v>6587500</v>
      </c>
      <c r="J17" s="33">
        <v>6587500</v>
      </c>
      <c r="K17" s="33">
        <v>7129430</v>
      </c>
      <c r="L17" s="33">
        <v>6587500</v>
      </c>
      <c r="M17" s="33">
        <v>6587500</v>
      </c>
      <c r="N17" s="33">
        <v>7129430</v>
      </c>
      <c r="O17" s="33">
        <v>6587500</v>
      </c>
      <c r="P17" s="33">
        <v>6587500</v>
      </c>
      <c r="Q17" s="33">
        <v>7129430</v>
      </c>
      <c r="R17" s="33">
        <v>6587500</v>
      </c>
      <c r="S17" s="33">
        <v>6587500</v>
      </c>
      <c r="T17" s="33">
        <v>7129430</v>
      </c>
      <c r="U17" s="33">
        <v>6587500</v>
      </c>
      <c r="V17" s="33">
        <v>6587500</v>
      </c>
      <c r="W17" s="33">
        <v>6060015.5</v>
      </c>
      <c r="X17" s="33">
        <v>3293750</v>
      </c>
      <c r="Y17" s="33">
        <v>988125</v>
      </c>
      <c r="Z17" s="33">
        <v>356471.5</v>
      </c>
      <c r="AA17" s="3">
        <v>0</v>
      </c>
    </row>
    <row r="18" spans="1:27" x14ac:dyDescent="0.25">
      <c r="A18" s="117" t="s">
        <v>54</v>
      </c>
      <c r="B18" s="37">
        <f t="shared" ref="B18:Z18" si="1">SUM(B15:B17)</f>
        <v>0</v>
      </c>
      <c r="C18" s="37">
        <f t="shared" si="1"/>
        <v>3996645.6</v>
      </c>
      <c r="D18" s="37">
        <f t="shared" si="1"/>
        <v>10347914.515000001</v>
      </c>
      <c r="E18" s="37">
        <f t="shared" si="1"/>
        <v>13780031.792270001</v>
      </c>
      <c r="F18" s="37">
        <f t="shared" si="1"/>
        <v>9794376.103503</v>
      </c>
      <c r="G18" s="37">
        <f t="shared" si="1"/>
        <v>9006047.6145380307</v>
      </c>
      <c r="H18" s="37">
        <f t="shared" si="1"/>
        <v>8491123.7156834099</v>
      </c>
      <c r="I18" s="37">
        <f t="shared" si="1"/>
        <v>7859412.771590244</v>
      </c>
      <c r="J18" s="37">
        <f t="shared" si="1"/>
        <v>7861881.8993061464</v>
      </c>
      <c r="K18" s="37">
        <f t="shared" si="1"/>
        <v>8442731.3432992082</v>
      </c>
      <c r="L18" s="37">
        <f t="shared" si="1"/>
        <v>7866894.4754822003</v>
      </c>
      <c r="M18" s="37">
        <f t="shared" si="1"/>
        <v>7869438.4202370225</v>
      </c>
      <c r="N18" s="37">
        <f t="shared" si="1"/>
        <v>8450363.4294393919</v>
      </c>
      <c r="O18" s="37">
        <f t="shared" si="1"/>
        <v>7874602.8824837869</v>
      </c>
      <c r="P18" s="37">
        <f t="shared" si="1"/>
        <v>7877223.9113086248</v>
      </c>
      <c r="Q18" s="37">
        <f t="shared" si="1"/>
        <v>8458226.7754217107</v>
      </c>
      <c r="R18" s="37">
        <f t="shared" si="1"/>
        <v>7882544.8619259279</v>
      </c>
      <c r="S18" s="37">
        <f t="shared" si="1"/>
        <v>7885245.3105451874</v>
      </c>
      <c r="T18" s="37">
        <f t="shared" si="1"/>
        <v>8466328.388650639</v>
      </c>
      <c r="U18" s="37">
        <f t="shared" si="1"/>
        <v>7890727.4912871458</v>
      </c>
      <c r="V18" s="37">
        <f t="shared" si="1"/>
        <v>7893509.7662000172</v>
      </c>
      <c r="W18" s="37">
        <f t="shared" si="1"/>
        <v>7147630.6410896135</v>
      </c>
      <c r="X18" s="37">
        <f t="shared" si="1"/>
        <v>3974579.0312503185</v>
      </c>
      <c r="Y18" s="37">
        <f t="shared" si="1"/>
        <v>1247977.8876978813</v>
      </c>
      <c r="Z18" s="37">
        <f t="shared" si="1"/>
        <v>385018.375</v>
      </c>
    </row>
    <row r="19" spans="1:27" x14ac:dyDescent="0.25">
      <c r="B19" s="32"/>
      <c r="C19" s="32"/>
      <c r="D19" s="32"/>
      <c r="E19" s="32"/>
      <c r="F19" s="32"/>
      <c r="G19" s="32"/>
      <c r="H19" s="32"/>
      <c r="I19" s="32"/>
      <c r="J19" s="32"/>
      <c r="K19" s="32"/>
      <c r="L19" s="32"/>
    </row>
    <row r="20" spans="1:27" x14ac:dyDescent="0.25">
      <c r="A20" s="23" t="s">
        <v>317</v>
      </c>
      <c r="B20" s="34">
        <f t="shared" ref="B20:Z20" si="2">B12-B18</f>
        <v>0</v>
      </c>
      <c r="C20" s="34">
        <f t="shared" si="2"/>
        <v>-2619071.85</v>
      </c>
      <c r="D20" s="34">
        <f t="shared" si="2"/>
        <v>-5620195.3900000006</v>
      </c>
      <c r="E20" s="34">
        <f t="shared" si="2"/>
        <v>-8344641.0583182042</v>
      </c>
      <c r="F20" s="34">
        <f t="shared" si="2"/>
        <v>-541207.98469424993</v>
      </c>
      <c r="G20" s="34">
        <f t="shared" si="2"/>
        <v>774888.58677021973</v>
      </c>
      <c r="H20" s="34">
        <f t="shared" si="2"/>
        <v>-1849476.3183878288</v>
      </c>
      <c r="I20" s="34">
        <f t="shared" si="2"/>
        <v>2145295.8162340652</v>
      </c>
      <c r="J20" s="34">
        <f t="shared" si="2"/>
        <v>2256801.5881166551</v>
      </c>
      <c r="K20" s="34">
        <f t="shared" si="2"/>
        <v>-1563058.723329803</v>
      </c>
      <c r="L20" s="34">
        <f t="shared" si="2"/>
        <v>2484013.4811269445</v>
      </c>
      <c r="M20" s="34">
        <f t="shared" si="2"/>
        <v>2599758.9232806498</v>
      </c>
      <c r="N20" s="34">
        <f t="shared" si="2"/>
        <v>-1323202.1584194368</v>
      </c>
      <c r="O20" s="34">
        <f t="shared" si="2"/>
        <v>2835629.4320218386</v>
      </c>
      <c r="P20" s="34">
        <f t="shared" si="2"/>
        <v>2955795.7067363122</v>
      </c>
      <c r="Q20" s="34">
        <f t="shared" si="2"/>
        <v>-1073688.8928254312</v>
      </c>
      <c r="R20" s="34">
        <f t="shared" si="2"/>
        <v>3200695.7708460502</v>
      </c>
      <c r="S20" s="34">
        <f t="shared" si="2"/>
        <v>3325472.7552287355</v>
      </c>
      <c r="T20" s="34">
        <f t="shared" si="2"/>
        <v>-814080.10476700217</v>
      </c>
      <c r="U20" s="34">
        <f t="shared" si="2"/>
        <v>3579791.1998404767</v>
      </c>
      <c r="V20" s="34">
        <f t="shared" si="2"/>
        <v>3709377.9473057836</v>
      </c>
      <c r="W20" s="34">
        <f t="shared" si="2"/>
        <v>-467557.35628814064</v>
      </c>
      <c r="X20" s="34">
        <f t="shared" si="2"/>
        <v>1991761.215882197</v>
      </c>
      <c r="Y20" s="34">
        <f t="shared" si="2"/>
        <v>622126.25687296316</v>
      </c>
      <c r="Z20" s="34">
        <f t="shared" si="2"/>
        <v>-49464.504177741939</v>
      </c>
    </row>
    <row r="21" spans="1:27" x14ac:dyDescent="0.25">
      <c r="A21" s="23"/>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row>
    <row r="22" spans="1:27" x14ac:dyDescent="0.25">
      <c r="A22" s="10" t="s">
        <v>392</v>
      </c>
      <c r="B22" s="345">
        <f>B12/(1+Assumption_Hatchery!$C76)^B7</f>
        <v>0</v>
      </c>
      <c r="C22" s="345">
        <f>C12/(1+Assumption_Hatchery!$C76)^C7</f>
        <v>1299597.8773584906</v>
      </c>
      <c r="D22" s="345">
        <f>D12/(1+Assumption_Hatchery!$C76)^D7</f>
        <v>4207653.1906372365</v>
      </c>
      <c r="E22" s="345">
        <f>E12/(1+Assumption_Hatchery!$C76)^E7</f>
        <v>4563658.8710410232</v>
      </c>
      <c r="F22" s="345">
        <f>F12/(1+Assumption_Hatchery!$C76)^F7</f>
        <v>7329375.8317844849</v>
      </c>
      <c r="G22" s="345">
        <f>G12/(1+Assumption_Hatchery!$C76)^G7</f>
        <v>7308884.5147090741</v>
      </c>
      <c r="H22" s="345">
        <f>H12/(1+Assumption_Hatchery!$C76)^H7</f>
        <v>4682099.3386072619</v>
      </c>
      <c r="I22" s="345">
        <f>I12/(1+Assumption_Hatchery!$C76)^I7</f>
        <v>6653702.6160510322</v>
      </c>
      <c r="J22" s="345">
        <f>J12/(1+Assumption_Hatchery!$C76)^J7</f>
        <v>6348587.2017013226</v>
      </c>
      <c r="K22" s="345">
        <f>K12/(1+Assumption_Hatchery!$C76)^K7</f>
        <v>4072067.6533494727</v>
      </c>
      <c r="L22" s="345">
        <f>L12/(1+Assumption_Hatchery!$C76)^L7</f>
        <v>5779892.9392996822</v>
      </c>
      <c r="M22" s="345">
        <f>M12/(1+Assumption_Hatchery!$C76)^M7</f>
        <v>5515042.5614282023</v>
      </c>
      <c r="N22" s="345">
        <f>N12/(1+Assumption_Hatchery!$C76)^N7</f>
        <v>3541980.800969433</v>
      </c>
      <c r="O22" s="345">
        <f>O12/(1+Assumption_Hatchery!$C76)^O7</f>
        <v>5021374.8463223446</v>
      </c>
      <c r="P22" s="345">
        <f>P12/(1+Assumption_Hatchery!$C76)^P7</f>
        <v>4791455.0242051911</v>
      </c>
      <c r="Q22" s="345">
        <f>Q12/(1+Assumption_Hatchery!$C76)^Q7</f>
        <v>3081309.6480854349</v>
      </c>
      <c r="R22" s="345">
        <f>R12/(1+Assumption_Hatchery!$C76)^R7</f>
        <v>4362876.486585103</v>
      </c>
      <c r="S22" s="345">
        <f>S12/(1+Assumption_Hatchery!$C76)^S7</f>
        <v>4163261.7965505305</v>
      </c>
      <c r="T22" s="345">
        <f>T12/(1+Assumption_Hatchery!$C76)^T7</f>
        <v>2680917.6744377413</v>
      </c>
      <c r="U22" s="345">
        <f>U12/(1+Assumption_Hatchery!$C76)^U7</f>
        <v>3791155.6645924994</v>
      </c>
      <c r="V22" s="345">
        <f>V12/(1+Assumption_Hatchery!$C76)^V7</f>
        <v>3617835.2345995791</v>
      </c>
      <c r="W22" s="345">
        <f>W12/(1+Assumption_Hatchery!$C76)^W7</f>
        <v>1964979.6473080667</v>
      </c>
      <c r="X22" s="345">
        <f>X12/(1+Assumption_Hatchery!$C76)^X7</f>
        <v>1655689.8284679656</v>
      </c>
      <c r="Y22" s="345">
        <f>Y12/(1+Assumption_Hatchery!$C76)^Y7</f>
        <v>489588.14327132987</v>
      </c>
      <c r="Z22" s="345">
        <f>Z12/(1+Assumption_Hatchery!$C76)^Z7</f>
        <v>82874.607903579134</v>
      </c>
      <c r="AA22" s="343">
        <f>SUM(B22:Z22)</f>
        <v>97005861.999266073</v>
      </c>
    </row>
    <row r="23" spans="1:27" s="12" customFormat="1" x14ac:dyDescent="0.25">
      <c r="A23" s="10" t="s">
        <v>393</v>
      </c>
      <c r="B23" s="346">
        <f>B18/(1+Assumption_Hatchery!$C76)^'Fin_RCP 8.5_CRAB Value'!B7</f>
        <v>0</v>
      </c>
      <c r="C23" s="346">
        <f>C18/(1+Assumption_Hatchery!$C76)^'Fin_RCP 8.5_CRAB Value'!C7</f>
        <v>3770420.3773584906</v>
      </c>
      <c r="D23" s="346">
        <f>D18/(1+Assumption_Hatchery!$C76)^'Fin_RCP 8.5_CRAB Value'!D7</f>
        <v>9209607.0799216796</v>
      </c>
      <c r="E23" s="346">
        <f>E18/(1+Assumption_Hatchery!$C76)^'Fin_RCP 8.5_CRAB Value'!E7</f>
        <v>11569980.41358806</v>
      </c>
      <c r="F23" s="346">
        <f>F18/(1+Assumption_Hatchery!$C76)^'Fin_RCP 8.5_CRAB Value'!F7</f>
        <v>7758063.2469546199</v>
      </c>
      <c r="G23" s="346">
        <f>G18/(1+Assumption_Hatchery!$C76)^'Fin_RCP 8.5_CRAB Value'!G7</f>
        <v>6729842.6851843987</v>
      </c>
      <c r="H23" s="346">
        <f>H18/(1+Assumption_Hatchery!$C76)^'Fin_RCP 8.5_CRAB Value'!H7</f>
        <v>5985907.1635483289</v>
      </c>
      <c r="I23" s="346">
        <f>I18/(1+Assumption_Hatchery!$C76)^'Fin_RCP 8.5_CRAB Value'!I7</f>
        <v>5226958.3726403322</v>
      </c>
      <c r="J23" s="346">
        <f>J18/(1+Assumption_Hatchery!$C76)^'Fin_RCP 8.5_CRAB Value'!J7</f>
        <v>4932641.9656530526</v>
      </c>
      <c r="K23" s="346">
        <f>K18/(1+Assumption_Hatchery!$C76)^'Fin_RCP 8.5_CRAB Value'!K7</f>
        <v>4997239.7100955853</v>
      </c>
      <c r="L23" s="346">
        <f>L18/(1+Assumption_Hatchery!$C76)^'Fin_RCP 8.5_CRAB Value'!L7</f>
        <v>4392832.7856516568</v>
      </c>
      <c r="M23" s="346">
        <f>M18/(1+Assumption_Hatchery!$C76)^'Fin_RCP 8.5_CRAB Value'!M7</f>
        <v>4145521.9916184046</v>
      </c>
      <c r="N23" s="346">
        <f>N18/(1+Assumption_Hatchery!$C76)^'Fin_RCP 8.5_CRAB Value'!N7</f>
        <v>4199571.7355228541</v>
      </c>
      <c r="O23" s="346">
        <f>O18/(1+Assumption_Hatchery!$C76)^'Fin_RCP 8.5_CRAB Value'!O7</f>
        <v>3691921.1159713026</v>
      </c>
      <c r="P23" s="346">
        <f>P18/(1+Assumption_Hatchery!$C76)^'Fin_RCP 8.5_CRAB Value'!P7</f>
        <v>3484103.7326064236</v>
      </c>
      <c r="Q23" s="346">
        <f>Q18/(1+Assumption_Hatchery!$C76)^'Fin_RCP 8.5_CRAB Value'!Q7</f>
        <v>3529322.5091613135</v>
      </c>
      <c r="R23" s="346">
        <f>R18/(1+Assumption_Hatchery!$C76)^'Fin_RCP 8.5_CRAB Value'!R7</f>
        <v>3102934.4910963629</v>
      </c>
      <c r="S23" s="346">
        <f>S18/(1+Assumption_Hatchery!$C76)^'Fin_RCP 8.5_CRAB Value'!S7</f>
        <v>2928299.5402449919</v>
      </c>
      <c r="T23" s="346">
        <f>T18/(1+Assumption_Hatchery!$C76)^'Fin_RCP 8.5_CRAB Value'!T7</f>
        <v>2966125.5846246723</v>
      </c>
      <c r="U23" s="346">
        <f>U18/(1+Assumption_Hatchery!$C76)^'Fin_RCP 8.5_CRAB Value'!U7</f>
        <v>2607988.0981745035</v>
      </c>
      <c r="V23" s="346">
        <f>V18/(1+Assumption_Hatchery!$C76)^'Fin_RCP 8.5_CRAB Value'!V7</f>
        <v>2461233.6568226353</v>
      </c>
      <c r="W23" s="346">
        <f>W18/(1+Assumption_Hatchery!$C76)^'Fin_RCP 8.5_CRAB Value'!W7</f>
        <v>2102514.1697429754</v>
      </c>
      <c r="X23" s="346">
        <f>X18/(1+Assumption_Hatchery!$C76)^'Fin_RCP 8.5_CRAB Value'!X7</f>
        <v>1102965.9392365278</v>
      </c>
      <c r="Y23" s="346">
        <f>Y18/(1+Assumption_Hatchery!$C76)^'Fin_RCP 8.5_CRAB Value'!Y7</f>
        <v>326717.19308011822</v>
      </c>
      <c r="Z23" s="346">
        <f>Z18/(1+Assumption_Hatchery!$C76)^'Fin_RCP 8.5_CRAB Value'!Z7</f>
        <v>95091.279339465284</v>
      </c>
      <c r="AA23" s="343">
        <f>SUM(B23:Z23)</f>
        <v>101317804.83783872</v>
      </c>
    </row>
    <row r="24" spans="1:27" x14ac:dyDescent="0.25">
      <c r="B24" s="32"/>
      <c r="C24" s="32"/>
      <c r="D24" s="32"/>
      <c r="E24" s="32"/>
      <c r="F24" s="32"/>
      <c r="G24" s="32"/>
      <c r="H24" s="32"/>
      <c r="I24" s="32"/>
      <c r="J24" s="32"/>
      <c r="K24" s="32"/>
      <c r="L24" s="32"/>
    </row>
    <row r="25" spans="1:27" s="12" customFormat="1" x14ac:dyDescent="0.25">
      <c r="A25" s="25" t="s">
        <v>391</v>
      </c>
      <c r="B25" s="35">
        <f>NPV(B3,C20:Z20)+B20</f>
        <v>-6809748.7819150249</v>
      </c>
      <c r="C25" s="40"/>
      <c r="D25" s="40"/>
      <c r="E25" s="40"/>
      <c r="F25" s="40"/>
      <c r="G25" s="40"/>
      <c r="H25" s="40"/>
      <c r="I25" s="40"/>
      <c r="J25" s="40"/>
      <c r="K25" s="40"/>
      <c r="L25" s="40"/>
    </row>
    <row r="27" spans="1:27" s="12" customFormat="1" x14ac:dyDescent="0.25">
      <c r="A27" s="25" t="s">
        <v>237</v>
      </c>
      <c r="B27" s="36">
        <f>IRR(B20:Z20)</f>
        <v>3.0953366087907774E-2</v>
      </c>
      <c r="C27" s="4"/>
      <c r="D27" s="4"/>
      <c r="E27" s="4"/>
      <c r="F27" s="4"/>
      <c r="G27" s="4"/>
      <c r="H27" s="4"/>
      <c r="I27" s="4"/>
      <c r="J27" s="4"/>
      <c r="K27" s="4"/>
      <c r="L27" s="4"/>
    </row>
    <row r="30" spans="1:27" s="1" customFormat="1" x14ac:dyDescent="0.25">
      <c r="A30" s="24"/>
      <c r="B30" s="42"/>
      <c r="C30" s="42"/>
      <c r="D30" s="42"/>
      <c r="E30" s="42"/>
      <c r="F30" s="42"/>
      <c r="G30" s="42"/>
      <c r="H30" s="42"/>
      <c r="I30" s="42"/>
      <c r="J30" s="42"/>
      <c r="K30" s="42"/>
      <c r="L30" s="42"/>
    </row>
    <row r="32" spans="1:27" ht="38.25" customHeight="1" x14ac:dyDescent="0.25">
      <c r="A32" s="11" t="str">
        <f>A5</f>
        <v>Aggregate Financial Analysis_CRAB Value chain</v>
      </c>
      <c r="B32" s="30"/>
      <c r="C32" s="69"/>
      <c r="D32" s="70"/>
      <c r="E32" s="30"/>
      <c r="F32" s="116" t="s">
        <v>90</v>
      </c>
      <c r="G32" s="30"/>
      <c r="H32" s="30"/>
      <c r="I32" s="30"/>
      <c r="J32" s="30"/>
      <c r="K32" s="30"/>
      <c r="L32" s="30"/>
      <c r="M32" s="11"/>
    </row>
    <row r="33" spans="1:27" ht="38.25" customHeight="1" x14ac:dyDescent="0.25">
      <c r="A33" s="11"/>
      <c r="B33" s="30"/>
      <c r="C33" s="69"/>
      <c r="D33" s="70"/>
      <c r="E33" s="30"/>
      <c r="F33" s="116"/>
      <c r="G33" s="30"/>
      <c r="H33" s="30"/>
      <c r="I33" s="30"/>
      <c r="J33" s="30"/>
      <c r="K33" s="30"/>
      <c r="L33" s="30"/>
      <c r="M33" s="11"/>
    </row>
    <row r="34" spans="1:27" x14ac:dyDescent="0.25">
      <c r="A34" s="10" t="s">
        <v>19</v>
      </c>
      <c r="B34" s="26">
        <v>0</v>
      </c>
      <c r="C34" s="26">
        <v>1</v>
      </c>
      <c r="D34" s="26">
        <v>2</v>
      </c>
      <c r="E34" s="26">
        <v>3</v>
      </c>
      <c r="F34" s="26">
        <v>4</v>
      </c>
      <c r="G34" s="26">
        <v>5</v>
      </c>
      <c r="H34" s="26">
        <v>6</v>
      </c>
      <c r="I34" s="26">
        <v>7</v>
      </c>
      <c r="J34" s="26">
        <v>8</v>
      </c>
      <c r="K34" s="26">
        <v>9</v>
      </c>
      <c r="L34" s="26">
        <v>10</v>
      </c>
      <c r="M34" s="26">
        <v>11</v>
      </c>
      <c r="N34" s="26">
        <v>12</v>
      </c>
      <c r="O34" s="26">
        <v>13</v>
      </c>
      <c r="P34" s="26">
        <v>14</v>
      </c>
      <c r="Q34" s="26">
        <v>15</v>
      </c>
      <c r="R34" s="26">
        <v>16</v>
      </c>
      <c r="S34" s="26">
        <v>17</v>
      </c>
      <c r="T34" s="26">
        <v>18</v>
      </c>
      <c r="U34" s="26">
        <v>19</v>
      </c>
      <c r="V34" s="26">
        <v>20</v>
      </c>
      <c r="W34" s="26">
        <v>21</v>
      </c>
      <c r="X34" s="26">
        <v>22</v>
      </c>
      <c r="Y34" s="26">
        <v>23</v>
      </c>
      <c r="Z34" s="26">
        <v>24</v>
      </c>
    </row>
    <row r="35" spans="1:27" x14ac:dyDescent="0.25">
      <c r="A35" s="23" t="s">
        <v>381</v>
      </c>
    </row>
    <row r="36" spans="1:27" x14ac:dyDescent="0.25">
      <c r="A36" s="88" t="s">
        <v>345</v>
      </c>
      <c r="B36" s="31">
        <v>0</v>
      </c>
      <c r="C36" s="31">
        <v>0</v>
      </c>
      <c r="D36" s="31">
        <v>221085.00000000003</v>
      </c>
      <c r="E36" s="31">
        <v>366081.9391125</v>
      </c>
      <c r="F36" s="31">
        <v>460033.66800000006</v>
      </c>
      <c r="G36" s="31">
        <v>469234.34136000008</v>
      </c>
      <c r="H36" s="31">
        <v>431654.53604633111</v>
      </c>
      <c r="I36" s="31">
        <v>488191.40875094401</v>
      </c>
      <c r="J36" s="31">
        <v>497955.2369259629</v>
      </c>
      <c r="K36" s="31">
        <v>458075.24688865483</v>
      </c>
      <c r="L36" s="31">
        <v>518072.62849777186</v>
      </c>
      <c r="M36" s="31">
        <v>528434.08106772718</v>
      </c>
      <c r="N36" s="31">
        <v>486113.11660021567</v>
      </c>
      <c r="O36" s="31">
        <v>549782.81794286345</v>
      </c>
      <c r="P36" s="31">
        <v>560778.47430172074</v>
      </c>
      <c r="Q36" s="31">
        <v>515867.12824108155</v>
      </c>
      <c r="R36" s="31">
        <v>583433.92466351017</v>
      </c>
      <c r="S36" s="31">
        <v>595102.60315678047</v>
      </c>
      <c r="T36" s="31">
        <v>547442.32342646178</v>
      </c>
      <c r="U36" s="31">
        <v>619144.74832431425</v>
      </c>
      <c r="V36" s="31">
        <v>631527.64329080062</v>
      </c>
      <c r="W36" s="31">
        <v>483760.13852699887</v>
      </c>
      <c r="X36" s="31">
        <v>358520.68003987451</v>
      </c>
      <c r="Y36" s="31">
        <v>107018.21872813438</v>
      </c>
      <c r="Z36" s="31">
        <v>9500</v>
      </c>
    </row>
    <row r="37" spans="1:27" x14ac:dyDescent="0.25">
      <c r="A37" s="88" t="s">
        <v>346</v>
      </c>
      <c r="B37" s="31">
        <v>0</v>
      </c>
      <c r="C37" s="31">
        <v>160650.00000000003</v>
      </c>
      <c r="D37" s="31">
        <v>409657.50000000006</v>
      </c>
      <c r="E37" s="31">
        <v>571619.68920000002</v>
      </c>
      <c r="F37" s="31">
        <v>852415.32600000012</v>
      </c>
      <c r="G37" s="31">
        <v>869463.6325200001</v>
      </c>
      <c r="H37" s="31">
        <v>758259.23392069212</v>
      </c>
      <c r="I37" s="31">
        <v>904589.96327380801</v>
      </c>
      <c r="J37" s="31">
        <v>922681.76253928419</v>
      </c>
      <c r="K37" s="31">
        <v>804670.76511050982</v>
      </c>
      <c r="L37" s="31">
        <v>959958.10574587132</v>
      </c>
      <c r="M37" s="31">
        <v>979157.26786078862</v>
      </c>
      <c r="N37" s="31">
        <v>853923.05330139399</v>
      </c>
      <c r="O37" s="31">
        <v>1018715.2214823646</v>
      </c>
      <c r="P37" s="31">
        <v>1039089.525912012</v>
      </c>
      <c r="Q37" s="31">
        <v>906189.97554786538</v>
      </c>
      <c r="R37" s="31">
        <v>1081068.7427588571</v>
      </c>
      <c r="S37" s="31">
        <v>1102690.1176140343</v>
      </c>
      <c r="T37" s="31">
        <v>961656.05157119932</v>
      </c>
      <c r="U37" s="31">
        <v>1147238.7983656412</v>
      </c>
      <c r="V37" s="31">
        <v>1170183.5743329541</v>
      </c>
      <c r="W37" s="31">
        <v>816413.67614061537</v>
      </c>
      <c r="X37" s="31">
        <v>608729.49536800268</v>
      </c>
      <c r="Y37" s="31">
        <v>248361.63411014507</v>
      </c>
      <c r="Z37" s="31">
        <v>0</v>
      </c>
    </row>
    <row r="38" spans="1:27" customFormat="1" x14ac:dyDescent="0.25">
      <c r="A38" s="88" t="s">
        <v>347</v>
      </c>
      <c r="B38" s="427">
        <v>0</v>
      </c>
      <c r="C38" s="427">
        <v>1216923.75</v>
      </c>
      <c r="D38" s="427">
        <v>4096976.625</v>
      </c>
      <c r="E38" s="427">
        <v>4497689.1056392966</v>
      </c>
      <c r="F38" s="427">
        <v>7940719.1248087501</v>
      </c>
      <c r="G38" s="427">
        <v>8442238.22742825</v>
      </c>
      <c r="H38" s="427">
        <v>5451733.6273285579</v>
      </c>
      <c r="I38" s="427">
        <v>8611927.215799557</v>
      </c>
      <c r="J38" s="427">
        <v>8698046.4879575539</v>
      </c>
      <c r="K38" s="427">
        <v>5616926.6079702405</v>
      </c>
      <c r="L38" s="427">
        <v>8872877.2223655023</v>
      </c>
      <c r="M38" s="427">
        <v>8961605.9945891555</v>
      </c>
      <c r="N38" s="427">
        <v>5787125.1011183457</v>
      </c>
      <c r="O38" s="427">
        <v>9141734.2750803977</v>
      </c>
      <c r="P38" s="427">
        <v>9233151.6178312041</v>
      </c>
      <c r="Q38" s="427">
        <v>5962480.7788073327</v>
      </c>
      <c r="R38" s="427">
        <v>9418737.9653496109</v>
      </c>
      <c r="S38" s="427">
        <v>9512925.3450031076</v>
      </c>
      <c r="T38" s="427">
        <v>6143149.9088859754</v>
      </c>
      <c r="U38" s="427">
        <v>9704135.144437667</v>
      </c>
      <c r="V38" s="427">
        <v>9801176.4958820455</v>
      </c>
      <c r="W38" s="427">
        <v>5379899.4701338587</v>
      </c>
      <c r="X38" s="427">
        <v>4999090.0717246383</v>
      </c>
      <c r="Y38" s="427">
        <v>1514724.291732565</v>
      </c>
      <c r="Z38" s="427">
        <v>326053.87082225806</v>
      </c>
      <c r="AA38">
        <v>0</v>
      </c>
    </row>
    <row r="39" spans="1:27" s="12" customFormat="1" x14ac:dyDescent="0.25">
      <c r="A39" s="23" t="s">
        <v>53</v>
      </c>
      <c r="B39" s="38">
        <f t="shared" ref="B39:Z39" si="3">SUM(B36:B38)</f>
        <v>0</v>
      </c>
      <c r="C39" s="38">
        <f t="shared" si="3"/>
        <v>1377573.75</v>
      </c>
      <c r="D39" s="38">
        <f t="shared" si="3"/>
        <v>4727719.125</v>
      </c>
      <c r="E39" s="38">
        <f t="shared" si="3"/>
        <v>5435390.7339517968</v>
      </c>
      <c r="F39" s="38">
        <f t="shared" si="3"/>
        <v>9253168.1188087501</v>
      </c>
      <c r="G39" s="38">
        <f t="shared" si="3"/>
        <v>9780936.2013082504</v>
      </c>
      <c r="H39" s="38">
        <f t="shared" si="3"/>
        <v>6641647.3972955812</v>
      </c>
      <c r="I39" s="38">
        <f t="shared" si="3"/>
        <v>10004708.587824309</v>
      </c>
      <c r="J39" s="38">
        <f t="shared" si="3"/>
        <v>10118683.487422802</v>
      </c>
      <c r="K39" s="38">
        <f t="shared" si="3"/>
        <v>6879672.6199694052</v>
      </c>
      <c r="L39" s="38">
        <f t="shared" si="3"/>
        <v>10350907.956609145</v>
      </c>
      <c r="M39" s="38">
        <f t="shared" si="3"/>
        <v>10469197.343517672</v>
      </c>
      <c r="N39" s="38">
        <f t="shared" si="3"/>
        <v>7127161.2710199552</v>
      </c>
      <c r="O39" s="38">
        <f t="shared" si="3"/>
        <v>10710232.314505626</v>
      </c>
      <c r="P39" s="38">
        <f t="shared" si="3"/>
        <v>10833019.618044937</v>
      </c>
      <c r="Q39" s="38">
        <f t="shared" si="3"/>
        <v>7384537.8825962795</v>
      </c>
      <c r="R39" s="38">
        <f t="shared" si="3"/>
        <v>11083240.632771978</v>
      </c>
      <c r="S39" s="38">
        <f t="shared" si="3"/>
        <v>11210718.065773923</v>
      </c>
      <c r="T39" s="38">
        <f t="shared" si="3"/>
        <v>7652248.2838836368</v>
      </c>
      <c r="U39" s="38">
        <f t="shared" si="3"/>
        <v>11470518.691127623</v>
      </c>
      <c r="V39" s="38">
        <f t="shared" si="3"/>
        <v>11602887.713505801</v>
      </c>
      <c r="W39" s="38">
        <f t="shared" si="3"/>
        <v>6680073.2848014729</v>
      </c>
      <c r="X39" s="38">
        <f t="shared" si="3"/>
        <v>5966340.2471325155</v>
      </c>
      <c r="Y39" s="38">
        <f t="shared" si="3"/>
        <v>1870104.1445708445</v>
      </c>
      <c r="Z39" s="38">
        <f t="shared" si="3"/>
        <v>335553.87082225806</v>
      </c>
    </row>
    <row r="40" spans="1:27" x14ac:dyDescent="0.25">
      <c r="A40" s="23"/>
      <c r="B40" s="41"/>
      <c r="C40" s="41"/>
      <c r="D40" s="41"/>
      <c r="E40" s="41"/>
      <c r="F40" s="41"/>
      <c r="G40" s="41"/>
      <c r="H40" s="41"/>
      <c r="I40" s="41"/>
      <c r="J40" s="41"/>
      <c r="K40" s="41"/>
    </row>
    <row r="41" spans="1:27" x14ac:dyDescent="0.25">
      <c r="A41" s="23" t="s">
        <v>380</v>
      </c>
    </row>
    <row r="42" spans="1:27" x14ac:dyDescent="0.25">
      <c r="A42" s="88" t="s">
        <v>345</v>
      </c>
      <c r="B42" s="33">
        <v>0</v>
      </c>
      <c r="C42" s="33">
        <v>165100.6</v>
      </c>
      <c r="D42" s="33">
        <v>377054.01500000001</v>
      </c>
      <c r="E42" s="33">
        <v>675103.22427000001</v>
      </c>
      <c r="F42" s="33">
        <v>603924.26140299998</v>
      </c>
      <c r="G42" s="33">
        <v>502635.50401703001</v>
      </c>
      <c r="H42" s="33">
        <v>435496.35905720032</v>
      </c>
      <c r="I42" s="33">
        <v>376764.34764777229</v>
      </c>
      <c r="J42" s="33">
        <v>376981.99112425005</v>
      </c>
      <c r="K42" s="33">
        <v>411349.31103549252</v>
      </c>
      <c r="L42" s="33">
        <v>377423.82914584747</v>
      </c>
      <c r="M42" s="33">
        <v>377648.06743730593</v>
      </c>
      <c r="N42" s="33">
        <v>412022.04811167897</v>
      </c>
      <c r="O42" s="33">
        <v>378103.29359279579</v>
      </c>
      <c r="P42" s="33">
        <v>378334.32652872376</v>
      </c>
      <c r="Q42" s="33">
        <v>412715.16979401099</v>
      </c>
      <c r="R42" s="33">
        <v>378803.34649195109</v>
      </c>
      <c r="S42" s="33">
        <v>379041.37995687057</v>
      </c>
      <c r="T42" s="33">
        <v>413429.29375643929</v>
      </c>
      <c r="U42" s="33">
        <v>379524.61169400369</v>
      </c>
      <c r="V42" s="33">
        <v>379769.85781094374</v>
      </c>
      <c r="W42" s="33">
        <v>342750.79511124251</v>
      </c>
      <c r="X42" s="33">
        <v>215133.86597647186</v>
      </c>
      <c r="Y42" s="33">
        <v>73052.040927247319</v>
      </c>
      <c r="Z42" s="33">
        <v>28546.874999999996</v>
      </c>
    </row>
    <row r="43" spans="1:27" x14ac:dyDescent="0.25">
      <c r="A43" s="88" t="s">
        <v>346</v>
      </c>
      <c r="B43" s="33">
        <v>0</v>
      </c>
      <c r="C43" s="33">
        <v>201220</v>
      </c>
      <c r="D43" s="33">
        <v>479310.5</v>
      </c>
      <c r="E43" s="33">
        <v>748113.06799999997</v>
      </c>
      <c r="F43" s="33">
        <v>913326.84210000001</v>
      </c>
      <c r="G43" s="33">
        <v>890712.110521</v>
      </c>
      <c r="H43" s="33">
        <v>895197.35662621004</v>
      </c>
      <c r="I43" s="33">
        <v>895148.42394247209</v>
      </c>
      <c r="J43" s="33">
        <v>897399.9081818969</v>
      </c>
      <c r="K43" s="33">
        <v>901952.03226371575</v>
      </c>
      <c r="L43" s="33">
        <v>901970.64633635292</v>
      </c>
      <c r="M43" s="33">
        <v>904290.35279971652</v>
      </c>
      <c r="N43" s="33">
        <v>908911.38132771361</v>
      </c>
      <c r="O43" s="33">
        <v>908999.58889099082</v>
      </c>
      <c r="P43" s="33">
        <v>911389.58477990073</v>
      </c>
      <c r="Q43" s="33">
        <v>916081.60562769976</v>
      </c>
      <c r="R43" s="33">
        <v>916241.51543397678</v>
      </c>
      <c r="S43" s="33">
        <v>918703.93058831652</v>
      </c>
      <c r="T43" s="33">
        <v>923469.09489419963</v>
      </c>
      <c r="U43" s="33">
        <v>923702.87959314161</v>
      </c>
      <c r="V43" s="33">
        <v>926239.9083890731</v>
      </c>
      <c r="W43" s="33">
        <v>744864.34597837098</v>
      </c>
      <c r="X43" s="33">
        <v>465695.16527384677</v>
      </c>
      <c r="Y43" s="33">
        <v>186800.84677063406</v>
      </c>
      <c r="Z43" s="33">
        <v>0</v>
      </c>
    </row>
    <row r="44" spans="1:27" x14ac:dyDescent="0.25">
      <c r="A44" s="88" t="s">
        <v>347</v>
      </c>
      <c r="B44" s="33">
        <v>0</v>
      </c>
      <c r="C44" s="33">
        <v>2464725</v>
      </c>
      <c r="D44" s="33">
        <v>6739150</v>
      </c>
      <c r="E44" s="33">
        <v>9505415.5</v>
      </c>
      <c r="F44" s="33">
        <v>7242525</v>
      </c>
      <c r="G44" s="33">
        <v>7079700</v>
      </c>
      <c r="H44" s="33">
        <v>7129430</v>
      </c>
      <c r="I44" s="33">
        <v>6587500</v>
      </c>
      <c r="J44" s="33">
        <v>6587500</v>
      </c>
      <c r="K44" s="33">
        <v>7129430</v>
      </c>
      <c r="L44" s="33">
        <v>6587500</v>
      </c>
      <c r="M44" s="33">
        <v>6587500</v>
      </c>
      <c r="N44" s="33">
        <v>7129430</v>
      </c>
      <c r="O44" s="33">
        <v>6587500</v>
      </c>
      <c r="P44" s="33">
        <v>6587500</v>
      </c>
      <c r="Q44" s="33">
        <v>7129430</v>
      </c>
      <c r="R44" s="33">
        <v>6587500</v>
      </c>
      <c r="S44" s="33">
        <v>6587500</v>
      </c>
      <c r="T44" s="33">
        <v>7129430</v>
      </c>
      <c r="U44" s="33">
        <v>6587500</v>
      </c>
      <c r="V44" s="33">
        <v>6587500</v>
      </c>
      <c r="W44" s="33">
        <v>6060015.5</v>
      </c>
      <c r="X44" s="33">
        <v>3293750</v>
      </c>
      <c r="Y44" s="33">
        <v>988125</v>
      </c>
      <c r="Z44" s="33">
        <v>356471.5</v>
      </c>
      <c r="AA44" s="3">
        <v>0</v>
      </c>
    </row>
    <row r="45" spans="1:27" x14ac:dyDescent="0.25">
      <c r="A45" s="117" t="s">
        <v>54</v>
      </c>
      <c r="B45" s="37">
        <f t="shared" ref="B45:Z45" si="4">SUM(B42:B44)</f>
        <v>0</v>
      </c>
      <c r="C45" s="37">
        <f t="shared" si="4"/>
        <v>2831045.6</v>
      </c>
      <c r="D45" s="37">
        <f t="shared" si="4"/>
        <v>7595514.5149999997</v>
      </c>
      <c r="E45" s="37">
        <f t="shared" si="4"/>
        <v>10928631.792270001</v>
      </c>
      <c r="F45" s="37">
        <f t="shared" si="4"/>
        <v>8759776.103503</v>
      </c>
      <c r="G45" s="37">
        <f t="shared" si="4"/>
        <v>8473047.6145380307</v>
      </c>
      <c r="H45" s="37">
        <f t="shared" si="4"/>
        <v>8460123.7156834099</v>
      </c>
      <c r="I45" s="37">
        <f t="shared" si="4"/>
        <v>7859412.771590244</v>
      </c>
      <c r="J45" s="37">
        <f t="shared" si="4"/>
        <v>7861881.8993061464</v>
      </c>
      <c r="K45" s="37">
        <f t="shared" si="4"/>
        <v>8442731.3432992082</v>
      </c>
      <c r="L45" s="37">
        <f t="shared" si="4"/>
        <v>7866894.4754822003</v>
      </c>
      <c r="M45" s="37">
        <f t="shared" si="4"/>
        <v>7869438.4202370225</v>
      </c>
      <c r="N45" s="37">
        <f t="shared" si="4"/>
        <v>8450363.4294393919</v>
      </c>
      <c r="O45" s="37">
        <f t="shared" si="4"/>
        <v>7874602.8824837869</v>
      </c>
      <c r="P45" s="37">
        <f t="shared" si="4"/>
        <v>7877223.9113086248</v>
      </c>
      <c r="Q45" s="37">
        <f t="shared" si="4"/>
        <v>8458226.7754217107</v>
      </c>
      <c r="R45" s="37">
        <f t="shared" si="4"/>
        <v>7882544.8619259279</v>
      </c>
      <c r="S45" s="37">
        <f t="shared" si="4"/>
        <v>7885245.3105451874</v>
      </c>
      <c r="T45" s="37">
        <f t="shared" si="4"/>
        <v>8466328.388650639</v>
      </c>
      <c r="U45" s="37">
        <f t="shared" si="4"/>
        <v>7890727.4912871458</v>
      </c>
      <c r="V45" s="37">
        <f t="shared" si="4"/>
        <v>7893509.7662000172</v>
      </c>
      <c r="W45" s="37">
        <f t="shared" si="4"/>
        <v>7147630.6410896135</v>
      </c>
      <c r="X45" s="37">
        <f t="shared" si="4"/>
        <v>3974579.0312503185</v>
      </c>
      <c r="Y45" s="37">
        <f t="shared" si="4"/>
        <v>1247977.8876978813</v>
      </c>
      <c r="Z45" s="37">
        <f t="shared" si="4"/>
        <v>385018.375</v>
      </c>
    </row>
    <row r="46" spans="1:27" x14ac:dyDescent="0.25">
      <c r="B46" s="32"/>
      <c r="C46" s="32"/>
      <c r="D46" s="32"/>
      <c r="E46" s="32"/>
      <c r="F46" s="32"/>
      <c r="G46" s="32"/>
      <c r="H46" s="32"/>
      <c r="I46" s="32"/>
      <c r="J46" s="32"/>
      <c r="K46" s="32"/>
      <c r="L46" s="32"/>
    </row>
    <row r="47" spans="1:27" x14ac:dyDescent="0.25">
      <c r="A47" s="23" t="str">
        <f>A20</f>
        <v>Net Resource Flow ($)</v>
      </c>
      <c r="B47" s="34">
        <f t="shared" ref="B47:Z47" si="5">B39-B45</f>
        <v>0</v>
      </c>
      <c r="C47" s="34">
        <f t="shared" si="5"/>
        <v>-1453471.85</v>
      </c>
      <c r="D47" s="34">
        <f t="shared" si="5"/>
        <v>-2867795.3899999997</v>
      </c>
      <c r="E47" s="34">
        <f t="shared" si="5"/>
        <v>-5493241.0583182042</v>
      </c>
      <c r="F47" s="34">
        <f t="shared" si="5"/>
        <v>493392.01530575007</v>
      </c>
      <c r="G47" s="34">
        <f t="shared" si="5"/>
        <v>1307888.5867702197</v>
      </c>
      <c r="H47" s="34">
        <f t="shared" si="5"/>
        <v>-1818476.3183878288</v>
      </c>
      <c r="I47" s="34">
        <f t="shared" si="5"/>
        <v>2145295.8162340652</v>
      </c>
      <c r="J47" s="34">
        <f t="shared" si="5"/>
        <v>2256801.5881166551</v>
      </c>
      <c r="K47" s="34">
        <f t="shared" si="5"/>
        <v>-1563058.723329803</v>
      </c>
      <c r="L47" s="34">
        <f t="shared" si="5"/>
        <v>2484013.4811269445</v>
      </c>
      <c r="M47" s="34">
        <f t="shared" si="5"/>
        <v>2599758.9232806498</v>
      </c>
      <c r="N47" s="34">
        <f t="shared" si="5"/>
        <v>-1323202.1584194368</v>
      </c>
      <c r="O47" s="34">
        <f t="shared" si="5"/>
        <v>2835629.4320218386</v>
      </c>
      <c r="P47" s="34">
        <f t="shared" si="5"/>
        <v>2955795.7067363122</v>
      </c>
      <c r="Q47" s="34">
        <f t="shared" si="5"/>
        <v>-1073688.8928254312</v>
      </c>
      <c r="R47" s="34">
        <f t="shared" si="5"/>
        <v>3200695.7708460502</v>
      </c>
      <c r="S47" s="34">
        <f t="shared" si="5"/>
        <v>3325472.7552287355</v>
      </c>
      <c r="T47" s="34">
        <f t="shared" si="5"/>
        <v>-814080.10476700217</v>
      </c>
      <c r="U47" s="34">
        <f t="shared" si="5"/>
        <v>3579791.1998404767</v>
      </c>
      <c r="V47" s="34">
        <f t="shared" si="5"/>
        <v>3709377.9473057836</v>
      </c>
      <c r="W47" s="34">
        <f t="shared" si="5"/>
        <v>-467557.35628814064</v>
      </c>
      <c r="X47" s="34">
        <f t="shared" si="5"/>
        <v>1991761.215882197</v>
      </c>
      <c r="Y47" s="34">
        <f t="shared" si="5"/>
        <v>622126.25687296316</v>
      </c>
      <c r="Z47" s="34">
        <f t="shared" si="5"/>
        <v>-49464.504177741939</v>
      </c>
    </row>
    <row r="48" spans="1:27" x14ac:dyDescent="0.25">
      <c r="A48" s="23"/>
      <c r="B48" s="344"/>
      <c r="C48" s="344"/>
      <c r="D48" s="344"/>
      <c r="E48" s="344"/>
      <c r="F48" s="344"/>
      <c r="G48" s="344"/>
      <c r="H48" s="344"/>
      <c r="I48" s="344"/>
      <c r="J48" s="344"/>
      <c r="K48" s="344"/>
      <c r="L48" s="344"/>
      <c r="M48" s="344"/>
      <c r="N48" s="344"/>
      <c r="O48" s="344"/>
      <c r="P48" s="344"/>
      <c r="Q48" s="344"/>
      <c r="R48" s="344"/>
      <c r="S48" s="344"/>
      <c r="T48" s="344"/>
      <c r="U48" s="344"/>
      <c r="V48" s="344"/>
      <c r="W48" s="344"/>
      <c r="X48" s="344"/>
      <c r="Y48" s="344"/>
      <c r="Z48" s="344"/>
      <c r="AA48" s="12"/>
    </row>
    <row r="49" spans="1:27" x14ac:dyDescent="0.25">
      <c r="A49" s="10" t="str">
        <f>A22</f>
        <v>Financial Benefits in Present Value</v>
      </c>
      <c r="B49" s="345">
        <f>B39/(1+Assumption_Hatchery!$C76)^'Fin_RCP 8.5_CRAB Value'!B34</f>
        <v>0</v>
      </c>
      <c r="C49" s="345">
        <f>C39/(1+Assumption_Hatchery!$C76)^'Fin_RCP 8.5_CRAB Value'!C34</f>
        <v>1299597.8773584906</v>
      </c>
      <c r="D49" s="345">
        <f>D39/(1+Assumption_Hatchery!$C76)^'Fin_RCP 8.5_CRAB Value'!D34</f>
        <v>4207653.1906372365</v>
      </c>
      <c r="E49" s="345">
        <f>E39/(1+Assumption_Hatchery!$C76)^'Fin_RCP 8.5_CRAB Value'!E34</f>
        <v>4563658.8710410232</v>
      </c>
      <c r="F49" s="345">
        <f>F39/(1+Assumption_Hatchery!$C76)^'Fin_RCP 8.5_CRAB Value'!F34</f>
        <v>7329375.8317844849</v>
      </c>
      <c r="G49" s="345">
        <f>G39/(1+Assumption_Hatchery!$C76)^'Fin_RCP 8.5_CRAB Value'!G34</f>
        <v>7308884.5147090741</v>
      </c>
      <c r="H49" s="345">
        <f>H39/(1+Assumption_Hatchery!$C76)^'Fin_RCP 8.5_CRAB Value'!H34</f>
        <v>4682099.3386072619</v>
      </c>
      <c r="I49" s="345">
        <f>I39/(1+Assumption_Hatchery!$C76)^'Fin_RCP 8.5_CRAB Value'!I34</f>
        <v>6653702.6160510322</v>
      </c>
      <c r="J49" s="345">
        <f>J39/(1+Assumption_Hatchery!$C76)^'Fin_RCP 8.5_CRAB Value'!J34</f>
        <v>6348587.2017013226</v>
      </c>
      <c r="K49" s="345">
        <f>K39/(1+Assumption_Hatchery!$C76)^'Fin_RCP 8.5_CRAB Value'!K34</f>
        <v>4072067.6533494727</v>
      </c>
      <c r="L49" s="345">
        <f>L39/(1+Assumption_Hatchery!$C76)^'Fin_RCP 8.5_CRAB Value'!L34</f>
        <v>5779892.9392996822</v>
      </c>
      <c r="M49" s="345">
        <f>M39/(1+Assumption_Hatchery!$C76)^'Fin_RCP 8.5_CRAB Value'!M34</f>
        <v>5515042.5614282023</v>
      </c>
      <c r="N49" s="345">
        <f>N39/(1+Assumption_Hatchery!$C76)^'Fin_RCP 8.5_CRAB Value'!N34</f>
        <v>3541980.800969433</v>
      </c>
      <c r="O49" s="345">
        <f>O39/(1+Assumption_Hatchery!$C76)^'Fin_RCP 8.5_CRAB Value'!O34</f>
        <v>5021374.8463223446</v>
      </c>
      <c r="P49" s="345">
        <f>P39/(1+Assumption_Hatchery!$C76)^'Fin_RCP 8.5_CRAB Value'!P34</f>
        <v>4791455.0242051911</v>
      </c>
      <c r="Q49" s="345">
        <f>Q39/(1+Assumption_Hatchery!$C76)^'Fin_RCP 8.5_CRAB Value'!Q34</f>
        <v>3081309.6480854349</v>
      </c>
      <c r="R49" s="345">
        <f>R39/(1+Assumption_Hatchery!$C76)^'Fin_RCP 8.5_CRAB Value'!R34</f>
        <v>4362876.486585103</v>
      </c>
      <c r="S49" s="345">
        <f>S39/(1+Assumption_Hatchery!$C76)^'Fin_RCP 8.5_CRAB Value'!S34</f>
        <v>4163261.7965505305</v>
      </c>
      <c r="T49" s="345">
        <f>T39/(1+Assumption_Hatchery!$C76)^'Fin_RCP 8.5_CRAB Value'!T34</f>
        <v>2680917.6744377413</v>
      </c>
      <c r="U49" s="345">
        <f>U39/(1+Assumption_Hatchery!$C76)^'Fin_RCP 8.5_CRAB Value'!U34</f>
        <v>3791155.6645924994</v>
      </c>
      <c r="V49" s="345">
        <f>V39/(1+Assumption_Hatchery!$C76)^'Fin_RCP 8.5_CRAB Value'!V34</f>
        <v>3617835.2345995791</v>
      </c>
      <c r="W49" s="345">
        <f>W39/(1+Assumption_Hatchery!$C76)^'Fin_RCP 8.5_CRAB Value'!W34</f>
        <v>1964979.6473080667</v>
      </c>
      <c r="X49" s="345">
        <f>X39/(1+Assumption_Hatchery!$C76)^'Fin_RCP 8.5_CRAB Value'!X34</f>
        <v>1655689.8284679656</v>
      </c>
      <c r="Y49" s="345">
        <f>Y39/(1+Assumption_Hatchery!$C76)^'Fin_RCP 8.5_CRAB Value'!Y34</f>
        <v>489588.14327132987</v>
      </c>
      <c r="Z49" s="345">
        <f>Z39/(1+Assumption_Hatchery!$C76)^'Fin_RCP 8.5_CRAB Value'!Z34</f>
        <v>82874.607903579134</v>
      </c>
      <c r="AA49" s="343">
        <f>SUM(B49:Z49)</f>
        <v>97005861.999266073</v>
      </c>
    </row>
    <row r="50" spans="1:27" s="12" customFormat="1" x14ac:dyDescent="0.25">
      <c r="A50" s="10" t="str">
        <f>A23</f>
        <v>Financial Costs in Present Value</v>
      </c>
      <c r="B50" s="346">
        <f>B45/(1+Assumption_Hatchery!$C76)^'Fin_RCP 8.5_CRAB Value'!B34</f>
        <v>0</v>
      </c>
      <c r="C50" s="346">
        <f>C45/(1+Assumption_Hatchery!$C76)^'Fin_RCP 8.5_CRAB Value'!C34</f>
        <v>2670797.7358490564</v>
      </c>
      <c r="D50" s="346">
        <f>D45/(1+Assumption_Hatchery!$C76)^'Fin_RCP 8.5_CRAB Value'!D34</f>
        <v>6759980.8784264848</v>
      </c>
      <c r="E50" s="346">
        <f>E45/(1+Assumption_Hatchery!$C76)^'Fin_RCP 8.5_CRAB Value'!E34</f>
        <v>9175889.9899497554</v>
      </c>
      <c r="F50" s="346">
        <f>F45/(1+Assumption_Hatchery!$C76)^'Fin_RCP 8.5_CRAB Value'!F34</f>
        <v>6938563.1429685634</v>
      </c>
      <c r="G50" s="346">
        <f>G45/(1+Assumption_Hatchery!$C76)^'Fin_RCP 8.5_CRAB Value'!G34</f>
        <v>6331554.0790467905</v>
      </c>
      <c r="H50" s="346">
        <f>H45/(1+Assumption_Hatchery!$C76)^'Fin_RCP 8.5_CRAB Value'!H34</f>
        <v>5964053.3867946994</v>
      </c>
      <c r="I50" s="346">
        <f>I45/(1+Assumption_Hatchery!$C76)^'Fin_RCP 8.5_CRAB Value'!I34</f>
        <v>5226958.3726403322</v>
      </c>
      <c r="J50" s="346">
        <f>J45/(1+Assumption_Hatchery!$C76)^'Fin_RCP 8.5_CRAB Value'!J34</f>
        <v>4932641.9656530526</v>
      </c>
      <c r="K50" s="346">
        <f>K45/(1+Assumption_Hatchery!$C76)^'Fin_RCP 8.5_CRAB Value'!K34</f>
        <v>4997239.7100955853</v>
      </c>
      <c r="L50" s="346">
        <f>L45/(1+Assumption_Hatchery!$C76)^'Fin_RCP 8.5_CRAB Value'!L34</f>
        <v>4392832.7856516568</v>
      </c>
      <c r="M50" s="346">
        <f>M45/(1+Assumption_Hatchery!$C76)^'Fin_RCP 8.5_CRAB Value'!M34</f>
        <v>4145521.9916184046</v>
      </c>
      <c r="N50" s="346">
        <f>N45/(1+Assumption_Hatchery!$C76)^'Fin_RCP 8.5_CRAB Value'!N34</f>
        <v>4199571.7355228541</v>
      </c>
      <c r="O50" s="346">
        <f>O45/(1+Assumption_Hatchery!$C76)^'Fin_RCP 8.5_CRAB Value'!O34</f>
        <v>3691921.1159713026</v>
      </c>
      <c r="P50" s="346">
        <f>P45/(1+Assumption_Hatchery!$C76)^'Fin_RCP 8.5_CRAB Value'!P34</f>
        <v>3484103.7326064236</v>
      </c>
      <c r="Q50" s="346">
        <f>Q45/(1+Assumption_Hatchery!$C76)^'Fin_RCP 8.5_CRAB Value'!Q34</f>
        <v>3529322.5091613135</v>
      </c>
      <c r="R50" s="346">
        <f>R45/(1+Assumption_Hatchery!$C76)^'Fin_RCP 8.5_CRAB Value'!R34</f>
        <v>3102934.4910963629</v>
      </c>
      <c r="S50" s="346">
        <f>S45/(1+Assumption_Hatchery!$C76)^'Fin_RCP 8.5_CRAB Value'!S34</f>
        <v>2928299.5402449919</v>
      </c>
      <c r="T50" s="346">
        <f>T45/(1+Assumption_Hatchery!$C76)^'Fin_RCP 8.5_CRAB Value'!T34</f>
        <v>2966125.5846246723</v>
      </c>
      <c r="U50" s="346">
        <f>U45/(1+Assumption_Hatchery!$C76)^'Fin_RCP 8.5_CRAB Value'!U34</f>
        <v>2607988.0981745035</v>
      </c>
      <c r="V50" s="346">
        <f>V45/(1+Assumption_Hatchery!$C76)^'Fin_RCP 8.5_CRAB Value'!V34</f>
        <v>2461233.6568226353</v>
      </c>
      <c r="W50" s="346">
        <f>W45/(1+Assumption_Hatchery!$C76)^'Fin_RCP 8.5_CRAB Value'!W34</f>
        <v>2102514.1697429754</v>
      </c>
      <c r="X50" s="346">
        <f>X45/(1+Assumption_Hatchery!$C76)^'Fin_RCP 8.5_CRAB Value'!X34</f>
        <v>1102965.9392365278</v>
      </c>
      <c r="Y50" s="346">
        <f>Y45/(1+Assumption_Hatchery!$C76)^'Fin_RCP 8.5_CRAB Value'!Y34</f>
        <v>326717.19308011822</v>
      </c>
      <c r="Z50" s="346">
        <f>Z45/(1+Assumption_Hatchery!$C76)^'Fin_RCP 8.5_CRAB Value'!Z34</f>
        <v>95091.279339465284</v>
      </c>
      <c r="AA50" s="343">
        <f>SUM(B50:Z50)</f>
        <v>94134823.084318504</v>
      </c>
    </row>
    <row r="51" spans="1:27" x14ac:dyDescent="0.25">
      <c r="B51" s="32"/>
      <c r="C51" s="32"/>
      <c r="D51" s="32"/>
      <c r="E51" s="32"/>
      <c r="F51" s="32"/>
      <c r="G51" s="32"/>
      <c r="H51" s="32"/>
      <c r="I51" s="32"/>
      <c r="J51" s="32"/>
      <c r="K51" s="32"/>
      <c r="L51" s="32"/>
    </row>
    <row r="52" spans="1:27" s="12" customFormat="1" x14ac:dyDescent="0.25">
      <c r="A52" s="25" t="s">
        <v>391</v>
      </c>
      <c r="B52" s="35">
        <f>NPV(B3,C47:Z47)+B47</f>
        <v>-124112.55583856495</v>
      </c>
      <c r="C52" s="40"/>
      <c r="D52" s="40"/>
      <c r="E52" s="40"/>
      <c r="F52" s="40"/>
      <c r="G52" s="40"/>
      <c r="H52" s="40"/>
      <c r="I52" s="40"/>
      <c r="J52" s="40"/>
      <c r="K52" s="40"/>
      <c r="L52" s="40"/>
    </row>
    <row r="54" spans="1:27" s="12" customFormat="1" x14ac:dyDescent="0.25">
      <c r="A54" s="25" t="s">
        <v>237</v>
      </c>
      <c r="B54" s="36">
        <f>IRR(B47:Z47)</f>
        <v>8.8394159437070519E-2</v>
      </c>
      <c r="C54" s="4"/>
      <c r="D54" s="4"/>
      <c r="E54" s="4"/>
      <c r="F54" s="4"/>
      <c r="G54" s="4"/>
      <c r="H54" s="4"/>
      <c r="I54" s="4"/>
      <c r="J54" s="4"/>
      <c r="K54" s="4"/>
      <c r="L54" s="4"/>
    </row>
    <row r="56" spans="1:27" ht="38.25" customHeight="1" x14ac:dyDescent="0.25">
      <c r="A56" s="11"/>
      <c r="B56" s="30"/>
      <c r="C56" s="69"/>
      <c r="D56" s="70"/>
      <c r="E56" s="30"/>
      <c r="F56" s="116"/>
      <c r="G56" s="30"/>
      <c r="H56" s="30"/>
      <c r="I56" s="30"/>
      <c r="J56" s="30"/>
      <c r="K56" s="30"/>
      <c r="L56" s="30"/>
      <c r="M56" s="11"/>
    </row>
    <row r="57" spans="1:27" s="1" customFormat="1" x14ac:dyDescent="0.25">
      <c r="A57" s="24"/>
      <c r="B57" s="42"/>
      <c r="C57" s="42"/>
      <c r="D57" s="42"/>
      <c r="E57" s="42"/>
      <c r="F57" s="42"/>
      <c r="G57" s="42"/>
      <c r="H57" s="42"/>
      <c r="I57" s="42"/>
      <c r="J57" s="42"/>
      <c r="K57" s="42"/>
      <c r="L57" s="42"/>
    </row>
    <row r="59" spans="1:27" ht="26.25" x14ac:dyDescent="0.25">
      <c r="F59" s="19" t="s">
        <v>92</v>
      </c>
    </row>
    <row r="60" spans="1:27" ht="38.25" customHeight="1" x14ac:dyDescent="0.25">
      <c r="A60" s="11" t="str">
        <f>A5</f>
        <v>Aggregate Financial Analysis_CRAB Value chain</v>
      </c>
      <c r="B60" s="30"/>
      <c r="C60" s="69"/>
      <c r="D60" s="70"/>
      <c r="E60" s="30"/>
      <c r="F60" s="30"/>
      <c r="G60" s="30"/>
      <c r="H60" s="30"/>
      <c r="I60" s="30"/>
      <c r="J60" s="30"/>
      <c r="K60" s="30"/>
      <c r="L60" s="30"/>
      <c r="M60" s="11"/>
    </row>
    <row r="62" spans="1:27" x14ac:dyDescent="0.25">
      <c r="A62" s="10" t="s">
        <v>19</v>
      </c>
      <c r="B62" s="26">
        <v>0</v>
      </c>
      <c r="C62" s="26">
        <v>1</v>
      </c>
      <c r="D62" s="26">
        <v>2</v>
      </c>
      <c r="E62" s="26">
        <v>3</v>
      </c>
      <c r="F62" s="26">
        <v>4</v>
      </c>
      <c r="G62" s="26">
        <v>5</v>
      </c>
      <c r="H62" s="26">
        <v>6</v>
      </c>
      <c r="I62" s="26">
        <v>7</v>
      </c>
      <c r="J62" s="26">
        <v>8</v>
      </c>
      <c r="K62" s="26">
        <v>9</v>
      </c>
      <c r="L62" s="26">
        <v>10</v>
      </c>
      <c r="M62" s="26">
        <v>11</v>
      </c>
      <c r="N62" s="26">
        <v>12</v>
      </c>
      <c r="O62" s="26">
        <v>13</v>
      </c>
      <c r="P62" s="26">
        <v>14</v>
      </c>
      <c r="Q62" s="26">
        <v>15</v>
      </c>
      <c r="R62" s="26">
        <v>16</v>
      </c>
      <c r="S62" s="26">
        <v>17</v>
      </c>
      <c r="T62" s="26">
        <v>18</v>
      </c>
      <c r="U62" s="26">
        <v>19</v>
      </c>
      <c r="V62" s="26">
        <v>20</v>
      </c>
      <c r="W62" s="26">
        <v>21</v>
      </c>
      <c r="X62" s="26">
        <v>22</v>
      </c>
      <c r="Y62" s="26">
        <v>23</v>
      </c>
      <c r="Z62" s="26">
        <v>24</v>
      </c>
    </row>
    <row r="63" spans="1:27" x14ac:dyDescent="0.25">
      <c r="A63" s="23" t="s">
        <v>381</v>
      </c>
    </row>
    <row r="64" spans="1:27" x14ac:dyDescent="0.25">
      <c r="A64" s="88" t="s">
        <v>345</v>
      </c>
      <c r="B64" s="31">
        <v>0</v>
      </c>
      <c r="C64" s="31">
        <v>0</v>
      </c>
      <c r="D64" s="31">
        <v>221085.00000000003</v>
      </c>
      <c r="E64" s="31">
        <v>366081.9391125</v>
      </c>
      <c r="F64" s="31">
        <v>460033.66800000006</v>
      </c>
      <c r="G64" s="31">
        <v>469234.34136000008</v>
      </c>
      <c r="H64" s="31">
        <v>431654.53604633111</v>
      </c>
      <c r="I64" s="31">
        <v>488191.40875094401</v>
      </c>
      <c r="J64" s="31">
        <v>497955.2369259629</v>
      </c>
      <c r="K64" s="31">
        <v>458075.24688865483</v>
      </c>
      <c r="L64" s="31">
        <v>518072.62849777186</v>
      </c>
      <c r="M64" s="31">
        <v>528434.08106772718</v>
      </c>
      <c r="N64" s="31">
        <v>486113.11660021567</v>
      </c>
      <c r="O64" s="31">
        <v>549782.81794286345</v>
      </c>
      <c r="P64" s="31">
        <v>560778.47430172074</v>
      </c>
      <c r="Q64" s="31">
        <v>515867.12824108155</v>
      </c>
      <c r="R64" s="31">
        <v>583433.92466351017</v>
      </c>
      <c r="S64" s="31">
        <v>595102.60315678047</v>
      </c>
      <c r="T64" s="31">
        <v>547442.32342646178</v>
      </c>
      <c r="U64" s="31">
        <v>619144.74832431425</v>
      </c>
      <c r="V64" s="31">
        <v>631527.64329080062</v>
      </c>
      <c r="W64" s="31">
        <v>483760.13852699887</v>
      </c>
      <c r="X64" s="31">
        <v>358520.68003987451</v>
      </c>
      <c r="Y64" s="31">
        <v>107018.21872813438</v>
      </c>
      <c r="Z64" s="31">
        <v>9500</v>
      </c>
    </row>
    <row r="65" spans="1:27" x14ac:dyDescent="0.25">
      <c r="A65" s="88" t="s">
        <v>346</v>
      </c>
      <c r="B65" s="31">
        <v>0</v>
      </c>
      <c r="C65" s="31">
        <v>160650.00000000003</v>
      </c>
      <c r="D65" s="31">
        <v>409657.50000000006</v>
      </c>
      <c r="E65" s="31">
        <v>571619.68920000002</v>
      </c>
      <c r="F65" s="31">
        <v>852415.32600000012</v>
      </c>
      <c r="G65" s="31">
        <v>869463.6325200001</v>
      </c>
      <c r="H65" s="31">
        <v>758259.23392069212</v>
      </c>
      <c r="I65" s="31">
        <v>904589.96327380801</v>
      </c>
      <c r="J65" s="31">
        <v>922681.76253928419</v>
      </c>
      <c r="K65" s="31">
        <v>804670.76511050982</v>
      </c>
      <c r="L65" s="31">
        <v>959958.10574587132</v>
      </c>
      <c r="M65" s="31">
        <v>979157.26786078862</v>
      </c>
      <c r="N65" s="31">
        <v>853923.05330139399</v>
      </c>
      <c r="O65" s="31">
        <v>1018715.2214823646</v>
      </c>
      <c r="P65" s="31">
        <v>1039089.525912012</v>
      </c>
      <c r="Q65" s="31">
        <v>906189.97554786538</v>
      </c>
      <c r="R65" s="31">
        <v>1081068.7427588571</v>
      </c>
      <c r="S65" s="31">
        <v>1102690.1176140343</v>
      </c>
      <c r="T65" s="31">
        <v>961656.05157119932</v>
      </c>
      <c r="U65" s="31">
        <v>1147238.7983656412</v>
      </c>
      <c r="V65" s="31">
        <v>1170183.5743329541</v>
      </c>
      <c r="W65" s="31">
        <v>816413.67614061537</v>
      </c>
      <c r="X65" s="31">
        <v>608729.49536800268</v>
      </c>
      <c r="Y65" s="31">
        <v>248361.63411014507</v>
      </c>
      <c r="Z65" s="31">
        <v>0</v>
      </c>
    </row>
    <row r="66" spans="1:27" customFormat="1" x14ac:dyDescent="0.25">
      <c r="A66" s="88" t="s">
        <v>347</v>
      </c>
      <c r="B66" s="427">
        <v>0</v>
      </c>
      <c r="C66" s="427">
        <v>1216923.75</v>
      </c>
      <c r="D66" s="427">
        <v>4096976.625</v>
      </c>
      <c r="E66" s="427">
        <v>4497689.1056392966</v>
      </c>
      <c r="F66" s="427">
        <v>7940719.1248087501</v>
      </c>
      <c r="G66" s="427">
        <v>8442238.22742825</v>
      </c>
      <c r="H66" s="427">
        <v>5451733.6273285579</v>
      </c>
      <c r="I66" s="427">
        <v>8611927.215799557</v>
      </c>
      <c r="J66" s="427">
        <v>8698046.4879575539</v>
      </c>
      <c r="K66" s="427">
        <v>5616926.6079702405</v>
      </c>
      <c r="L66" s="427">
        <v>8872877.2223655023</v>
      </c>
      <c r="M66" s="427">
        <v>8961605.9945891555</v>
      </c>
      <c r="N66" s="427">
        <v>5787125.1011183457</v>
      </c>
      <c r="O66" s="427">
        <v>9141734.2750803977</v>
      </c>
      <c r="P66" s="427">
        <v>9233151.6178312041</v>
      </c>
      <c r="Q66" s="427">
        <v>5962480.7788073327</v>
      </c>
      <c r="R66" s="427">
        <v>9418737.9653496109</v>
      </c>
      <c r="S66" s="427">
        <v>9512925.3450031076</v>
      </c>
      <c r="T66" s="427">
        <v>6143149.9088859754</v>
      </c>
      <c r="U66" s="427">
        <v>9704135.144437667</v>
      </c>
      <c r="V66" s="427">
        <v>9801176.4958820455</v>
      </c>
      <c r="W66" s="427">
        <v>5379899.4701338587</v>
      </c>
      <c r="X66" s="427">
        <v>4999090.0717246383</v>
      </c>
      <c r="Y66" s="427">
        <v>1514724.291732565</v>
      </c>
      <c r="Z66" s="427">
        <v>326053.87082225806</v>
      </c>
      <c r="AA66">
        <v>0</v>
      </c>
    </row>
    <row r="67" spans="1:27" s="12" customFormat="1" x14ac:dyDescent="0.25">
      <c r="A67" s="23" t="s">
        <v>53</v>
      </c>
      <c r="B67" s="38">
        <f t="shared" ref="B67:Z67" si="6">SUM(B64:B66)</f>
        <v>0</v>
      </c>
      <c r="C67" s="38">
        <f t="shared" si="6"/>
        <v>1377573.75</v>
      </c>
      <c r="D67" s="38">
        <f t="shared" si="6"/>
        <v>4727719.125</v>
      </c>
      <c r="E67" s="38">
        <f t="shared" si="6"/>
        <v>5435390.7339517968</v>
      </c>
      <c r="F67" s="38">
        <f t="shared" si="6"/>
        <v>9253168.1188087501</v>
      </c>
      <c r="G67" s="38">
        <f t="shared" si="6"/>
        <v>9780936.2013082504</v>
      </c>
      <c r="H67" s="38">
        <f t="shared" si="6"/>
        <v>6641647.3972955812</v>
      </c>
      <c r="I67" s="38">
        <f t="shared" si="6"/>
        <v>10004708.587824309</v>
      </c>
      <c r="J67" s="38">
        <f t="shared" si="6"/>
        <v>10118683.487422802</v>
      </c>
      <c r="K67" s="38">
        <f t="shared" si="6"/>
        <v>6879672.6199694052</v>
      </c>
      <c r="L67" s="38">
        <f t="shared" si="6"/>
        <v>10350907.956609145</v>
      </c>
      <c r="M67" s="38">
        <f t="shared" si="6"/>
        <v>10469197.343517672</v>
      </c>
      <c r="N67" s="38">
        <f t="shared" si="6"/>
        <v>7127161.2710199552</v>
      </c>
      <c r="O67" s="38">
        <f t="shared" si="6"/>
        <v>10710232.314505626</v>
      </c>
      <c r="P67" s="38">
        <f t="shared" si="6"/>
        <v>10833019.618044937</v>
      </c>
      <c r="Q67" s="38">
        <f t="shared" si="6"/>
        <v>7384537.8825962795</v>
      </c>
      <c r="R67" s="38">
        <f t="shared" si="6"/>
        <v>11083240.632771978</v>
      </c>
      <c r="S67" s="38">
        <f t="shared" si="6"/>
        <v>11210718.065773923</v>
      </c>
      <c r="T67" s="38">
        <f t="shared" si="6"/>
        <v>7652248.2838836368</v>
      </c>
      <c r="U67" s="38">
        <f t="shared" si="6"/>
        <v>11470518.691127623</v>
      </c>
      <c r="V67" s="38">
        <f t="shared" si="6"/>
        <v>11602887.713505801</v>
      </c>
      <c r="W67" s="38">
        <f t="shared" si="6"/>
        <v>6680073.2848014729</v>
      </c>
      <c r="X67" s="38">
        <f t="shared" si="6"/>
        <v>5966340.2471325155</v>
      </c>
      <c r="Y67" s="38">
        <f t="shared" si="6"/>
        <v>1870104.1445708445</v>
      </c>
      <c r="Z67" s="38">
        <f t="shared" si="6"/>
        <v>335553.87082225806</v>
      </c>
    </row>
    <row r="68" spans="1:27" x14ac:dyDescent="0.25">
      <c r="A68" s="23"/>
      <c r="B68" s="41"/>
      <c r="C68" s="41"/>
      <c r="D68" s="41"/>
      <c r="E68" s="41"/>
      <c r="F68" s="41"/>
      <c r="G68" s="41"/>
      <c r="H68" s="41"/>
      <c r="I68" s="41"/>
      <c r="J68" s="41"/>
      <c r="K68" s="41"/>
    </row>
    <row r="69" spans="1:27" x14ac:dyDescent="0.25">
      <c r="A69" s="23" t="s">
        <v>380</v>
      </c>
    </row>
    <row r="70" spans="1:27" x14ac:dyDescent="0.25">
      <c r="A70" s="88" t="s">
        <v>345</v>
      </c>
      <c r="B70" s="33">
        <v>0</v>
      </c>
      <c r="C70" s="33">
        <v>165100.6</v>
      </c>
      <c r="D70" s="33">
        <v>317854.01500000001</v>
      </c>
      <c r="E70" s="33">
        <v>536703.22427000001</v>
      </c>
      <c r="F70" s="33">
        <v>411124.26140299998</v>
      </c>
      <c r="G70" s="33">
        <v>373835.50401703001</v>
      </c>
      <c r="H70" s="33">
        <v>410696.35905720032</v>
      </c>
      <c r="I70" s="33">
        <v>376764.34764777229</v>
      </c>
      <c r="J70" s="33">
        <v>376981.99112425005</v>
      </c>
      <c r="K70" s="33">
        <v>411349.31103549252</v>
      </c>
      <c r="L70" s="33">
        <v>377423.82914584747</v>
      </c>
      <c r="M70" s="33">
        <v>377648.06743730593</v>
      </c>
      <c r="N70" s="33">
        <v>412022.04811167897</v>
      </c>
      <c r="O70" s="33">
        <v>378103.29359279579</v>
      </c>
      <c r="P70" s="33">
        <v>378334.32652872376</v>
      </c>
      <c r="Q70" s="33">
        <v>412715.16979401099</v>
      </c>
      <c r="R70" s="33">
        <v>378803.34649195109</v>
      </c>
      <c r="S70" s="33">
        <v>379041.37995687057</v>
      </c>
      <c r="T70" s="33">
        <v>413429.29375643929</v>
      </c>
      <c r="U70" s="33">
        <v>379524.61169400369</v>
      </c>
      <c r="V70" s="33">
        <v>379769.85781094374</v>
      </c>
      <c r="W70" s="33">
        <v>342750.79511124251</v>
      </c>
      <c r="X70" s="33">
        <v>215133.86597647186</v>
      </c>
      <c r="Y70" s="33">
        <v>73052.040927247319</v>
      </c>
      <c r="Z70" s="33">
        <v>28546.874999999996</v>
      </c>
    </row>
    <row r="71" spans="1:27" x14ac:dyDescent="0.25">
      <c r="A71" s="88" t="s">
        <v>346</v>
      </c>
      <c r="B71" s="33">
        <v>0</v>
      </c>
      <c r="C71" s="33">
        <v>176420</v>
      </c>
      <c r="D71" s="33">
        <v>442110.5</v>
      </c>
      <c r="E71" s="33">
        <v>710913.06799999997</v>
      </c>
      <c r="F71" s="33">
        <v>888526.84210000001</v>
      </c>
      <c r="G71" s="33">
        <v>890712.110521</v>
      </c>
      <c r="H71" s="33">
        <v>895197.35662621004</v>
      </c>
      <c r="I71" s="33">
        <v>895148.42394247209</v>
      </c>
      <c r="J71" s="33">
        <v>897399.9081818969</v>
      </c>
      <c r="K71" s="33">
        <v>901952.03226371575</v>
      </c>
      <c r="L71" s="33">
        <v>901970.64633635292</v>
      </c>
      <c r="M71" s="33">
        <v>904290.35279971652</v>
      </c>
      <c r="N71" s="33">
        <v>908911.38132771361</v>
      </c>
      <c r="O71" s="33">
        <v>908999.58889099082</v>
      </c>
      <c r="P71" s="33">
        <v>911389.58477990073</v>
      </c>
      <c r="Q71" s="33">
        <v>916081.60562769976</v>
      </c>
      <c r="R71" s="33">
        <v>916241.51543397678</v>
      </c>
      <c r="S71" s="33">
        <v>918703.93058831652</v>
      </c>
      <c r="T71" s="33">
        <v>923469.09489419963</v>
      </c>
      <c r="U71" s="33">
        <v>923702.87959314161</v>
      </c>
      <c r="V71" s="33">
        <v>926239.9083890731</v>
      </c>
      <c r="W71" s="33">
        <v>744864.34597837098</v>
      </c>
      <c r="X71" s="33">
        <v>465695.16527384677</v>
      </c>
      <c r="Y71" s="33">
        <v>186800.84677063406</v>
      </c>
      <c r="Z71" s="33">
        <v>0</v>
      </c>
    </row>
    <row r="72" spans="1:27" x14ac:dyDescent="0.25">
      <c r="A72" s="88" t="s">
        <v>347</v>
      </c>
      <c r="B72" s="33">
        <v>0</v>
      </c>
      <c r="C72" s="33">
        <v>1888125</v>
      </c>
      <c r="D72" s="33">
        <v>5393750</v>
      </c>
      <c r="E72" s="33">
        <v>8160015.5</v>
      </c>
      <c r="F72" s="33">
        <v>6858125</v>
      </c>
      <c r="G72" s="33">
        <v>6887500</v>
      </c>
      <c r="H72" s="33">
        <v>7129430</v>
      </c>
      <c r="I72" s="33">
        <v>6587500</v>
      </c>
      <c r="J72" s="33">
        <v>6587500</v>
      </c>
      <c r="K72" s="33">
        <v>7129430</v>
      </c>
      <c r="L72" s="33">
        <v>6587500</v>
      </c>
      <c r="M72" s="33">
        <v>6587500</v>
      </c>
      <c r="N72" s="33">
        <v>7129430</v>
      </c>
      <c r="O72" s="33">
        <v>6587500</v>
      </c>
      <c r="P72" s="33">
        <v>6587500</v>
      </c>
      <c r="Q72" s="33">
        <v>7129430</v>
      </c>
      <c r="R72" s="33">
        <v>6587500</v>
      </c>
      <c r="S72" s="33">
        <v>6587500</v>
      </c>
      <c r="T72" s="33">
        <v>7129430</v>
      </c>
      <c r="U72" s="33">
        <v>6587500</v>
      </c>
      <c r="V72" s="33">
        <v>6587500</v>
      </c>
      <c r="W72" s="33">
        <v>6060015.5</v>
      </c>
      <c r="X72" s="33">
        <v>3293750</v>
      </c>
      <c r="Y72" s="33">
        <v>988125</v>
      </c>
      <c r="Z72" s="33">
        <v>356471.5</v>
      </c>
      <c r="AA72" s="3">
        <v>0</v>
      </c>
    </row>
    <row r="73" spans="1:27" x14ac:dyDescent="0.25">
      <c r="A73" s="117" t="s">
        <v>54</v>
      </c>
      <c r="B73" s="37">
        <f t="shared" ref="B73:Z73" si="7">SUM(B70:B72)</f>
        <v>0</v>
      </c>
      <c r="C73" s="37">
        <f t="shared" si="7"/>
        <v>2229645.6</v>
      </c>
      <c r="D73" s="37">
        <f t="shared" si="7"/>
        <v>6153714.5149999997</v>
      </c>
      <c r="E73" s="37">
        <f t="shared" si="7"/>
        <v>9407631.792270001</v>
      </c>
      <c r="F73" s="37">
        <f t="shared" si="7"/>
        <v>8157776.103503</v>
      </c>
      <c r="G73" s="37">
        <f t="shared" si="7"/>
        <v>8152047.6145380298</v>
      </c>
      <c r="H73" s="37">
        <f t="shared" si="7"/>
        <v>8435323.7156834099</v>
      </c>
      <c r="I73" s="37">
        <f t="shared" si="7"/>
        <v>7859412.771590244</v>
      </c>
      <c r="J73" s="37">
        <f t="shared" si="7"/>
        <v>7861881.8993061464</v>
      </c>
      <c r="K73" s="37">
        <f t="shared" si="7"/>
        <v>8442731.3432992082</v>
      </c>
      <c r="L73" s="37">
        <f t="shared" si="7"/>
        <v>7866894.4754822003</v>
      </c>
      <c r="M73" s="37">
        <f t="shared" si="7"/>
        <v>7869438.4202370225</v>
      </c>
      <c r="N73" s="37">
        <f t="shared" si="7"/>
        <v>8450363.4294393919</v>
      </c>
      <c r="O73" s="37">
        <f t="shared" si="7"/>
        <v>7874602.8824837869</v>
      </c>
      <c r="P73" s="37">
        <f t="shared" si="7"/>
        <v>7877223.9113086248</v>
      </c>
      <c r="Q73" s="37">
        <f t="shared" si="7"/>
        <v>8458226.7754217107</v>
      </c>
      <c r="R73" s="37">
        <f t="shared" si="7"/>
        <v>7882544.8619259279</v>
      </c>
      <c r="S73" s="37">
        <f t="shared" si="7"/>
        <v>7885245.3105451874</v>
      </c>
      <c r="T73" s="37">
        <f t="shared" si="7"/>
        <v>8466328.388650639</v>
      </c>
      <c r="U73" s="37">
        <f t="shared" si="7"/>
        <v>7890727.4912871458</v>
      </c>
      <c r="V73" s="37">
        <f t="shared" si="7"/>
        <v>7893509.7662000172</v>
      </c>
      <c r="W73" s="37">
        <f t="shared" si="7"/>
        <v>7147630.6410896135</v>
      </c>
      <c r="X73" s="37">
        <f t="shared" si="7"/>
        <v>3974579.0312503185</v>
      </c>
      <c r="Y73" s="37">
        <f t="shared" si="7"/>
        <v>1247977.8876978813</v>
      </c>
      <c r="Z73" s="37">
        <f t="shared" si="7"/>
        <v>385018.375</v>
      </c>
    </row>
    <row r="74" spans="1:27" x14ac:dyDescent="0.25">
      <c r="B74" s="32"/>
      <c r="C74" s="32"/>
      <c r="D74" s="32"/>
      <c r="E74" s="32"/>
      <c r="F74" s="32"/>
      <c r="G74" s="32"/>
      <c r="H74" s="32"/>
      <c r="I74" s="32"/>
      <c r="J74" s="32"/>
      <c r="K74" s="32"/>
      <c r="L74" s="32"/>
    </row>
    <row r="75" spans="1:27" x14ac:dyDescent="0.25">
      <c r="A75" s="23" t="str">
        <f>A20</f>
        <v>Net Resource Flow ($)</v>
      </c>
      <c r="B75" s="34">
        <f t="shared" ref="B75:Z75" si="8">B67-B73</f>
        <v>0</v>
      </c>
      <c r="C75" s="34">
        <f t="shared" si="8"/>
        <v>-852071.85000000009</v>
      </c>
      <c r="D75" s="34">
        <f t="shared" si="8"/>
        <v>-1425995.3899999997</v>
      </c>
      <c r="E75" s="34">
        <f t="shared" si="8"/>
        <v>-3972241.0583182042</v>
      </c>
      <c r="F75" s="34">
        <f t="shared" si="8"/>
        <v>1095392.0153057501</v>
      </c>
      <c r="G75" s="34">
        <f t="shared" si="8"/>
        <v>1628888.5867702207</v>
      </c>
      <c r="H75" s="34">
        <f t="shared" si="8"/>
        <v>-1793676.3183878288</v>
      </c>
      <c r="I75" s="34">
        <f t="shared" si="8"/>
        <v>2145295.8162340652</v>
      </c>
      <c r="J75" s="34">
        <f t="shared" si="8"/>
        <v>2256801.5881166551</v>
      </c>
      <c r="K75" s="34">
        <f t="shared" si="8"/>
        <v>-1563058.723329803</v>
      </c>
      <c r="L75" s="34">
        <f t="shared" si="8"/>
        <v>2484013.4811269445</v>
      </c>
      <c r="M75" s="34">
        <f t="shared" si="8"/>
        <v>2599758.9232806498</v>
      </c>
      <c r="N75" s="34">
        <f t="shared" si="8"/>
        <v>-1323202.1584194368</v>
      </c>
      <c r="O75" s="34">
        <f t="shared" si="8"/>
        <v>2835629.4320218386</v>
      </c>
      <c r="P75" s="34">
        <f t="shared" si="8"/>
        <v>2955795.7067363122</v>
      </c>
      <c r="Q75" s="34">
        <f t="shared" si="8"/>
        <v>-1073688.8928254312</v>
      </c>
      <c r="R75" s="34">
        <f t="shared" si="8"/>
        <v>3200695.7708460502</v>
      </c>
      <c r="S75" s="34">
        <f t="shared" si="8"/>
        <v>3325472.7552287355</v>
      </c>
      <c r="T75" s="34">
        <f t="shared" si="8"/>
        <v>-814080.10476700217</v>
      </c>
      <c r="U75" s="34">
        <f t="shared" si="8"/>
        <v>3579791.1998404767</v>
      </c>
      <c r="V75" s="34">
        <f t="shared" si="8"/>
        <v>3709377.9473057836</v>
      </c>
      <c r="W75" s="34">
        <f t="shared" si="8"/>
        <v>-467557.35628814064</v>
      </c>
      <c r="X75" s="34">
        <f t="shared" si="8"/>
        <v>1991761.215882197</v>
      </c>
      <c r="Y75" s="34">
        <f t="shared" si="8"/>
        <v>622126.25687296316</v>
      </c>
      <c r="Z75" s="34">
        <f t="shared" si="8"/>
        <v>-49464.504177741939</v>
      </c>
    </row>
    <row r="76" spans="1:27" x14ac:dyDescent="0.25">
      <c r="A76" s="23"/>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344"/>
      <c r="AA76" s="12"/>
    </row>
    <row r="77" spans="1:27" x14ac:dyDescent="0.25">
      <c r="A77" s="10" t="str">
        <f>A22</f>
        <v>Financial Benefits in Present Value</v>
      </c>
      <c r="B77" s="345">
        <f>B67/(1+Assumption_Hatchery!$C76)^'Fin_RCP 8.5_CRAB Value'!B62</f>
        <v>0</v>
      </c>
      <c r="C77" s="345">
        <f>C67/(1+Assumption_Hatchery!$C76)^'Fin_RCP 8.5_CRAB Value'!C62</f>
        <v>1299597.8773584906</v>
      </c>
      <c r="D77" s="345">
        <f>D67/(1+Assumption_Hatchery!$C76)^'Fin_RCP 8.5_CRAB Value'!D62</f>
        <v>4207653.1906372365</v>
      </c>
      <c r="E77" s="345">
        <f>E67/(1+Assumption_Hatchery!$C76)^'Fin_RCP 8.5_CRAB Value'!E62</f>
        <v>4563658.8710410232</v>
      </c>
      <c r="F77" s="345">
        <f>F67/(1+Assumption_Hatchery!$C76)^'Fin_RCP 8.5_CRAB Value'!F62</f>
        <v>7329375.8317844849</v>
      </c>
      <c r="G77" s="345">
        <f>G67/(1+Assumption_Hatchery!$C76)^'Fin_RCP 8.5_CRAB Value'!G62</f>
        <v>7308884.5147090741</v>
      </c>
      <c r="H77" s="345">
        <f>H67/(1+Assumption_Hatchery!$C76)^'Fin_RCP 8.5_CRAB Value'!H62</f>
        <v>4682099.3386072619</v>
      </c>
      <c r="I77" s="345">
        <f>I67/(1+Assumption_Hatchery!$C76)^'Fin_RCP 8.5_CRAB Value'!I62</f>
        <v>6653702.6160510322</v>
      </c>
      <c r="J77" s="345">
        <f>J67/(1+Assumption_Hatchery!$C76)^'Fin_RCP 8.5_CRAB Value'!J62</f>
        <v>6348587.2017013226</v>
      </c>
      <c r="K77" s="345">
        <f>K67/(1+Assumption_Hatchery!$C76)^'Fin_RCP 8.5_CRAB Value'!K62</f>
        <v>4072067.6533494727</v>
      </c>
      <c r="L77" s="345">
        <f>L67/(1+Assumption_Hatchery!$C76)^'Fin_RCP 8.5_CRAB Value'!L62</f>
        <v>5779892.9392996822</v>
      </c>
      <c r="M77" s="345">
        <f>M67/(1+Assumption_Hatchery!$C76)^'Fin_RCP 8.5_CRAB Value'!M62</f>
        <v>5515042.5614282023</v>
      </c>
      <c r="N77" s="345">
        <f>N67/(1+Assumption_Hatchery!$C76)^'Fin_RCP 8.5_CRAB Value'!N62</f>
        <v>3541980.800969433</v>
      </c>
      <c r="O77" s="345">
        <f>O67/(1+Assumption_Hatchery!$C76)^'Fin_RCP 8.5_CRAB Value'!O62</f>
        <v>5021374.8463223446</v>
      </c>
      <c r="P77" s="345">
        <f>P67/(1+Assumption_Hatchery!$C76)^'Fin_RCP 8.5_CRAB Value'!P62</f>
        <v>4791455.0242051911</v>
      </c>
      <c r="Q77" s="345">
        <f>Q67/(1+Assumption_Hatchery!$C76)^'Fin_RCP 8.5_CRAB Value'!Q62</f>
        <v>3081309.6480854349</v>
      </c>
      <c r="R77" s="345">
        <f>R67/(1+Assumption_Hatchery!$C76)^'Fin_RCP 8.5_CRAB Value'!R62</f>
        <v>4362876.486585103</v>
      </c>
      <c r="S77" s="345">
        <f>S67/(1+Assumption_Hatchery!$C76)^'Fin_RCP 8.5_CRAB Value'!S62</f>
        <v>4163261.7965505305</v>
      </c>
      <c r="T77" s="345">
        <f>T67/(1+Assumption_Hatchery!$C76)^'Fin_RCP 8.5_CRAB Value'!T62</f>
        <v>2680917.6744377413</v>
      </c>
      <c r="U77" s="345">
        <f>U67/(1+Assumption_Hatchery!$C76)^'Fin_RCP 8.5_CRAB Value'!U62</f>
        <v>3791155.6645924994</v>
      </c>
      <c r="V77" s="345">
        <f>V67/(1+Assumption_Hatchery!$C76)^'Fin_RCP 8.5_CRAB Value'!V62</f>
        <v>3617835.2345995791</v>
      </c>
      <c r="W77" s="345">
        <f>W67/(1+Assumption_Hatchery!$C76)^'Fin_RCP 8.5_CRAB Value'!W62</f>
        <v>1964979.6473080667</v>
      </c>
      <c r="X77" s="345">
        <f>X67/(1+Assumption_Hatchery!$C76)^'Fin_RCP 8.5_CRAB Value'!X62</f>
        <v>1655689.8284679656</v>
      </c>
      <c r="Y77" s="345">
        <f>Y67/(1+Assumption_Hatchery!$C76)^'Fin_RCP 8.5_CRAB Value'!Y62</f>
        <v>489588.14327132987</v>
      </c>
      <c r="Z77" s="345">
        <f>Z67/(1+Assumption_Hatchery!$C76)^'Fin_RCP 8.5_CRAB Value'!Z62</f>
        <v>82874.607903579134</v>
      </c>
      <c r="AA77" s="343">
        <f>SUM(B77:Z77)</f>
        <v>97005861.999266073</v>
      </c>
    </row>
    <row r="78" spans="1:27" s="12" customFormat="1" x14ac:dyDescent="0.25">
      <c r="A78" s="10" t="str">
        <f>A23</f>
        <v>Financial Costs in Present Value</v>
      </c>
      <c r="B78" s="346">
        <f>B73/(1+Assumption_Hatchery!$C76)^'Fin_RCP 8.5_CRAB Value'!B62</f>
        <v>0</v>
      </c>
      <c r="C78" s="346">
        <f>C73/(1+Assumption_Hatchery!$C76)^'Fin_RCP 8.5_CRAB Value'!C62</f>
        <v>2103439.2452830188</v>
      </c>
      <c r="D78" s="346">
        <f>D73/(1+Assumption_Hatchery!$C76)^'Fin_RCP 8.5_CRAB Value'!D62</f>
        <v>5476784.0112139545</v>
      </c>
      <c r="E78" s="346">
        <f>E73/(1+Assumption_Hatchery!$C76)^'Fin_RCP 8.5_CRAB Value'!E62</f>
        <v>7898829.0604576254</v>
      </c>
      <c r="F78" s="346">
        <f>F73/(1+Assumption_Hatchery!$C76)^'Fin_RCP 8.5_CRAB Value'!F62</f>
        <v>6461722.7576992754</v>
      </c>
      <c r="G78" s="346">
        <f>G73/(1+Assumption_Hatchery!$C76)^'Fin_RCP 8.5_CRAB Value'!G62</f>
        <v>6091684.2055567857</v>
      </c>
      <c r="H78" s="346">
        <f>H73/(1+Assumption_Hatchery!$C76)^'Fin_RCP 8.5_CRAB Value'!H62</f>
        <v>5946570.3653917946</v>
      </c>
      <c r="I78" s="346">
        <f>I73/(1+Assumption_Hatchery!$C76)^'Fin_RCP 8.5_CRAB Value'!I62</f>
        <v>5226958.3726403322</v>
      </c>
      <c r="J78" s="346">
        <f>J73/(1+Assumption_Hatchery!$C76)^'Fin_RCP 8.5_CRAB Value'!J62</f>
        <v>4932641.9656530526</v>
      </c>
      <c r="K78" s="346">
        <f>K73/(1+Assumption_Hatchery!$C76)^'Fin_RCP 8.5_CRAB Value'!K62</f>
        <v>4997239.7100955853</v>
      </c>
      <c r="L78" s="346">
        <f>L73/(1+Assumption_Hatchery!$C76)^'Fin_RCP 8.5_CRAB Value'!L62</f>
        <v>4392832.7856516568</v>
      </c>
      <c r="M78" s="346">
        <f>M73/(1+Assumption_Hatchery!$C76)^'Fin_RCP 8.5_CRAB Value'!M62</f>
        <v>4145521.9916184046</v>
      </c>
      <c r="N78" s="346">
        <f>N73/(1+Assumption_Hatchery!$C76)^'Fin_RCP 8.5_CRAB Value'!N62</f>
        <v>4199571.7355228541</v>
      </c>
      <c r="O78" s="346">
        <f>O73/(1+Assumption_Hatchery!$C76)^'Fin_RCP 8.5_CRAB Value'!O62</f>
        <v>3691921.1159713026</v>
      </c>
      <c r="P78" s="346">
        <f>P73/(1+Assumption_Hatchery!$C76)^'Fin_RCP 8.5_CRAB Value'!P62</f>
        <v>3484103.7326064236</v>
      </c>
      <c r="Q78" s="346">
        <f>Q73/(1+Assumption_Hatchery!$C76)^'Fin_RCP 8.5_CRAB Value'!Q62</f>
        <v>3529322.5091613135</v>
      </c>
      <c r="R78" s="346">
        <f>R73/(1+Assumption_Hatchery!$C76)^'Fin_RCP 8.5_CRAB Value'!R62</f>
        <v>3102934.4910963629</v>
      </c>
      <c r="S78" s="346">
        <f>S73/(1+Assumption_Hatchery!$C76)^'Fin_RCP 8.5_CRAB Value'!S62</f>
        <v>2928299.5402449919</v>
      </c>
      <c r="T78" s="346">
        <f>T73/(1+Assumption_Hatchery!$C76)^'Fin_RCP 8.5_CRAB Value'!T62</f>
        <v>2966125.5846246723</v>
      </c>
      <c r="U78" s="346">
        <f>U73/(1+Assumption_Hatchery!$C76)^'Fin_RCP 8.5_CRAB Value'!U62</f>
        <v>2607988.0981745035</v>
      </c>
      <c r="V78" s="346">
        <f>V73/(1+Assumption_Hatchery!$C76)^'Fin_RCP 8.5_CRAB Value'!V62</f>
        <v>2461233.6568226353</v>
      </c>
      <c r="W78" s="346">
        <f>W73/(1+Assumption_Hatchery!$C76)^'Fin_RCP 8.5_CRAB Value'!W62</f>
        <v>2102514.1697429754</v>
      </c>
      <c r="X78" s="346">
        <f>X73/(1+Assumption_Hatchery!$C76)^'Fin_RCP 8.5_CRAB Value'!X62</f>
        <v>1102965.9392365278</v>
      </c>
      <c r="Y78" s="346">
        <f>Y73/(1+Assumption_Hatchery!$C76)^'Fin_RCP 8.5_CRAB Value'!Y62</f>
        <v>326717.19308011822</v>
      </c>
      <c r="Z78" s="346">
        <f>Z73/(1+Assumption_Hatchery!$C76)^'Fin_RCP 8.5_CRAB Value'!Z62</f>
        <v>95091.279339465284</v>
      </c>
      <c r="AA78" s="343">
        <f>SUM(B78:Z78)</f>
        <v>90273013.516885608</v>
      </c>
    </row>
    <row r="79" spans="1:27" x14ac:dyDescent="0.25">
      <c r="B79" s="32"/>
      <c r="C79" s="32"/>
      <c r="D79" s="32"/>
      <c r="E79" s="32"/>
      <c r="F79" s="32"/>
      <c r="G79" s="32"/>
      <c r="H79" s="32"/>
      <c r="I79" s="32"/>
      <c r="J79" s="32"/>
      <c r="K79" s="32"/>
      <c r="L79" s="32"/>
    </row>
    <row r="80" spans="1:27" s="12" customFormat="1" x14ac:dyDescent="0.25">
      <c r="A80" s="25" t="s">
        <v>391</v>
      </c>
      <c r="B80" s="35">
        <f>NPV(B3,C75:Z75)+B75</f>
        <v>3465543.2326617162</v>
      </c>
      <c r="C80" s="40"/>
      <c r="D80" s="40"/>
      <c r="E80" s="40"/>
      <c r="F80" s="40"/>
      <c r="G80" s="40"/>
      <c r="H80" s="40"/>
      <c r="I80" s="40"/>
      <c r="J80" s="40"/>
      <c r="K80" s="40"/>
      <c r="L80" s="40"/>
    </row>
    <row r="82" spans="1:12" s="12" customFormat="1" x14ac:dyDescent="0.25">
      <c r="A82" s="25" t="s">
        <v>237</v>
      </c>
      <c r="B82" s="36">
        <f>IRR(B75:Z75)</f>
        <v>0.15478299462839629</v>
      </c>
      <c r="C82" s="4"/>
      <c r="D82" s="4"/>
      <c r="E82" s="4"/>
      <c r="F82" s="4"/>
      <c r="G82" s="4"/>
      <c r="H82" s="4"/>
      <c r="I82" s="4"/>
      <c r="J82" s="4"/>
      <c r="K82" s="4"/>
      <c r="L82" s="4"/>
    </row>
  </sheetData>
  <mergeCells count="1">
    <mergeCell ref="B2:N2"/>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3:AE143"/>
  <sheetViews>
    <sheetView showGridLines="0" topLeftCell="A95" zoomScale="70" zoomScaleNormal="70" workbookViewId="0">
      <selection activeCell="C111" sqref="C111"/>
    </sheetView>
  </sheetViews>
  <sheetFormatPr defaultRowHeight="15" x14ac:dyDescent="0.25"/>
  <cols>
    <col min="2" max="2" width="51.7109375" customWidth="1"/>
    <col min="3" max="3" width="16.42578125" customWidth="1"/>
    <col min="4" max="4" width="27.85546875" customWidth="1"/>
    <col min="5" max="5" width="15.8554687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9" width="15.28515625" customWidth="1"/>
    <col min="30" max="30" width="15.7109375" customWidth="1"/>
  </cols>
  <sheetData>
    <row r="3" spans="1:30" x14ac:dyDescent="0.25">
      <c r="A3" s="63">
        <v>1</v>
      </c>
      <c r="B3" s="550" t="s">
        <v>105</v>
      </c>
      <c r="C3" s="551"/>
      <c r="D3" s="551"/>
      <c r="E3" s="551"/>
    </row>
    <row r="5" spans="1:30" x14ac:dyDescent="0.25">
      <c r="C5" s="8" t="s">
        <v>19</v>
      </c>
      <c r="D5" s="15">
        <v>0</v>
      </c>
      <c r="E5" s="15">
        <v>1</v>
      </c>
      <c r="F5" s="15">
        <v>2</v>
      </c>
      <c r="G5" s="15">
        <v>3</v>
      </c>
      <c r="H5" s="15">
        <v>4</v>
      </c>
      <c r="I5" s="15">
        <v>5</v>
      </c>
      <c r="J5" s="15">
        <v>6</v>
      </c>
      <c r="K5" s="15">
        <v>7</v>
      </c>
      <c r="L5" s="15">
        <v>8</v>
      </c>
      <c r="M5" s="15">
        <v>9</v>
      </c>
      <c r="N5" s="15">
        <v>10</v>
      </c>
      <c r="O5" s="15">
        <v>11</v>
      </c>
      <c r="P5" s="15">
        <v>12</v>
      </c>
      <c r="Q5" s="15">
        <v>13</v>
      </c>
      <c r="R5" s="15">
        <v>14</v>
      </c>
      <c r="S5" s="15">
        <v>15</v>
      </c>
      <c r="T5" s="15">
        <v>16</v>
      </c>
      <c r="U5" s="15">
        <v>17</v>
      </c>
      <c r="V5" s="15">
        <v>18</v>
      </c>
      <c r="W5" s="15">
        <v>19</v>
      </c>
      <c r="X5" s="15">
        <v>20</v>
      </c>
      <c r="Y5" s="15">
        <v>21</v>
      </c>
      <c r="Z5" s="15">
        <v>22</v>
      </c>
      <c r="AA5" s="15">
        <v>23</v>
      </c>
      <c r="AB5" s="15">
        <v>24</v>
      </c>
      <c r="AC5" s="15"/>
      <c r="AD5" s="53" t="s">
        <v>109</v>
      </c>
    </row>
    <row r="6" spans="1:30" x14ac:dyDescent="0.25">
      <c r="B6" s="66" t="s">
        <v>108</v>
      </c>
      <c r="C6" s="47"/>
      <c r="D6" s="68">
        <f>Assumption_Hatchery!D6</f>
        <v>0</v>
      </c>
      <c r="E6" s="68">
        <f>Assumption_Hatchery!E6</f>
        <v>10</v>
      </c>
      <c r="F6" s="68">
        <f>Assumption_Hatchery!F6</f>
        <v>15</v>
      </c>
      <c r="G6" s="68">
        <f>Assumption_Hatchery!G6</f>
        <v>20</v>
      </c>
      <c r="H6" s="68">
        <f>Assumption_Hatchery!H6</f>
        <v>5</v>
      </c>
      <c r="I6" s="68">
        <f>Assumption_Hatchery!I6</f>
        <v>0</v>
      </c>
      <c r="J6" s="68">
        <f>Assumption_Hatchery!J6</f>
        <v>0</v>
      </c>
      <c r="K6" s="68">
        <f>Assumption_Hatchery!K6</f>
        <v>0</v>
      </c>
      <c r="L6" s="68">
        <f>Assumption_Hatchery!L6</f>
        <v>0</v>
      </c>
      <c r="M6" s="68">
        <f>Assumption_Hatchery!M6</f>
        <v>0</v>
      </c>
      <c r="N6" s="68">
        <f>Assumption_Hatchery!N6</f>
        <v>0</v>
      </c>
      <c r="O6" s="68">
        <f>Assumption_Hatchery!O6</f>
        <v>0</v>
      </c>
      <c r="P6" s="68">
        <f>Assumption_Hatchery!P6</f>
        <v>0</v>
      </c>
      <c r="Q6" s="68">
        <f>Assumption_Hatchery!Q6</f>
        <v>0</v>
      </c>
      <c r="R6" s="68">
        <f>Assumption_Hatchery!R6</f>
        <v>0</v>
      </c>
      <c r="S6" s="68">
        <f>Assumption_Hatchery!S6</f>
        <v>0</v>
      </c>
      <c r="T6" s="68">
        <f>Assumption_Hatchery!T6</f>
        <v>0</v>
      </c>
      <c r="U6" s="68">
        <f>Assumption_Hatchery!U6</f>
        <v>0</v>
      </c>
      <c r="V6" s="68">
        <f>Assumption_Hatchery!V6</f>
        <v>0</v>
      </c>
      <c r="W6" s="68">
        <f>Assumption_Hatchery!W6</f>
        <v>0</v>
      </c>
      <c r="X6" s="68">
        <f>Assumption_Hatchery!X6</f>
        <v>0</v>
      </c>
      <c r="Y6" s="68">
        <f>Assumption_Hatchery!Y6</f>
        <v>0</v>
      </c>
      <c r="Z6" s="68">
        <f>Assumption_Hatchery!Z6</f>
        <v>0</v>
      </c>
      <c r="AA6" s="68">
        <f>Assumption_Hatchery!AA6</f>
        <v>0</v>
      </c>
      <c r="AB6" s="68">
        <f>Assumption_Hatchery!AB6</f>
        <v>0</v>
      </c>
      <c r="AC6" s="68"/>
      <c r="AD6" s="53">
        <f>SUM(D6:AB6)</f>
        <v>50</v>
      </c>
    </row>
    <row r="7" spans="1:30" x14ac:dyDescent="0.25">
      <c r="B7" s="66" t="s">
        <v>107</v>
      </c>
      <c r="C7" s="47"/>
      <c r="D7" s="68">
        <f>Assumption_Hatchery!D7</f>
        <v>0</v>
      </c>
      <c r="E7" s="68">
        <f>Assumption_Hatchery!E7</f>
        <v>100</v>
      </c>
      <c r="F7" s="68">
        <f>Assumption_Hatchery!F7</f>
        <v>150</v>
      </c>
      <c r="G7" s="68">
        <f>Assumption_Hatchery!G7</f>
        <v>150</v>
      </c>
      <c r="H7" s="68">
        <f>Assumption_Hatchery!H7</f>
        <v>100</v>
      </c>
      <c r="I7" s="68">
        <f>Assumption_Hatchery!I7</f>
        <v>0</v>
      </c>
      <c r="J7" s="68">
        <f>Assumption_Hatchery!J7</f>
        <v>0</v>
      </c>
      <c r="K7" s="68">
        <f>Assumption_Hatchery!K7</f>
        <v>0</v>
      </c>
      <c r="L7" s="68">
        <f>Assumption_Hatchery!L7</f>
        <v>0</v>
      </c>
      <c r="M7" s="68">
        <f>Assumption_Hatchery!M7</f>
        <v>0</v>
      </c>
      <c r="N7" s="68">
        <f>Assumption_Hatchery!N7</f>
        <v>0</v>
      </c>
      <c r="O7" s="68">
        <f>Assumption_Hatchery!O7</f>
        <v>0</v>
      </c>
      <c r="P7" s="68">
        <f>Assumption_Hatchery!P7</f>
        <v>0</v>
      </c>
      <c r="Q7" s="68">
        <f>Assumption_Hatchery!Q7</f>
        <v>0</v>
      </c>
      <c r="R7" s="68">
        <f>Assumption_Hatchery!R7</f>
        <v>0</v>
      </c>
      <c r="S7" s="68">
        <f>Assumption_Hatchery!S7</f>
        <v>0</v>
      </c>
      <c r="T7" s="68">
        <f>Assumption_Hatchery!T7</f>
        <v>0</v>
      </c>
      <c r="U7" s="68">
        <f>Assumption_Hatchery!U7</f>
        <v>0</v>
      </c>
      <c r="V7" s="68">
        <f>Assumption_Hatchery!V7</f>
        <v>0</v>
      </c>
      <c r="W7" s="68">
        <f>Assumption_Hatchery!W7</f>
        <v>0</v>
      </c>
      <c r="X7" s="68">
        <f>Assumption_Hatchery!X7</f>
        <v>0</v>
      </c>
      <c r="Y7" s="68">
        <f>Assumption_Hatchery!Y7</f>
        <v>0</v>
      </c>
      <c r="Z7" s="68">
        <f>Assumption_Hatchery!Z7</f>
        <v>0</v>
      </c>
      <c r="AA7" s="68">
        <f>Assumption_Hatchery!AA7</f>
        <v>0</v>
      </c>
      <c r="AB7" s="68">
        <f>Assumption_Hatchery!AB7</f>
        <v>0</v>
      </c>
      <c r="AC7" s="68"/>
      <c r="AD7" s="53">
        <f>SUM(D7:AB7)</f>
        <v>500</v>
      </c>
    </row>
    <row r="8" spans="1:30" x14ac:dyDescent="0.25">
      <c r="B8" s="66" t="s">
        <v>106</v>
      </c>
      <c r="C8" s="47"/>
      <c r="D8" s="68">
        <f>Assumption_Hatchery!D8</f>
        <v>0</v>
      </c>
      <c r="E8" s="68">
        <f>Assumption_Hatchery!E8</f>
        <v>3000</v>
      </c>
      <c r="F8" s="68">
        <f>Assumption_Hatchery!F8</f>
        <v>7000</v>
      </c>
      <c r="G8" s="68">
        <f>Assumption_Hatchery!G8</f>
        <v>7000</v>
      </c>
      <c r="H8" s="68">
        <f>Assumption_Hatchery!H8</f>
        <v>2000</v>
      </c>
      <c r="I8" s="68">
        <f>Assumption_Hatchery!I8</f>
        <v>1000</v>
      </c>
      <c r="J8" s="68">
        <f>Assumption_Hatchery!J8</f>
        <v>0</v>
      </c>
      <c r="K8" s="68">
        <f>Assumption_Hatchery!K8</f>
        <v>0</v>
      </c>
      <c r="L8" s="68">
        <f>Assumption_Hatchery!L8</f>
        <v>0</v>
      </c>
      <c r="M8" s="68">
        <f>Assumption_Hatchery!M8</f>
        <v>0</v>
      </c>
      <c r="N8" s="68">
        <f>Assumption_Hatchery!N8</f>
        <v>0</v>
      </c>
      <c r="O8" s="68">
        <f>Assumption_Hatchery!O8</f>
        <v>0</v>
      </c>
      <c r="P8" s="68">
        <f>Assumption_Hatchery!P8</f>
        <v>0</v>
      </c>
      <c r="Q8" s="68">
        <f>Assumption_Hatchery!Q8</f>
        <v>0</v>
      </c>
      <c r="R8" s="68">
        <f>Assumption_Hatchery!R8</f>
        <v>0</v>
      </c>
      <c r="S8" s="68">
        <f>Assumption_Hatchery!S8</f>
        <v>0</v>
      </c>
      <c r="T8" s="68">
        <f>Assumption_Hatchery!T8</f>
        <v>0</v>
      </c>
      <c r="U8" s="68">
        <f>Assumption_Hatchery!U8</f>
        <v>0</v>
      </c>
      <c r="V8" s="68">
        <f>Assumption_Hatchery!V8</f>
        <v>0</v>
      </c>
      <c r="W8" s="68">
        <f>Assumption_Hatchery!W8</f>
        <v>0</v>
      </c>
      <c r="X8" s="68">
        <f>Assumption_Hatchery!X8</f>
        <v>0</v>
      </c>
      <c r="Y8" s="68">
        <f>Assumption_Hatchery!Y8</f>
        <v>0</v>
      </c>
      <c r="Z8" s="68">
        <f>Assumption_Hatchery!Z8</f>
        <v>0</v>
      </c>
      <c r="AA8" s="68">
        <f>Assumption_Hatchery!AA8</f>
        <v>0</v>
      </c>
      <c r="AB8" s="68">
        <f>Assumption_Hatchery!AB8</f>
        <v>0</v>
      </c>
      <c r="AC8" s="68"/>
      <c r="AD8" s="53">
        <f>SUM(D8:AB8)</f>
        <v>20000</v>
      </c>
    </row>
    <row r="9" spans="1:30" x14ac:dyDescent="0.2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row>
    <row r="10" spans="1:30" x14ac:dyDescent="0.2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row>
    <row r="11" spans="1:30" x14ac:dyDescent="0.25">
      <c r="A11" s="63">
        <v>2</v>
      </c>
      <c r="B11" s="44" t="s">
        <v>152</v>
      </c>
    </row>
    <row r="13" spans="1:30" x14ac:dyDescent="0.25">
      <c r="B13" s="66" t="s">
        <v>153</v>
      </c>
      <c r="C13" s="68">
        <f>SUM(D16:S16)</f>
        <v>20000</v>
      </c>
      <c r="D13" t="s">
        <v>101</v>
      </c>
    </row>
    <row r="15" spans="1:30" x14ac:dyDescent="0.25">
      <c r="C15" s="8" t="s">
        <v>19</v>
      </c>
      <c r="D15" s="15">
        <v>0</v>
      </c>
      <c r="E15" s="15">
        <v>1</v>
      </c>
      <c r="F15" s="15">
        <v>2</v>
      </c>
      <c r="G15" s="15">
        <v>3</v>
      </c>
      <c r="H15" s="15">
        <v>4</v>
      </c>
      <c r="I15" s="15">
        <v>5</v>
      </c>
      <c r="J15" s="15">
        <v>6</v>
      </c>
      <c r="K15" s="15">
        <v>7</v>
      </c>
      <c r="L15" s="15">
        <v>8</v>
      </c>
      <c r="M15" s="15">
        <v>9</v>
      </c>
      <c r="N15" s="15">
        <v>10</v>
      </c>
      <c r="O15" s="15">
        <v>11</v>
      </c>
      <c r="P15" s="15">
        <v>12</v>
      </c>
      <c r="Q15" s="15">
        <v>13</v>
      </c>
      <c r="R15" s="15">
        <v>14</v>
      </c>
      <c r="S15" s="15">
        <v>15</v>
      </c>
      <c r="T15" s="15">
        <v>16</v>
      </c>
      <c r="U15" s="15">
        <v>17</v>
      </c>
      <c r="V15" s="15">
        <v>18</v>
      </c>
      <c r="W15" s="15">
        <v>19</v>
      </c>
      <c r="X15" s="15">
        <v>20</v>
      </c>
      <c r="Y15" s="15">
        <v>21</v>
      </c>
      <c r="Z15" s="15">
        <v>22</v>
      </c>
      <c r="AA15" s="15">
        <v>23</v>
      </c>
      <c r="AB15" s="15">
        <v>24</v>
      </c>
      <c r="AC15" s="15">
        <v>25</v>
      </c>
      <c r="AD15" s="95" t="s">
        <v>109</v>
      </c>
    </row>
    <row r="16" spans="1:30" x14ac:dyDescent="0.25">
      <c r="B16" s="66" t="s">
        <v>154</v>
      </c>
      <c r="C16" s="47"/>
      <c r="D16" s="94">
        <f>D8</f>
        <v>0</v>
      </c>
      <c r="E16" s="94">
        <f t="shared" ref="E16:AC16" si="0">E8</f>
        <v>3000</v>
      </c>
      <c r="F16" s="94">
        <f t="shared" si="0"/>
        <v>7000</v>
      </c>
      <c r="G16" s="94">
        <f t="shared" si="0"/>
        <v>7000</v>
      </c>
      <c r="H16" s="94">
        <f t="shared" si="0"/>
        <v>2000</v>
      </c>
      <c r="I16" s="94">
        <f t="shared" si="0"/>
        <v>1000</v>
      </c>
      <c r="J16" s="94">
        <f t="shared" si="0"/>
        <v>0</v>
      </c>
      <c r="K16" s="94">
        <f t="shared" si="0"/>
        <v>0</v>
      </c>
      <c r="L16" s="94">
        <f t="shared" si="0"/>
        <v>0</v>
      </c>
      <c r="M16" s="94">
        <f t="shared" si="0"/>
        <v>0</v>
      </c>
      <c r="N16" s="94">
        <f t="shared" si="0"/>
        <v>0</v>
      </c>
      <c r="O16" s="94">
        <f t="shared" si="0"/>
        <v>0</v>
      </c>
      <c r="P16" s="94">
        <f t="shared" si="0"/>
        <v>0</v>
      </c>
      <c r="Q16" s="94">
        <f t="shared" si="0"/>
        <v>0</v>
      </c>
      <c r="R16" s="94">
        <f t="shared" si="0"/>
        <v>0</v>
      </c>
      <c r="S16" s="94">
        <f t="shared" si="0"/>
        <v>0</v>
      </c>
      <c r="T16" s="94">
        <f t="shared" si="0"/>
        <v>0</v>
      </c>
      <c r="U16" s="94">
        <f t="shared" si="0"/>
        <v>0</v>
      </c>
      <c r="V16" s="94">
        <f t="shared" si="0"/>
        <v>0</v>
      </c>
      <c r="W16" s="94">
        <f t="shared" si="0"/>
        <v>0</v>
      </c>
      <c r="X16" s="94">
        <f t="shared" si="0"/>
        <v>0</v>
      </c>
      <c r="Y16" s="94">
        <f t="shared" si="0"/>
        <v>0</v>
      </c>
      <c r="Z16" s="94">
        <f t="shared" si="0"/>
        <v>0</v>
      </c>
      <c r="AA16" s="94">
        <f t="shared" si="0"/>
        <v>0</v>
      </c>
      <c r="AB16" s="94">
        <f t="shared" si="0"/>
        <v>0</v>
      </c>
      <c r="AC16" s="94">
        <f t="shared" si="0"/>
        <v>0</v>
      </c>
      <c r="AD16" s="53">
        <f>SUM(D16:AB16)</f>
        <v>20000</v>
      </c>
    </row>
    <row r="17" spans="2:30" x14ac:dyDescent="0.25">
      <c r="B17" s="66" t="s">
        <v>155</v>
      </c>
      <c r="C17" s="47"/>
      <c r="D17" s="94"/>
      <c r="E17" s="94"/>
      <c r="F17" s="94"/>
      <c r="G17" s="94"/>
      <c r="H17" s="94"/>
      <c r="I17" s="94"/>
      <c r="J17" s="94"/>
      <c r="K17" s="94"/>
      <c r="L17" s="94"/>
      <c r="M17" s="94"/>
      <c r="N17" s="94"/>
      <c r="O17" s="94"/>
      <c r="P17" s="94"/>
      <c r="Q17" s="94"/>
      <c r="R17" s="94"/>
      <c r="S17" s="94"/>
      <c r="T17" s="94"/>
      <c r="U17" s="94"/>
      <c r="V17" s="94"/>
      <c r="W17" s="94"/>
      <c r="X17" s="94"/>
      <c r="Y17" s="94">
        <f>E16</f>
        <v>3000</v>
      </c>
      <c r="Z17" s="94">
        <f t="shared" ref="Z17:AC17" si="1">F16</f>
        <v>7000</v>
      </c>
      <c r="AA17" s="94">
        <f t="shared" si="1"/>
        <v>7000</v>
      </c>
      <c r="AB17" s="94">
        <f t="shared" si="1"/>
        <v>2000</v>
      </c>
      <c r="AC17" s="94">
        <f t="shared" si="1"/>
        <v>1000</v>
      </c>
      <c r="AD17" s="53">
        <f>SUM(D17:AC17)</f>
        <v>20000</v>
      </c>
    </row>
    <row r="18" spans="2:30" ht="19.149999999999999" customHeight="1" x14ac:dyDescent="0.25">
      <c r="B18" s="66" t="s">
        <v>156</v>
      </c>
      <c r="C18" s="47"/>
      <c r="D18" s="63"/>
      <c r="E18" s="63">
        <f>E16</f>
        <v>3000</v>
      </c>
      <c r="F18" s="63">
        <f t="shared" ref="F18:AC18" si="2">F16+E18-F17</f>
        <v>10000</v>
      </c>
      <c r="G18" s="63">
        <f t="shared" si="2"/>
        <v>17000</v>
      </c>
      <c r="H18" s="63">
        <f t="shared" si="2"/>
        <v>19000</v>
      </c>
      <c r="I18" s="63">
        <f t="shared" si="2"/>
        <v>20000</v>
      </c>
      <c r="J18" s="63">
        <f t="shared" si="2"/>
        <v>20000</v>
      </c>
      <c r="K18" s="63">
        <f t="shared" si="2"/>
        <v>20000</v>
      </c>
      <c r="L18" s="63">
        <f t="shared" si="2"/>
        <v>20000</v>
      </c>
      <c r="M18" s="63">
        <f t="shared" si="2"/>
        <v>20000</v>
      </c>
      <c r="N18" s="63">
        <f t="shared" si="2"/>
        <v>20000</v>
      </c>
      <c r="O18" s="63">
        <f t="shared" si="2"/>
        <v>20000</v>
      </c>
      <c r="P18" s="63">
        <f t="shared" si="2"/>
        <v>20000</v>
      </c>
      <c r="Q18" s="63">
        <f t="shared" si="2"/>
        <v>20000</v>
      </c>
      <c r="R18" s="63">
        <f t="shared" si="2"/>
        <v>20000</v>
      </c>
      <c r="S18" s="63">
        <f t="shared" si="2"/>
        <v>20000</v>
      </c>
      <c r="T18" s="63">
        <f t="shared" si="2"/>
        <v>20000</v>
      </c>
      <c r="U18" s="63">
        <f t="shared" si="2"/>
        <v>20000</v>
      </c>
      <c r="V18" s="63">
        <f t="shared" si="2"/>
        <v>20000</v>
      </c>
      <c r="W18" s="63">
        <f t="shared" si="2"/>
        <v>20000</v>
      </c>
      <c r="X18" s="63">
        <f t="shared" si="2"/>
        <v>20000</v>
      </c>
      <c r="Y18" s="63">
        <f t="shared" si="2"/>
        <v>17000</v>
      </c>
      <c r="Z18" s="63">
        <f t="shared" si="2"/>
        <v>10000</v>
      </c>
      <c r="AA18" s="63">
        <f t="shared" si="2"/>
        <v>3000</v>
      </c>
      <c r="AB18" s="63">
        <f t="shared" si="2"/>
        <v>1000</v>
      </c>
      <c r="AC18" s="63">
        <f t="shared" si="2"/>
        <v>0</v>
      </c>
      <c r="AD18" s="53"/>
    </row>
    <row r="19" spans="2:30" ht="19.149999999999999" customHeight="1" x14ac:dyDescent="0.25">
      <c r="B19" s="61"/>
      <c r="AD19" s="83"/>
    </row>
    <row r="20" spans="2:30" ht="19.149999999999999" customHeight="1" x14ac:dyDescent="0.25">
      <c r="B20" s="96" t="s">
        <v>113</v>
      </c>
      <c r="AD20" s="83"/>
    </row>
    <row r="21" spans="2:30" ht="19.149999999999999" customHeight="1" x14ac:dyDescent="0.25">
      <c r="B21" t="s">
        <v>115</v>
      </c>
      <c r="AD21" s="83"/>
    </row>
    <row r="22" spans="2:30" ht="19.149999999999999" customHeight="1" x14ac:dyDescent="0.25">
      <c r="B22" s="486" t="s">
        <v>388</v>
      </c>
      <c r="C22" s="486"/>
      <c r="D22" s="486"/>
      <c r="E22" s="486"/>
      <c r="F22" s="486"/>
      <c r="G22" s="486"/>
      <c r="H22" s="486"/>
      <c r="AD22" s="83"/>
    </row>
    <row r="23" spans="2:30" ht="19.149999999999999" customHeight="1" x14ac:dyDescent="0.25">
      <c r="B23" s="486" t="s">
        <v>158</v>
      </c>
      <c r="C23" s="486"/>
      <c r="D23" s="486"/>
      <c r="E23" s="486"/>
      <c r="F23" s="486"/>
      <c r="G23" s="486"/>
      <c r="H23" s="486"/>
      <c r="I23" s="486"/>
      <c r="J23" s="486"/>
      <c r="AD23" s="83"/>
    </row>
    <row r="25" spans="2:30" x14ac:dyDescent="0.25">
      <c r="C25" s="72"/>
      <c r="D25" s="73"/>
      <c r="E25" s="73"/>
      <c r="F25" s="73"/>
      <c r="G25" s="73"/>
      <c r="H25" s="73"/>
      <c r="I25" s="73"/>
      <c r="J25" s="73"/>
      <c r="K25" s="73"/>
      <c r="L25" s="73"/>
      <c r="M25" s="73"/>
      <c r="N25" s="73"/>
      <c r="O25" s="73"/>
      <c r="P25" s="73"/>
      <c r="Q25" s="73"/>
      <c r="R25" s="73"/>
      <c r="S25" s="73"/>
      <c r="T25" s="73"/>
      <c r="U25" s="73"/>
      <c r="V25" s="73"/>
      <c r="W25" s="73"/>
    </row>
    <row r="26" spans="2:30" hidden="1" x14ac:dyDescent="0.25">
      <c r="B26" s="44" t="s">
        <v>88</v>
      </c>
      <c r="C26" s="71"/>
      <c r="T26" s="73"/>
      <c r="U26" s="73"/>
      <c r="V26" s="73"/>
      <c r="W26" s="73"/>
    </row>
    <row r="27" spans="2:30" hidden="1" x14ac:dyDescent="0.25">
      <c r="B27" s="44"/>
      <c r="C27" s="71"/>
      <c r="T27" s="73"/>
      <c r="U27" s="73"/>
      <c r="V27" s="73"/>
      <c r="W27" s="73"/>
    </row>
    <row r="28" spans="2:30" hidden="1" x14ac:dyDescent="0.25">
      <c r="B28" s="99" t="s">
        <v>90</v>
      </c>
      <c r="C28" s="8" t="s">
        <v>19</v>
      </c>
      <c r="D28" s="15">
        <v>0</v>
      </c>
      <c r="E28" s="15">
        <v>1</v>
      </c>
      <c r="F28" s="15">
        <v>2</v>
      </c>
      <c r="G28" s="15">
        <v>3</v>
      </c>
      <c r="H28" s="15">
        <v>4</v>
      </c>
      <c r="I28" s="15">
        <v>5</v>
      </c>
      <c r="J28" s="15">
        <v>6</v>
      </c>
      <c r="K28" s="15">
        <v>7</v>
      </c>
      <c r="L28" s="15">
        <v>8</v>
      </c>
      <c r="M28" s="15">
        <v>9</v>
      </c>
      <c r="N28" s="15">
        <v>10</v>
      </c>
      <c r="O28" s="15">
        <v>11</v>
      </c>
      <c r="P28" s="15">
        <v>12</v>
      </c>
      <c r="Q28" s="15">
        <v>13</v>
      </c>
      <c r="R28" s="15">
        <v>14</v>
      </c>
      <c r="S28" s="15">
        <v>15</v>
      </c>
      <c r="T28" s="15">
        <v>16</v>
      </c>
      <c r="U28" s="15">
        <v>17</v>
      </c>
      <c r="V28" s="15">
        <v>18</v>
      </c>
      <c r="W28" s="15">
        <v>19</v>
      </c>
      <c r="X28" s="15">
        <v>20</v>
      </c>
      <c r="Y28" s="15">
        <v>21</v>
      </c>
      <c r="Z28" s="15">
        <v>22</v>
      </c>
      <c r="AA28" s="15">
        <v>23</v>
      </c>
      <c r="AB28" s="15">
        <v>24</v>
      </c>
      <c r="AC28" s="15"/>
    </row>
    <row r="29" spans="2:30" hidden="1" x14ac:dyDescent="0.25">
      <c r="B29" s="47" t="s">
        <v>83</v>
      </c>
      <c r="C29" s="47"/>
      <c r="D29" s="75"/>
      <c r="E29" s="75" t="e">
        <f>D34</f>
        <v>#REF!</v>
      </c>
      <c r="F29" s="75" t="e">
        <f t="shared" ref="F29:AB29" si="3">E34</f>
        <v>#REF!</v>
      </c>
      <c r="G29" s="75" t="e">
        <f t="shared" si="3"/>
        <v>#REF!</v>
      </c>
      <c r="H29" s="75" t="e">
        <f t="shared" si="3"/>
        <v>#REF!</v>
      </c>
      <c r="I29" s="75" t="e">
        <f t="shared" si="3"/>
        <v>#REF!</v>
      </c>
      <c r="J29" s="103" t="e">
        <f t="shared" si="3"/>
        <v>#REF!</v>
      </c>
      <c r="K29" s="75" t="e">
        <f t="shared" si="3"/>
        <v>#REF!</v>
      </c>
      <c r="L29" s="75" t="e">
        <f t="shared" si="3"/>
        <v>#REF!</v>
      </c>
      <c r="M29" s="75" t="e">
        <f t="shared" si="3"/>
        <v>#REF!</v>
      </c>
      <c r="N29" s="75" t="e">
        <f t="shared" si="3"/>
        <v>#REF!</v>
      </c>
      <c r="O29" s="75" t="e">
        <f t="shared" si="3"/>
        <v>#REF!</v>
      </c>
      <c r="P29" s="75" t="e">
        <f t="shared" si="3"/>
        <v>#REF!</v>
      </c>
      <c r="Q29" s="75" t="e">
        <f t="shared" si="3"/>
        <v>#REF!</v>
      </c>
      <c r="R29" s="75" t="e">
        <f t="shared" si="3"/>
        <v>#REF!</v>
      </c>
      <c r="S29" s="75" t="e">
        <f t="shared" si="3"/>
        <v>#REF!</v>
      </c>
      <c r="T29" s="75" t="e">
        <f t="shared" si="3"/>
        <v>#REF!</v>
      </c>
      <c r="U29" s="75" t="e">
        <f t="shared" si="3"/>
        <v>#REF!</v>
      </c>
      <c r="V29" s="75" t="e">
        <f t="shared" si="3"/>
        <v>#REF!</v>
      </c>
      <c r="W29" s="75" t="e">
        <f t="shared" si="3"/>
        <v>#REF!</v>
      </c>
      <c r="X29" s="75" t="e">
        <f t="shared" si="3"/>
        <v>#REF!</v>
      </c>
      <c r="Y29" s="75" t="e">
        <f t="shared" si="3"/>
        <v>#REF!</v>
      </c>
      <c r="Z29" s="75" t="e">
        <f t="shared" si="3"/>
        <v>#REF!</v>
      </c>
      <c r="AA29" s="75" t="e">
        <f t="shared" si="3"/>
        <v>#REF!</v>
      </c>
      <c r="AB29" s="75" t="e">
        <f t="shared" si="3"/>
        <v>#REF!</v>
      </c>
      <c r="AC29" s="73"/>
      <c r="AD29" s="89"/>
    </row>
    <row r="30" spans="2:30" hidden="1" x14ac:dyDescent="0.25">
      <c r="B30" s="67" t="s">
        <v>84</v>
      </c>
      <c r="C30" s="47"/>
      <c r="D30" s="74" t="e">
        <f>#REF!*D6</f>
        <v>#REF!</v>
      </c>
      <c r="E30" s="74" t="e">
        <f>#REF!*E6</f>
        <v>#REF!</v>
      </c>
      <c r="F30" s="74" t="e">
        <f>#REF!*F6</f>
        <v>#REF!</v>
      </c>
      <c r="G30" s="74" t="e">
        <f>#REF!*G6</f>
        <v>#REF!</v>
      </c>
      <c r="H30" s="74" t="e">
        <f>#REF!*H6</f>
        <v>#REF!</v>
      </c>
      <c r="I30" s="74" t="e">
        <f>#REF!*I6</f>
        <v>#REF!</v>
      </c>
      <c r="J30" s="74" t="e">
        <f>#REF!*J6</f>
        <v>#REF!</v>
      </c>
      <c r="K30" s="74" t="e">
        <f>#REF!*K6</f>
        <v>#REF!</v>
      </c>
      <c r="L30" s="74" t="e">
        <f>#REF!*L6</f>
        <v>#REF!</v>
      </c>
      <c r="M30" s="74" t="e">
        <f>#REF!*M6</f>
        <v>#REF!</v>
      </c>
      <c r="N30" s="74" t="e">
        <f>#REF!*N6</f>
        <v>#REF!</v>
      </c>
      <c r="O30" s="74" t="e">
        <f>#REF!*O6</f>
        <v>#REF!</v>
      </c>
      <c r="P30" s="74" t="e">
        <f>#REF!*P6</f>
        <v>#REF!</v>
      </c>
      <c r="Q30" s="74" t="e">
        <f>#REF!*Q6</f>
        <v>#REF!</v>
      </c>
      <c r="R30" s="74" t="e">
        <f>#REF!*R6</f>
        <v>#REF!</v>
      </c>
      <c r="S30" s="74" t="e">
        <f>#REF!*S6</f>
        <v>#REF!</v>
      </c>
      <c r="T30" s="74" t="e">
        <f>#REF!*T6</f>
        <v>#REF!</v>
      </c>
      <c r="U30" s="74" t="e">
        <f>#REF!*U6</f>
        <v>#REF!</v>
      </c>
      <c r="V30" s="74" t="e">
        <f>#REF!*V6</f>
        <v>#REF!</v>
      </c>
      <c r="W30" s="74" t="e">
        <f>#REF!*W6</f>
        <v>#REF!</v>
      </c>
      <c r="X30" s="74" t="e">
        <f>#REF!*X6</f>
        <v>#REF!</v>
      </c>
      <c r="Y30" s="74" t="e">
        <f>#REF!*Y6</f>
        <v>#REF!</v>
      </c>
      <c r="Z30" s="74" t="e">
        <f>#REF!*Z6</f>
        <v>#REF!</v>
      </c>
      <c r="AA30" s="74" t="e">
        <f>#REF!*AA6</f>
        <v>#REF!</v>
      </c>
      <c r="AB30" s="74" t="e">
        <f>#REF!*AB6</f>
        <v>#REF!</v>
      </c>
      <c r="AC30" s="76"/>
      <c r="AD30" s="89" t="e">
        <f>SUM(D30:AB30)</f>
        <v>#REF!</v>
      </c>
    </row>
    <row r="31" spans="2:30" hidden="1" x14ac:dyDescent="0.25">
      <c r="B31" s="47" t="s">
        <v>85</v>
      </c>
      <c r="C31" s="47"/>
      <c r="D31" s="75">
        <v>0</v>
      </c>
      <c r="E31" s="75" t="e">
        <f>E29*#REF!</f>
        <v>#REF!</v>
      </c>
      <c r="F31" s="75" t="e">
        <f>F29*#REF!</f>
        <v>#REF!</v>
      </c>
      <c r="G31" s="75" t="e">
        <f>G29*#REF!</f>
        <v>#REF!</v>
      </c>
      <c r="H31" s="75" t="e">
        <f>H29*#REF!</f>
        <v>#REF!</v>
      </c>
      <c r="I31" s="75" t="e">
        <f>I29*#REF!</f>
        <v>#REF!</v>
      </c>
      <c r="J31" s="75" t="e">
        <f>J29*#REF!</f>
        <v>#REF!</v>
      </c>
      <c r="K31" s="75" t="e">
        <f>K29*#REF!</f>
        <v>#REF!</v>
      </c>
      <c r="L31" s="75" t="e">
        <f>L29*#REF!</f>
        <v>#REF!</v>
      </c>
      <c r="M31" s="75" t="e">
        <f>M29*#REF!</f>
        <v>#REF!</v>
      </c>
      <c r="N31" s="75" t="e">
        <f>N29*#REF!</f>
        <v>#REF!</v>
      </c>
      <c r="O31" s="75" t="e">
        <f>O29*#REF!</f>
        <v>#REF!</v>
      </c>
      <c r="P31" s="75" t="e">
        <f>P29*#REF!</f>
        <v>#REF!</v>
      </c>
      <c r="Q31" s="75" t="e">
        <f>Q29*#REF!</f>
        <v>#REF!</v>
      </c>
      <c r="R31" s="75" t="e">
        <f>R29*#REF!</f>
        <v>#REF!</v>
      </c>
      <c r="S31" s="75" t="e">
        <f>S29*#REF!</f>
        <v>#REF!</v>
      </c>
      <c r="T31" s="75" t="e">
        <f>T29*#REF!</f>
        <v>#REF!</v>
      </c>
      <c r="U31" s="75" t="e">
        <f>U29*#REF!</f>
        <v>#REF!</v>
      </c>
      <c r="V31" s="75" t="e">
        <f>V29*#REF!</f>
        <v>#REF!</v>
      </c>
      <c r="W31" s="75" t="e">
        <f>W29*#REF!</f>
        <v>#REF!</v>
      </c>
      <c r="X31" s="75" t="e">
        <f>X29*#REF!</f>
        <v>#REF!</v>
      </c>
      <c r="Y31" s="75" t="e">
        <f>Y29*#REF!</f>
        <v>#REF!</v>
      </c>
      <c r="Z31" s="75" t="e">
        <f>Z29*#REF!</f>
        <v>#REF!</v>
      </c>
      <c r="AA31" s="75" t="e">
        <f>AA29*#REF!</f>
        <v>#REF!</v>
      </c>
      <c r="AB31" s="75" t="e">
        <f>AB29*#REF!</f>
        <v>#REF!</v>
      </c>
      <c r="AC31" s="73"/>
      <c r="AD31" s="89" t="e">
        <f>SUM(D31:AB31)</f>
        <v>#REF!</v>
      </c>
    </row>
    <row r="32" spans="2:30" hidden="1" x14ac:dyDescent="0.25">
      <c r="B32" s="47" t="s">
        <v>87</v>
      </c>
      <c r="C32" s="47"/>
      <c r="D32" s="75" t="e">
        <f>#REF!</f>
        <v>#REF!</v>
      </c>
      <c r="E32" s="75" t="e">
        <f>#REF!</f>
        <v>#REF!</v>
      </c>
      <c r="F32" s="75" t="e">
        <f>#REF!</f>
        <v>#REF!</v>
      </c>
      <c r="G32" s="75" t="e">
        <f>#REF!</f>
        <v>#REF!</v>
      </c>
      <c r="H32" s="75" t="e">
        <f>#REF!</f>
        <v>#REF!</v>
      </c>
      <c r="I32" s="75" t="e">
        <f>#REF!</f>
        <v>#REF!</v>
      </c>
      <c r="J32" s="75" t="e">
        <f>#REF!</f>
        <v>#REF!</v>
      </c>
      <c r="K32" s="75" t="e">
        <f>#REF!</f>
        <v>#REF!</v>
      </c>
      <c r="L32" s="75" t="e">
        <f>#REF!</f>
        <v>#REF!</v>
      </c>
      <c r="M32" s="75" t="e">
        <f>#REF!</f>
        <v>#REF!</v>
      </c>
      <c r="N32" s="75" t="e">
        <f>#REF!</f>
        <v>#REF!</v>
      </c>
      <c r="O32" s="75" t="e">
        <f>#REF!</f>
        <v>#REF!</v>
      </c>
      <c r="P32" s="75" t="e">
        <f>#REF!</f>
        <v>#REF!</v>
      </c>
      <c r="Q32" s="75" t="e">
        <f>#REF!</f>
        <v>#REF!</v>
      </c>
      <c r="R32" s="75" t="e">
        <f>#REF!</f>
        <v>#REF!</v>
      </c>
      <c r="S32" s="75" t="e">
        <f>#REF!</f>
        <v>#REF!</v>
      </c>
      <c r="T32" s="75" t="e">
        <f>#REF!</f>
        <v>#REF!</v>
      </c>
      <c r="U32" s="75" t="e">
        <f>#REF!</f>
        <v>#REF!</v>
      </c>
      <c r="V32" s="75" t="e">
        <f>#REF!</f>
        <v>#REF!</v>
      </c>
      <c r="W32" s="75" t="e">
        <f>#REF!</f>
        <v>#REF!</v>
      </c>
      <c r="X32" s="75" t="e">
        <f>#REF!</f>
        <v>#REF!</v>
      </c>
      <c r="Y32" s="75" t="e">
        <f>#REF!</f>
        <v>#REF!</v>
      </c>
      <c r="Z32" s="75" t="e">
        <f>#REF!</f>
        <v>#REF!</v>
      </c>
      <c r="AA32" s="75" t="e">
        <f>#REF!</f>
        <v>#REF!</v>
      </c>
      <c r="AB32" s="75" t="e">
        <f>#REF!</f>
        <v>#REF!</v>
      </c>
      <c r="AC32" s="73"/>
      <c r="AD32" s="89" t="e">
        <f>SUM(D32:AB32)</f>
        <v>#REF!</v>
      </c>
    </row>
    <row r="33" spans="1:30" hidden="1" x14ac:dyDescent="0.25">
      <c r="B33" s="47" t="s">
        <v>120</v>
      </c>
      <c r="C33" s="47"/>
      <c r="D33" s="75" t="e">
        <f>D31+D32</f>
        <v>#REF!</v>
      </c>
      <c r="E33" s="75" t="e">
        <f t="shared" ref="E33:AB33" si="4">E31+E32</f>
        <v>#REF!</v>
      </c>
      <c r="F33" s="75" t="e">
        <f t="shared" si="4"/>
        <v>#REF!</v>
      </c>
      <c r="G33" s="75" t="e">
        <f t="shared" si="4"/>
        <v>#REF!</v>
      </c>
      <c r="H33" s="75" t="e">
        <f t="shared" si="4"/>
        <v>#REF!</v>
      </c>
      <c r="I33" s="75" t="e">
        <f t="shared" si="4"/>
        <v>#REF!</v>
      </c>
      <c r="J33" s="103" t="e">
        <f t="shared" si="4"/>
        <v>#REF!</v>
      </c>
      <c r="K33" s="75" t="e">
        <f t="shared" si="4"/>
        <v>#REF!</v>
      </c>
      <c r="L33" s="75" t="e">
        <f t="shared" si="4"/>
        <v>#REF!</v>
      </c>
      <c r="M33" s="75" t="e">
        <f t="shared" si="4"/>
        <v>#REF!</v>
      </c>
      <c r="N33" s="75" t="e">
        <f t="shared" si="4"/>
        <v>#REF!</v>
      </c>
      <c r="O33" s="75" t="e">
        <f t="shared" si="4"/>
        <v>#REF!</v>
      </c>
      <c r="P33" s="75" t="e">
        <f t="shared" si="4"/>
        <v>#REF!</v>
      </c>
      <c r="Q33" s="75" t="e">
        <f t="shared" si="4"/>
        <v>#REF!</v>
      </c>
      <c r="R33" s="75" t="e">
        <f t="shared" si="4"/>
        <v>#REF!</v>
      </c>
      <c r="S33" s="75" t="e">
        <f t="shared" si="4"/>
        <v>#REF!</v>
      </c>
      <c r="T33" s="75" t="e">
        <f t="shared" si="4"/>
        <v>#REF!</v>
      </c>
      <c r="U33" s="75" t="e">
        <f t="shared" si="4"/>
        <v>#REF!</v>
      </c>
      <c r="V33" s="75" t="e">
        <f t="shared" si="4"/>
        <v>#REF!</v>
      </c>
      <c r="W33" s="75" t="e">
        <f t="shared" si="4"/>
        <v>#REF!</v>
      </c>
      <c r="X33" s="75" t="e">
        <f t="shared" si="4"/>
        <v>#REF!</v>
      </c>
      <c r="Y33" s="75" t="e">
        <f t="shared" si="4"/>
        <v>#REF!</v>
      </c>
      <c r="Z33" s="75" t="e">
        <f t="shared" si="4"/>
        <v>#REF!</v>
      </c>
      <c r="AA33" s="75" t="e">
        <f t="shared" si="4"/>
        <v>#REF!</v>
      </c>
      <c r="AB33" s="75" t="e">
        <f t="shared" si="4"/>
        <v>#REF!</v>
      </c>
      <c r="AC33" s="73"/>
      <c r="AD33" s="89" t="e">
        <f>SUM(D33:AB33)</f>
        <v>#REF!</v>
      </c>
    </row>
    <row r="34" spans="1:30" hidden="1" x14ac:dyDescent="0.25">
      <c r="B34" s="47" t="s">
        <v>86</v>
      </c>
      <c r="C34" s="47"/>
      <c r="D34" s="75" t="e">
        <f>D29+D30-D33</f>
        <v>#REF!</v>
      </c>
      <c r="E34" s="75" t="e">
        <f>E29+E30-E33+E31</f>
        <v>#REF!</v>
      </c>
      <c r="F34" s="75" t="e">
        <f t="shared" ref="F34:AB34" si="5">F29+F30-F33+F31</f>
        <v>#REF!</v>
      </c>
      <c r="G34" s="75" t="e">
        <f t="shared" si="5"/>
        <v>#REF!</v>
      </c>
      <c r="H34" s="75" t="e">
        <f t="shared" si="5"/>
        <v>#REF!</v>
      </c>
      <c r="I34" s="75" t="e">
        <f t="shared" si="5"/>
        <v>#REF!</v>
      </c>
      <c r="J34" s="103" t="e">
        <f t="shared" si="5"/>
        <v>#REF!</v>
      </c>
      <c r="K34" s="75" t="e">
        <f t="shared" si="5"/>
        <v>#REF!</v>
      </c>
      <c r="L34" s="75" t="e">
        <f t="shared" si="5"/>
        <v>#REF!</v>
      </c>
      <c r="M34" s="75" t="e">
        <f t="shared" si="5"/>
        <v>#REF!</v>
      </c>
      <c r="N34" s="75" t="e">
        <f t="shared" si="5"/>
        <v>#REF!</v>
      </c>
      <c r="O34" s="75" t="e">
        <f t="shared" si="5"/>
        <v>#REF!</v>
      </c>
      <c r="P34" s="75" t="e">
        <f t="shared" si="5"/>
        <v>#REF!</v>
      </c>
      <c r="Q34" s="75" t="e">
        <f t="shared" si="5"/>
        <v>#REF!</v>
      </c>
      <c r="R34" s="75" t="e">
        <f t="shared" si="5"/>
        <v>#REF!</v>
      </c>
      <c r="S34" s="75" t="e">
        <f t="shared" si="5"/>
        <v>#REF!</v>
      </c>
      <c r="T34" s="75" t="e">
        <f t="shared" si="5"/>
        <v>#REF!</v>
      </c>
      <c r="U34" s="75" t="e">
        <f t="shared" si="5"/>
        <v>#REF!</v>
      </c>
      <c r="V34" s="75" t="e">
        <f t="shared" si="5"/>
        <v>#REF!</v>
      </c>
      <c r="W34" s="75" t="e">
        <f t="shared" si="5"/>
        <v>#REF!</v>
      </c>
      <c r="X34" s="75" t="e">
        <f t="shared" si="5"/>
        <v>#REF!</v>
      </c>
      <c r="Y34" s="75" t="e">
        <f t="shared" si="5"/>
        <v>#REF!</v>
      </c>
      <c r="Z34" s="75" t="e">
        <f t="shared" si="5"/>
        <v>#REF!</v>
      </c>
      <c r="AA34" s="75" t="e">
        <f t="shared" si="5"/>
        <v>#REF!</v>
      </c>
      <c r="AB34" s="75" t="e">
        <f t="shared" si="5"/>
        <v>#REF!</v>
      </c>
      <c r="AC34" s="73"/>
      <c r="AD34" s="89"/>
    </row>
    <row r="35" spans="1:30" hidden="1" x14ac:dyDescent="0.25">
      <c r="B35" s="99"/>
      <c r="C35" s="8"/>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row>
    <row r="36" spans="1:30" hidden="1" x14ac:dyDescent="0.25">
      <c r="B36" s="44" t="s">
        <v>89</v>
      </c>
      <c r="C36" s="71"/>
      <c r="T36" s="73"/>
      <c r="U36" s="73"/>
      <c r="V36" s="73"/>
      <c r="W36" s="73"/>
    </row>
    <row r="37" spans="1:30" hidden="1" x14ac:dyDescent="0.25">
      <c r="B37" s="99" t="s">
        <v>90</v>
      </c>
      <c r="C37" s="71"/>
      <c r="T37" s="73"/>
      <c r="U37" s="73"/>
      <c r="V37" s="73"/>
      <c r="W37" s="73"/>
    </row>
    <row r="38" spans="1:30" hidden="1" x14ac:dyDescent="0.25">
      <c r="B38" s="47" t="s">
        <v>83</v>
      </c>
      <c r="C38" s="47"/>
      <c r="D38" s="75"/>
      <c r="E38" s="75" t="e">
        <f>D43</f>
        <v>#REF!</v>
      </c>
      <c r="F38" s="75" t="e">
        <f t="shared" ref="F38:AB38" si="6">E43</f>
        <v>#REF!</v>
      </c>
      <c r="G38" s="75" t="e">
        <f t="shared" si="6"/>
        <v>#REF!</v>
      </c>
      <c r="H38" s="75" t="e">
        <f t="shared" si="6"/>
        <v>#REF!</v>
      </c>
      <c r="I38" s="75" t="e">
        <f t="shared" si="6"/>
        <v>#REF!</v>
      </c>
      <c r="J38" s="103" t="e">
        <f t="shared" si="6"/>
        <v>#REF!</v>
      </c>
      <c r="K38" s="75" t="e">
        <f t="shared" si="6"/>
        <v>#REF!</v>
      </c>
      <c r="L38" s="75" t="e">
        <f t="shared" si="6"/>
        <v>#REF!</v>
      </c>
      <c r="M38" s="75" t="e">
        <f t="shared" si="6"/>
        <v>#REF!</v>
      </c>
      <c r="N38" s="75" t="e">
        <f t="shared" si="6"/>
        <v>#REF!</v>
      </c>
      <c r="O38" s="75" t="e">
        <f t="shared" si="6"/>
        <v>#REF!</v>
      </c>
      <c r="P38" s="75" t="e">
        <f t="shared" si="6"/>
        <v>#REF!</v>
      </c>
      <c r="Q38" s="75" t="e">
        <f t="shared" si="6"/>
        <v>#REF!</v>
      </c>
      <c r="R38" s="75" t="e">
        <f t="shared" si="6"/>
        <v>#REF!</v>
      </c>
      <c r="S38" s="75" t="e">
        <f t="shared" si="6"/>
        <v>#REF!</v>
      </c>
      <c r="T38" s="75" t="e">
        <f t="shared" si="6"/>
        <v>#REF!</v>
      </c>
      <c r="U38" s="75" t="e">
        <f t="shared" si="6"/>
        <v>#REF!</v>
      </c>
      <c r="V38" s="75" t="e">
        <f t="shared" si="6"/>
        <v>#REF!</v>
      </c>
      <c r="W38" s="75" t="e">
        <f t="shared" si="6"/>
        <v>#REF!</v>
      </c>
      <c r="X38" s="75" t="e">
        <f t="shared" si="6"/>
        <v>#REF!</v>
      </c>
      <c r="Y38" s="75" t="e">
        <f t="shared" si="6"/>
        <v>#REF!</v>
      </c>
      <c r="Z38" s="75" t="e">
        <f t="shared" si="6"/>
        <v>#REF!</v>
      </c>
      <c r="AA38" s="75" t="e">
        <f t="shared" si="6"/>
        <v>#REF!</v>
      </c>
      <c r="AB38" s="75" t="e">
        <f t="shared" si="6"/>
        <v>#REF!</v>
      </c>
      <c r="AC38" s="73"/>
      <c r="AD38" s="89"/>
    </row>
    <row r="39" spans="1:30" hidden="1" x14ac:dyDescent="0.25">
      <c r="B39" s="67" t="s">
        <v>84</v>
      </c>
      <c r="C39" s="47"/>
      <c r="D39" s="74" t="e">
        <f>$C30*#REF!</f>
        <v>#REF!</v>
      </c>
      <c r="E39" s="74" t="e">
        <f>#REF!*E6</f>
        <v>#REF!</v>
      </c>
      <c r="F39" s="74" t="e">
        <f>#REF!*F6</f>
        <v>#REF!</v>
      </c>
      <c r="G39" s="74" t="e">
        <f>#REF!*G6</f>
        <v>#REF!</v>
      </c>
      <c r="H39" s="74" t="e">
        <f>#REF!*H6</f>
        <v>#REF!</v>
      </c>
      <c r="I39" s="74" t="e">
        <f>#REF!*I6</f>
        <v>#REF!</v>
      </c>
      <c r="J39" s="74" t="e">
        <f>#REF!*J6</f>
        <v>#REF!</v>
      </c>
      <c r="K39" s="74" t="e">
        <f>#REF!*K6</f>
        <v>#REF!</v>
      </c>
      <c r="L39" s="74" t="e">
        <f>#REF!*L6</f>
        <v>#REF!</v>
      </c>
      <c r="M39" s="74" t="e">
        <f>#REF!*M6</f>
        <v>#REF!</v>
      </c>
      <c r="N39" s="74" t="e">
        <f>#REF!*N6</f>
        <v>#REF!</v>
      </c>
      <c r="O39" s="74" t="e">
        <f>#REF!*O6</f>
        <v>#REF!</v>
      </c>
      <c r="P39" s="74" t="e">
        <f>#REF!*P6</f>
        <v>#REF!</v>
      </c>
      <c r="Q39" s="74" t="e">
        <f>#REF!*Q6</f>
        <v>#REF!</v>
      </c>
      <c r="R39" s="74" t="e">
        <f>#REF!*R6</f>
        <v>#REF!</v>
      </c>
      <c r="S39" s="74" t="e">
        <f>#REF!*S6</f>
        <v>#REF!</v>
      </c>
      <c r="T39" s="74" t="e">
        <f>#REF!*T6</f>
        <v>#REF!</v>
      </c>
      <c r="U39" s="74" t="e">
        <f>#REF!*U6</f>
        <v>#REF!</v>
      </c>
      <c r="V39" s="74" t="e">
        <f>#REF!*V6</f>
        <v>#REF!</v>
      </c>
      <c r="W39" s="74" t="e">
        <f>#REF!*W6</f>
        <v>#REF!</v>
      </c>
      <c r="X39" s="74" t="e">
        <f>#REF!*X6</f>
        <v>#REF!</v>
      </c>
      <c r="Y39" s="74" t="e">
        <f>#REF!*Y6</f>
        <v>#REF!</v>
      </c>
      <c r="Z39" s="74" t="e">
        <f>#REF!*Z6</f>
        <v>#REF!</v>
      </c>
      <c r="AA39" s="74" t="e">
        <f>#REF!*AA6</f>
        <v>#REF!</v>
      </c>
      <c r="AB39" s="74" t="e">
        <f>#REF!*AB6</f>
        <v>#REF!</v>
      </c>
      <c r="AC39" s="76"/>
      <c r="AD39" s="89" t="e">
        <f>SUM(D39:AB39)</f>
        <v>#REF!</v>
      </c>
    </row>
    <row r="40" spans="1:30" hidden="1" x14ac:dyDescent="0.25">
      <c r="B40" s="47" t="s">
        <v>85</v>
      </c>
      <c r="C40" s="47"/>
      <c r="D40" s="75">
        <v>0</v>
      </c>
      <c r="E40" s="75" t="e">
        <f>E38*#REF!</f>
        <v>#REF!</v>
      </c>
      <c r="F40" s="75" t="e">
        <f>F38*#REF!</f>
        <v>#REF!</v>
      </c>
      <c r="G40" s="75" t="e">
        <f>G38*#REF!</f>
        <v>#REF!</v>
      </c>
      <c r="H40" s="75" t="e">
        <f>H38*#REF!</f>
        <v>#REF!</v>
      </c>
      <c r="I40" s="75" t="e">
        <f>I38*#REF!</f>
        <v>#REF!</v>
      </c>
      <c r="J40" s="75" t="e">
        <f>J38*#REF!</f>
        <v>#REF!</v>
      </c>
      <c r="K40" s="75" t="e">
        <f>K38*#REF!</f>
        <v>#REF!</v>
      </c>
      <c r="L40" s="75" t="e">
        <f>L38*#REF!</f>
        <v>#REF!</v>
      </c>
      <c r="M40" s="75" t="e">
        <f>M38*#REF!</f>
        <v>#REF!</v>
      </c>
      <c r="N40" s="75" t="e">
        <f>N38*#REF!</f>
        <v>#REF!</v>
      </c>
      <c r="O40" s="75" t="e">
        <f>O38*#REF!</f>
        <v>#REF!</v>
      </c>
      <c r="P40" s="75" t="e">
        <f>P38*#REF!</f>
        <v>#REF!</v>
      </c>
      <c r="Q40" s="75" t="e">
        <f>Q38*#REF!</f>
        <v>#REF!</v>
      </c>
      <c r="R40" s="75" t="e">
        <f>R38*#REF!</f>
        <v>#REF!</v>
      </c>
      <c r="S40" s="75" t="e">
        <f>S38*#REF!</f>
        <v>#REF!</v>
      </c>
      <c r="T40" s="75" t="e">
        <f>T38*#REF!</f>
        <v>#REF!</v>
      </c>
      <c r="U40" s="75" t="e">
        <f>U38*#REF!</f>
        <v>#REF!</v>
      </c>
      <c r="V40" s="75" t="e">
        <f>V38*#REF!</f>
        <v>#REF!</v>
      </c>
      <c r="W40" s="75" t="e">
        <f>W38*#REF!</f>
        <v>#REF!</v>
      </c>
      <c r="X40" s="75" t="e">
        <f>X38*#REF!</f>
        <v>#REF!</v>
      </c>
      <c r="Y40" s="75" t="e">
        <f>Y38*#REF!</f>
        <v>#REF!</v>
      </c>
      <c r="Z40" s="75" t="e">
        <f>Z38*#REF!</f>
        <v>#REF!</v>
      </c>
      <c r="AA40" s="75" t="e">
        <f>AA38*#REF!</f>
        <v>#REF!</v>
      </c>
      <c r="AB40" s="75" t="e">
        <f>AB38*#REF!</f>
        <v>#REF!</v>
      </c>
      <c r="AC40" s="73"/>
      <c r="AD40" s="89" t="e">
        <f>SUM(D40:AB40)</f>
        <v>#REF!</v>
      </c>
    </row>
    <row r="41" spans="1:30" hidden="1" x14ac:dyDescent="0.25">
      <c r="B41" s="47" t="s">
        <v>87</v>
      </c>
      <c r="C41" s="47"/>
      <c r="D41" s="75">
        <v>0</v>
      </c>
      <c r="E41" s="75" t="e">
        <f>E32</f>
        <v>#REF!</v>
      </c>
      <c r="F41" s="75" t="e">
        <f t="shared" ref="F41:AB41" si="7">F32</f>
        <v>#REF!</v>
      </c>
      <c r="G41" s="75" t="e">
        <f t="shared" si="7"/>
        <v>#REF!</v>
      </c>
      <c r="H41" s="75" t="e">
        <f t="shared" si="7"/>
        <v>#REF!</v>
      </c>
      <c r="I41" s="75" t="e">
        <f t="shared" si="7"/>
        <v>#REF!</v>
      </c>
      <c r="J41" s="75" t="e">
        <f t="shared" si="7"/>
        <v>#REF!</v>
      </c>
      <c r="K41" s="75" t="e">
        <f t="shared" si="7"/>
        <v>#REF!</v>
      </c>
      <c r="L41" s="75" t="e">
        <f t="shared" si="7"/>
        <v>#REF!</v>
      </c>
      <c r="M41" s="75" t="e">
        <f t="shared" si="7"/>
        <v>#REF!</v>
      </c>
      <c r="N41" s="75" t="e">
        <f t="shared" si="7"/>
        <v>#REF!</v>
      </c>
      <c r="O41" s="75" t="e">
        <f t="shared" si="7"/>
        <v>#REF!</v>
      </c>
      <c r="P41" s="75" t="e">
        <f t="shared" si="7"/>
        <v>#REF!</v>
      </c>
      <c r="Q41" s="75" t="e">
        <f t="shared" si="7"/>
        <v>#REF!</v>
      </c>
      <c r="R41" s="75" t="e">
        <f t="shared" si="7"/>
        <v>#REF!</v>
      </c>
      <c r="S41" s="75" t="e">
        <f t="shared" si="7"/>
        <v>#REF!</v>
      </c>
      <c r="T41" s="75" t="e">
        <f t="shared" si="7"/>
        <v>#REF!</v>
      </c>
      <c r="U41" s="75" t="e">
        <f t="shared" si="7"/>
        <v>#REF!</v>
      </c>
      <c r="V41" s="75" t="e">
        <f t="shared" si="7"/>
        <v>#REF!</v>
      </c>
      <c r="W41" s="75" t="e">
        <f t="shared" si="7"/>
        <v>#REF!</v>
      </c>
      <c r="X41" s="75" t="e">
        <f t="shared" si="7"/>
        <v>#REF!</v>
      </c>
      <c r="Y41" s="75" t="e">
        <f t="shared" si="7"/>
        <v>#REF!</v>
      </c>
      <c r="Z41" s="75" t="e">
        <f t="shared" si="7"/>
        <v>#REF!</v>
      </c>
      <c r="AA41" s="75" t="e">
        <f t="shared" si="7"/>
        <v>#REF!</v>
      </c>
      <c r="AB41" s="75" t="e">
        <f t="shared" si="7"/>
        <v>#REF!</v>
      </c>
      <c r="AC41" s="73"/>
      <c r="AD41" s="89" t="e">
        <f>SUM(D41:AB41)</f>
        <v>#REF!</v>
      </c>
    </row>
    <row r="42" spans="1:30" hidden="1" x14ac:dyDescent="0.25">
      <c r="B42" s="47" t="s">
        <v>120</v>
      </c>
      <c r="C42" s="47"/>
      <c r="D42" s="75">
        <f>D40+D41</f>
        <v>0</v>
      </c>
      <c r="E42" s="75" t="e">
        <f t="shared" ref="E42:AB42" si="8">E40+E41</f>
        <v>#REF!</v>
      </c>
      <c r="F42" s="75" t="e">
        <f t="shared" si="8"/>
        <v>#REF!</v>
      </c>
      <c r="G42" s="75" t="e">
        <f t="shared" si="8"/>
        <v>#REF!</v>
      </c>
      <c r="H42" s="75" t="e">
        <f t="shared" si="8"/>
        <v>#REF!</v>
      </c>
      <c r="I42" s="75" t="e">
        <f t="shared" si="8"/>
        <v>#REF!</v>
      </c>
      <c r="J42" s="103" t="e">
        <f t="shared" si="8"/>
        <v>#REF!</v>
      </c>
      <c r="K42" s="75" t="e">
        <f t="shared" si="8"/>
        <v>#REF!</v>
      </c>
      <c r="L42" s="75" t="e">
        <f t="shared" si="8"/>
        <v>#REF!</v>
      </c>
      <c r="M42" s="75" t="e">
        <f t="shared" si="8"/>
        <v>#REF!</v>
      </c>
      <c r="N42" s="75" t="e">
        <f t="shared" si="8"/>
        <v>#REF!</v>
      </c>
      <c r="O42" s="75" t="e">
        <f t="shared" si="8"/>
        <v>#REF!</v>
      </c>
      <c r="P42" s="75" t="e">
        <f t="shared" si="8"/>
        <v>#REF!</v>
      </c>
      <c r="Q42" s="75" t="e">
        <f t="shared" si="8"/>
        <v>#REF!</v>
      </c>
      <c r="R42" s="75" t="e">
        <f t="shared" si="8"/>
        <v>#REF!</v>
      </c>
      <c r="S42" s="75" t="e">
        <f t="shared" si="8"/>
        <v>#REF!</v>
      </c>
      <c r="T42" s="75" t="e">
        <f t="shared" si="8"/>
        <v>#REF!</v>
      </c>
      <c r="U42" s="75" t="e">
        <f t="shared" si="8"/>
        <v>#REF!</v>
      </c>
      <c r="V42" s="75" t="e">
        <f t="shared" si="8"/>
        <v>#REF!</v>
      </c>
      <c r="W42" s="75" t="e">
        <f t="shared" si="8"/>
        <v>#REF!</v>
      </c>
      <c r="X42" s="75" t="e">
        <f t="shared" si="8"/>
        <v>#REF!</v>
      </c>
      <c r="Y42" s="75" t="e">
        <f t="shared" si="8"/>
        <v>#REF!</v>
      </c>
      <c r="Z42" s="75" t="e">
        <f t="shared" si="8"/>
        <v>#REF!</v>
      </c>
      <c r="AA42" s="75" t="e">
        <f t="shared" si="8"/>
        <v>#REF!</v>
      </c>
      <c r="AB42" s="75" t="e">
        <f t="shared" si="8"/>
        <v>#REF!</v>
      </c>
      <c r="AC42" s="73"/>
      <c r="AD42" s="89" t="e">
        <f>SUM(D42:AB42)</f>
        <v>#REF!</v>
      </c>
    </row>
    <row r="43" spans="1:30" hidden="1" x14ac:dyDescent="0.25">
      <c r="B43" s="47" t="s">
        <v>86</v>
      </c>
      <c r="C43" s="47"/>
      <c r="D43" s="75" t="e">
        <f>D38+D39-D42</f>
        <v>#REF!</v>
      </c>
      <c r="E43" s="75" t="e">
        <f>E38+E39-E42+E40</f>
        <v>#REF!</v>
      </c>
      <c r="F43" s="75" t="e">
        <f t="shared" ref="F43:AB43" si="9">F38+F39-F42+F40</f>
        <v>#REF!</v>
      </c>
      <c r="G43" s="75" t="e">
        <f t="shared" si="9"/>
        <v>#REF!</v>
      </c>
      <c r="H43" s="75" t="e">
        <f t="shared" si="9"/>
        <v>#REF!</v>
      </c>
      <c r="I43" s="75" t="e">
        <f t="shared" si="9"/>
        <v>#REF!</v>
      </c>
      <c r="J43" s="103" t="e">
        <f t="shared" si="9"/>
        <v>#REF!</v>
      </c>
      <c r="K43" s="75" t="e">
        <f t="shared" si="9"/>
        <v>#REF!</v>
      </c>
      <c r="L43" s="75" t="e">
        <f t="shared" si="9"/>
        <v>#REF!</v>
      </c>
      <c r="M43" s="75" t="e">
        <f t="shared" si="9"/>
        <v>#REF!</v>
      </c>
      <c r="N43" s="75" t="e">
        <f t="shared" si="9"/>
        <v>#REF!</v>
      </c>
      <c r="O43" s="75" t="e">
        <f t="shared" si="9"/>
        <v>#REF!</v>
      </c>
      <c r="P43" s="75" t="e">
        <f t="shared" si="9"/>
        <v>#REF!</v>
      </c>
      <c r="Q43" s="75" t="e">
        <f t="shared" si="9"/>
        <v>#REF!</v>
      </c>
      <c r="R43" s="75" t="e">
        <f t="shared" si="9"/>
        <v>#REF!</v>
      </c>
      <c r="S43" s="75" t="e">
        <f t="shared" si="9"/>
        <v>#REF!</v>
      </c>
      <c r="T43" s="75" t="e">
        <f t="shared" si="9"/>
        <v>#REF!</v>
      </c>
      <c r="U43" s="75" t="e">
        <f t="shared" si="9"/>
        <v>#REF!</v>
      </c>
      <c r="V43" s="75" t="e">
        <f t="shared" si="9"/>
        <v>#REF!</v>
      </c>
      <c r="W43" s="75" t="e">
        <f t="shared" si="9"/>
        <v>#REF!</v>
      </c>
      <c r="X43" s="75" t="e">
        <f t="shared" si="9"/>
        <v>#REF!</v>
      </c>
      <c r="Y43" s="75" t="e">
        <f t="shared" si="9"/>
        <v>#REF!</v>
      </c>
      <c r="Z43" s="75" t="e">
        <f t="shared" si="9"/>
        <v>#REF!</v>
      </c>
      <c r="AA43" s="75" t="e">
        <f t="shared" si="9"/>
        <v>#REF!</v>
      </c>
      <c r="AB43" s="75" t="e">
        <f t="shared" si="9"/>
        <v>#REF!</v>
      </c>
      <c r="AC43" s="73"/>
      <c r="AD43" s="89"/>
    </row>
    <row r="44" spans="1:30" x14ac:dyDescent="0.25">
      <c r="B44" s="44"/>
      <c r="C44" s="71"/>
      <c r="T44" s="73"/>
      <c r="U44" s="73"/>
      <c r="V44" s="73"/>
      <c r="W44" s="73"/>
    </row>
    <row r="45" spans="1:30" x14ac:dyDescent="0.25">
      <c r="D45" s="73"/>
      <c r="E45" s="73"/>
      <c r="F45" s="73"/>
      <c r="G45" s="73"/>
      <c r="H45" s="73"/>
      <c r="I45" s="73"/>
      <c r="J45" s="73"/>
      <c r="K45" s="73"/>
      <c r="L45" s="73"/>
      <c r="M45" s="73"/>
      <c r="N45" s="73"/>
      <c r="O45" s="73"/>
      <c r="P45" s="73"/>
      <c r="Q45" s="73"/>
      <c r="R45" s="73"/>
      <c r="S45" s="73"/>
      <c r="T45" s="73"/>
      <c r="U45" s="73"/>
      <c r="V45" s="73"/>
      <c r="W45" s="73"/>
    </row>
    <row r="46" spans="1:30" x14ac:dyDescent="0.25">
      <c r="A46" s="63">
        <v>3</v>
      </c>
      <c r="B46" s="44" t="s">
        <v>331</v>
      </c>
      <c r="C46" s="139">
        <f>Assumption_Hatchery!C76</f>
        <v>0.06</v>
      </c>
      <c r="D46" s="73"/>
      <c r="E46" s="73"/>
      <c r="F46" s="73"/>
      <c r="G46" s="73"/>
      <c r="H46" s="73"/>
      <c r="I46" s="73"/>
      <c r="J46" s="73"/>
      <c r="K46" s="73"/>
      <c r="L46" s="73"/>
      <c r="M46" s="73"/>
      <c r="N46" s="73"/>
      <c r="O46" s="73"/>
      <c r="P46" s="73"/>
      <c r="Q46" s="73"/>
      <c r="R46" s="73"/>
      <c r="S46" s="73"/>
      <c r="T46" s="73"/>
      <c r="U46" s="73"/>
      <c r="V46" s="73"/>
      <c r="W46" s="73"/>
    </row>
    <row r="47" spans="1:30" x14ac:dyDescent="0.25">
      <c r="A47" s="91"/>
      <c r="C47" s="71"/>
      <c r="D47" s="73"/>
      <c r="E47" s="73"/>
      <c r="F47" s="73"/>
      <c r="G47" s="73"/>
      <c r="H47" s="73"/>
      <c r="I47" s="73"/>
      <c r="J47" s="73"/>
      <c r="K47" s="73"/>
      <c r="L47" s="73"/>
      <c r="M47" s="73"/>
      <c r="N47" s="73"/>
      <c r="O47" s="73"/>
      <c r="P47" s="73"/>
      <c r="Q47" s="73"/>
      <c r="R47" s="73"/>
      <c r="S47" s="73"/>
      <c r="T47" s="73"/>
      <c r="U47" s="73"/>
      <c r="V47" s="73"/>
      <c r="W47" s="73"/>
    </row>
    <row r="48" spans="1:30" x14ac:dyDescent="0.25">
      <c r="A48" s="63">
        <v>4</v>
      </c>
      <c r="B48" s="44" t="s">
        <v>123</v>
      </c>
      <c r="C48" s="71"/>
      <c r="D48" s="73"/>
      <c r="E48" s="73"/>
      <c r="F48" s="73"/>
      <c r="G48" s="73"/>
      <c r="H48" s="73"/>
      <c r="I48" s="73"/>
      <c r="J48" s="73"/>
      <c r="K48" s="73"/>
      <c r="L48" s="73"/>
      <c r="M48" s="73"/>
      <c r="N48" s="73"/>
      <c r="O48" s="73"/>
      <c r="P48" s="73"/>
      <c r="Q48" s="73"/>
      <c r="R48" s="73"/>
      <c r="S48" s="73"/>
      <c r="T48" s="73"/>
      <c r="U48" s="73"/>
      <c r="V48" s="73"/>
      <c r="W48" s="73"/>
    </row>
    <row r="49" spans="2:31" ht="48" customHeight="1" x14ac:dyDescent="0.25">
      <c r="B49" t="s">
        <v>124</v>
      </c>
      <c r="C49" s="498" t="s">
        <v>128</v>
      </c>
      <c r="D49" s="498"/>
      <c r="E49" s="498"/>
      <c r="F49" s="498"/>
      <c r="G49" s="73"/>
      <c r="H49" s="73"/>
      <c r="I49" s="73"/>
      <c r="J49" s="73"/>
      <c r="K49" s="73"/>
      <c r="L49" s="73"/>
      <c r="M49" s="73"/>
      <c r="N49" s="73"/>
      <c r="O49" s="73"/>
      <c r="P49" s="73"/>
      <c r="Q49" s="73"/>
      <c r="R49" s="73"/>
      <c r="S49" s="73"/>
      <c r="T49" s="73"/>
      <c r="U49" s="73"/>
      <c r="V49" s="73"/>
      <c r="W49" s="73"/>
    </row>
    <row r="50" spans="2:31" x14ac:dyDescent="0.25">
      <c r="B50" s="65"/>
      <c r="C50" s="16" t="s">
        <v>19</v>
      </c>
      <c r="D50" s="16">
        <v>1</v>
      </c>
      <c r="E50" s="16">
        <v>2</v>
      </c>
      <c r="F50" s="16">
        <v>3</v>
      </c>
      <c r="G50" s="73"/>
      <c r="H50" s="73"/>
      <c r="I50" s="73"/>
      <c r="J50" s="73"/>
      <c r="K50" s="73"/>
      <c r="L50" s="73"/>
      <c r="M50" s="73"/>
      <c r="N50" s="73"/>
      <c r="O50" s="73"/>
      <c r="P50" s="73"/>
      <c r="Q50" s="73"/>
      <c r="R50" s="73"/>
      <c r="S50" s="73"/>
      <c r="T50" s="73"/>
      <c r="U50" s="73"/>
      <c r="V50" s="73"/>
      <c r="W50" s="73"/>
    </row>
    <row r="51" spans="2:31" x14ac:dyDescent="0.25">
      <c r="B51" t="s">
        <v>80</v>
      </c>
      <c r="C51" s="63"/>
      <c r="D51" s="68">
        <f>Assumption_Hatchery!D81</f>
        <v>0</v>
      </c>
      <c r="E51" s="68">
        <f>Assumption_Hatchery!E81</f>
        <v>0</v>
      </c>
      <c r="F51" s="68">
        <f>Assumption_Hatchery!F81</f>
        <v>1</v>
      </c>
      <c r="G51" s="73"/>
      <c r="H51" s="73"/>
      <c r="I51" s="73"/>
      <c r="J51" s="73"/>
      <c r="K51" s="73"/>
      <c r="L51" s="73"/>
      <c r="M51" s="73"/>
      <c r="N51" s="73"/>
      <c r="O51" s="73"/>
      <c r="P51" s="73"/>
      <c r="Q51" s="73"/>
      <c r="R51" s="73"/>
      <c r="S51" s="73"/>
      <c r="T51" s="73"/>
      <c r="U51" s="73"/>
      <c r="V51" s="73"/>
      <c r="W51" s="73"/>
    </row>
    <row r="52" spans="2:31" x14ac:dyDescent="0.25">
      <c r="B52" t="s">
        <v>82</v>
      </c>
      <c r="C52" s="63"/>
      <c r="D52" s="139">
        <f>Assumption_Hatchery!D82</f>
        <v>0</v>
      </c>
      <c r="E52" s="139">
        <f>Assumption_Hatchery!E82</f>
        <v>0</v>
      </c>
      <c r="F52" s="139">
        <f>Assumption_Hatchery!F82</f>
        <v>0.5</v>
      </c>
      <c r="G52" s="73"/>
      <c r="H52" s="73"/>
      <c r="I52" s="73"/>
      <c r="J52" s="73"/>
      <c r="K52" s="73"/>
      <c r="L52" s="73"/>
      <c r="M52" s="73"/>
      <c r="N52" s="73"/>
      <c r="O52" s="73"/>
      <c r="P52" s="73"/>
      <c r="Q52" s="73"/>
      <c r="R52" s="73"/>
      <c r="S52" s="73"/>
      <c r="T52" s="73"/>
      <c r="U52" s="73"/>
      <c r="V52" s="73"/>
      <c r="W52" s="73"/>
    </row>
    <row r="53" spans="2:31" x14ac:dyDescent="0.25">
      <c r="C53" s="91"/>
      <c r="D53" s="71"/>
      <c r="E53" s="71"/>
      <c r="F53" s="71"/>
      <c r="G53" s="73"/>
      <c r="H53" s="73"/>
      <c r="I53" s="73"/>
      <c r="J53" s="73"/>
      <c r="K53" s="73"/>
      <c r="L53" s="73"/>
      <c r="M53" s="73"/>
      <c r="N53" s="73"/>
      <c r="O53" s="73"/>
      <c r="P53" s="73"/>
      <c r="Q53" s="73"/>
      <c r="R53" s="73"/>
      <c r="S53" s="73"/>
      <c r="T53" s="73"/>
      <c r="U53" s="73"/>
      <c r="V53" s="73"/>
      <c r="W53" s="73"/>
    </row>
    <row r="55" spans="2:31" x14ac:dyDescent="0.25">
      <c r="B55" s="65"/>
      <c r="C55" s="16" t="s">
        <v>19</v>
      </c>
      <c r="D55" s="16">
        <v>0</v>
      </c>
      <c r="E55" s="16">
        <v>1</v>
      </c>
      <c r="F55" s="16">
        <v>2</v>
      </c>
      <c r="G55" s="16">
        <v>3</v>
      </c>
      <c r="H55" s="16">
        <v>4</v>
      </c>
      <c r="I55" s="16">
        <v>5</v>
      </c>
      <c r="J55" s="16">
        <v>6</v>
      </c>
      <c r="K55" s="16">
        <v>7</v>
      </c>
      <c r="L55" s="16">
        <v>8</v>
      </c>
      <c r="M55" s="16">
        <v>9</v>
      </c>
      <c r="N55" s="16">
        <v>10</v>
      </c>
      <c r="O55" s="16">
        <v>11</v>
      </c>
      <c r="P55" s="16">
        <v>12</v>
      </c>
      <c r="Q55" s="16">
        <v>13</v>
      </c>
      <c r="R55" s="16">
        <v>14</v>
      </c>
      <c r="S55" s="16">
        <v>15</v>
      </c>
      <c r="T55" s="16">
        <v>16</v>
      </c>
      <c r="U55" s="16">
        <v>17</v>
      </c>
      <c r="V55" s="16">
        <v>18</v>
      </c>
      <c r="W55" s="16">
        <v>19</v>
      </c>
      <c r="X55" s="16">
        <v>20</v>
      </c>
      <c r="Y55" s="16">
        <v>21</v>
      </c>
      <c r="Z55" s="16">
        <v>22</v>
      </c>
      <c r="AA55" s="16">
        <v>23</v>
      </c>
      <c r="AB55" s="16">
        <v>24</v>
      </c>
      <c r="AC55" s="16">
        <v>25</v>
      </c>
    </row>
    <row r="56" spans="2:31" x14ac:dyDescent="0.25">
      <c r="B56" t="s">
        <v>80</v>
      </c>
      <c r="C56" s="63"/>
      <c r="D56" s="63"/>
      <c r="E56" s="63">
        <f>D51</f>
        <v>0</v>
      </c>
      <c r="F56" s="63">
        <f>E51</f>
        <v>0</v>
      </c>
      <c r="G56" s="63">
        <f>F51</f>
        <v>1</v>
      </c>
      <c r="H56" s="63">
        <f>D51</f>
        <v>0</v>
      </c>
      <c r="I56" s="63">
        <f t="shared" ref="I56:J56" si="10">E51</f>
        <v>0</v>
      </c>
      <c r="J56" s="63">
        <f t="shared" si="10"/>
        <v>1</v>
      </c>
      <c r="K56" s="63">
        <f>D51</f>
        <v>0</v>
      </c>
      <c r="L56" s="63">
        <f t="shared" ref="L56:M56" si="11">E51</f>
        <v>0</v>
      </c>
      <c r="M56" s="63">
        <f t="shared" si="11"/>
        <v>1</v>
      </c>
      <c r="N56" s="63">
        <f>D51</f>
        <v>0</v>
      </c>
      <c r="O56" s="63">
        <f t="shared" ref="O56:P56" si="12">E51</f>
        <v>0</v>
      </c>
      <c r="P56" s="63">
        <f t="shared" si="12"/>
        <v>1</v>
      </c>
      <c r="Q56" s="63">
        <f>D51</f>
        <v>0</v>
      </c>
      <c r="R56" s="63">
        <f t="shared" ref="R56:S56" si="13">E51</f>
        <v>0</v>
      </c>
      <c r="S56" s="63">
        <f t="shared" si="13"/>
        <v>1</v>
      </c>
      <c r="T56" s="63">
        <f>D51</f>
        <v>0</v>
      </c>
      <c r="U56" s="63">
        <f t="shared" ref="U56:V56" si="14">E51</f>
        <v>0</v>
      </c>
      <c r="V56" s="63">
        <f t="shared" si="14"/>
        <v>1</v>
      </c>
      <c r="W56" s="63">
        <f>D51</f>
        <v>0</v>
      </c>
      <c r="X56" s="63">
        <f t="shared" ref="X56:Y56" si="15">E51</f>
        <v>0</v>
      </c>
      <c r="Y56" s="63">
        <f t="shared" si="15"/>
        <v>1</v>
      </c>
      <c r="Z56" s="63">
        <f>D51</f>
        <v>0</v>
      </c>
      <c r="AA56" s="63">
        <f t="shared" ref="AA56:AB56" si="16">E51</f>
        <v>0</v>
      </c>
      <c r="AB56" s="63">
        <f t="shared" si="16"/>
        <v>1</v>
      </c>
      <c r="AC56" s="91"/>
    </row>
    <row r="57" spans="2:31" x14ac:dyDescent="0.25">
      <c r="B57" t="s">
        <v>82</v>
      </c>
      <c r="C57" s="63"/>
      <c r="D57" s="68"/>
      <c r="E57" s="58">
        <f>$D52</f>
        <v>0</v>
      </c>
      <c r="F57" s="106">
        <f>$E52</f>
        <v>0</v>
      </c>
      <c r="G57" s="106">
        <f>$F52</f>
        <v>0.5</v>
      </c>
      <c r="H57" s="58">
        <f>$D52</f>
        <v>0</v>
      </c>
      <c r="I57" s="106">
        <f>$E52</f>
        <v>0</v>
      </c>
      <c r="J57" s="106">
        <f>$F52</f>
        <v>0.5</v>
      </c>
      <c r="K57" s="58">
        <f>$D52</f>
        <v>0</v>
      </c>
      <c r="L57" s="106">
        <f>$E52</f>
        <v>0</v>
      </c>
      <c r="M57" s="106">
        <f>$F52</f>
        <v>0.5</v>
      </c>
      <c r="N57" s="58">
        <f>$D52</f>
        <v>0</v>
      </c>
      <c r="O57" s="106">
        <f>$E52</f>
        <v>0</v>
      </c>
      <c r="P57" s="106">
        <f>$F52</f>
        <v>0.5</v>
      </c>
      <c r="Q57" s="58">
        <f>$D52</f>
        <v>0</v>
      </c>
      <c r="R57" s="106">
        <f>$E52</f>
        <v>0</v>
      </c>
      <c r="S57" s="106">
        <f>$F52</f>
        <v>0.5</v>
      </c>
      <c r="T57" s="58">
        <f>$D52</f>
        <v>0</v>
      </c>
      <c r="U57" s="106">
        <f>$E52</f>
        <v>0</v>
      </c>
      <c r="V57" s="106">
        <f>$F52</f>
        <v>0.5</v>
      </c>
      <c r="W57" s="58">
        <f>$D52</f>
        <v>0</v>
      </c>
      <c r="X57" s="106">
        <f>$E52</f>
        <v>0</v>
      </c>
      <c r="Y57" s="106">
        <f>$F52</f>
        <v>0.5</v>
      </c>
      <c r="Z57" s="58">
        <f>$D52</f>
        <v>0</v>
      </c>
      <c r="AA57" s="106">
        <f>$E52</f>
        <v>0</v>
      </c>
      <c r="AB57" s="106">
        <f>$F52</f>
        <v>0.5</v>
      </c>
      <c r="AC57" s="107"/>
      <c r="AD57" s="107"/>
      <c r="AE57" s="107"/>
    </row>
    <row r="58" spans="2:31" x14ac:dyDescent="0.25">
      <c r="C58" s="91"/>
      <c r="D58" s="71"/>
      <c r="E58" s="71"/>
      <c r="F58" s="71"/>
      <c r="G58" s="71"/>
      <c r="H58" s="71"/>
      <c r="I58" s="71"/>
      <c r="J58" s="71"/>
      <c r="K58" s="71"/>
      <c r="L58" s="71"/>
      <c r="M58" s="71"/>
      <c r="N58" s="71"/>
      <c r="O58" s="71"/>
      <c r="P58" s="71"/>
      <c r="Q58" s="71"/>
      <c r="R58" s="71"/>
      <c r="S58" s="71"/>
      <c r="T58" s="71"/>
      <c r="U58" s="71"/>
      <c r="V58" s="71"/>
      <c r="W58" s="71"/>
      <c r="X58" s="71"/>
      <c r="Y58" s="105"/>
      <c r="Z58" s="105"/>
      <c r="AA58" s="105"/>
      <c r="AB58" s="105"/>
      <c r="AC58" s="105"/>
      <c r="AD58" s="105"/>
    </row>
    <row r="59" spans="2:31" x14ac:dyDescent="0.25">
      <c r="C59" s="91"/>
      <c r="D59" s="104"/>
      <c r="E59" s="104"/>
      <c r="F59" s="104"/>
      <c r="G59" s="104"/>
      <c r="H59" s="104"/>
      <c r="I59" s="104"/>
      <c r="J59" s="104"/>
      <c r="K59" s="104"/>
      <c r="L59" s="104"/>
      <c r="M59" s="104"/>
      <c r="N59" s="104"/>
      <c r="O59" s="104"/>
      <c r="P59" s="104"/>
      <c r="Q59" s="104"/>
      <c r="R59" s="104"/>
      <c r="S59" s="104"/>
      <c r="T59" s="104"/>
      <c r="U59" s="104"/>
      <c r="V59" s="104"/>
      <c r="W59" s="104"/>
      <c r="X59" s="104"/>
    </row>
    <row r="60" spans="2:31" x14ac:dyDescent="0.25">
      <c r="C60" s="91"/>
      <c r="D60" s="104"/>
      <c r="E60" s="104"/>
      <c r="F60" s="104"/>
      <c r="G60" s="104"/>
      <c r="H60" s="104"/>
      <c r="I60" s="104"/>
      <c r="J60" s="104"/>
      <c r="K60" s="104"/>
      <c r="L60" s="104"/>
      <c r="M60" s="104"/>
      <c r="N60" s="104"/>
      <c r="O60" s="104"/>
      <c r="P60" s="104"/>
      <c r="Q60" s="104"/>
      <c r="R60" s="104"/>
      <c r="S60" s="104"/>
      <c r="T60" s="104"/>
      <c r="U60" s="104"/>
      <c r="V60" s="104"/>
      <c r="W60" s="104"/>
      <c r="X60" s="104"/>
    </row>
    <row r="61" spans="2:31" x14ac:dyDescent="0.25">
      <c r="B61" s="44" t="s">
        <v>125</v>
      </c>
      <c r="C61" s="91"/>
      <c r="D61" s="104"/>
      <c r="E61" s="104"/>
      <c r="F61" s="104"/>
      <c r="G61" s="104"/>
      <c r="H61" s="104"/>
      <c r="I61" s="104"/>
      <c r="J61" s="104"/>
      <c r="K61" s="104"/>
      <c r="L61" s="104"/>
      <c r="M61" s="104"/>
      <c r="N61" s="104"/>
      <c r="O61" s="104"/>
      <c r="P61" s="104"/>
      <c r="Q61" s="104"/>
      <c r="R61" s="104"/>
      <c r="S61" s="104"/>
      <c r="T61" s="104"/>
      <c r="U61" s="104"/>
      <c r="V61" s="104"/>
      <c r="W61" s="104"/>
      <c r="X61" s="104"/>
    </row>
    <row r="62" spans="2:31" x14ac:dyDescent="0.25">
      <c r="C62" s="91"/>
      <c r="D62" s="104"/>
      <c r="E62" s="104"/>
      <c r="F62" s="104"/>
      <c r="G62" s="104"/>
      <c r="H62" s="104"/>
      <c r="I62" s="104"/>
      <c r="J62" s="104"/>
      <c r="K62" s="104"/>
      <c r="L62" s="104"/>
      <c r="M62" s="104"/>
      <c r="N62" s="104"/>
      <c r="O62" s="104"/>
      <c r="P62" s="104"/>
      <c r="Q62" s="104"/>
      <c r="R62" s="104"/>
      <c r="S62" s="104"/>
      <c r="T62" s="104"/>
      <c r="U62" s="104"/>
      <c r="V62" s="104"/>
      <c r="W62" s="104"/>
      <c r="X62" s="104"/>
    </row>
    <row r="63" spans="2:31" ht="38.450000000000003" customHeight="1" x14ac:dyDescent="0.25">
      <c r="B63" t="s">
        <v>124</v>
      </c>
      <c r="C63" s="498" t="s">
        <v>127</v>
      </c>
      <c r="D63" s="498"/>
      <c r="E63" s="498"/>
      <c r="F63" s="498"/>
      <c r="G63" s="73"/>
      <c r="H63" s="73"/>
      <c r="I63" s="73"/>
      <c r="J63" s="73"/>
      <c r="K63" s="73"/>
      <c r="L63" s="73"/>
      <c r="M63" s="73"/>
      <c r="N63" s="73"/>
      <c r="O63" s="73"/>
      <c r="P63" s="73"/>
      <c r="Q63" s="73"/>
      <c r="R63" s="73"/>
      <c r="S63" s="73"/>
      <c r="T63" s="73"/>
      <c r="U63" s="73"/>
      <c r="V63" s="73"/>
      <c r="W63" s="73"/>
    </row>
    <row r="64" spans="2:31" x14ac:dyDescent="0.25">
      <c r="B64" s="65"/>
      <c r="C64" s="16" t="s">
        <v>19</v>
      </c>
      <c r="D64" s="16">
        <v>1</v>
      </c>
      <c r="E64" s="16">
        <v>2</v>
      </c>
      <c r="F64" s="16">
        <v>3</v>
      </c>
      <c r="G64" s="73"/>
      <c r="H64" s="73"/>
      <c r="I64" s="73"/>
      <c r="J64" s="73"/>
      <c r="K64" s="73"/>
      <c r="L64" s="73"/>
      <c r="M64" s="73"/>
      <c r="N64" s="73"/>
      <c r="O64" s="73"/>
      <c r="P64" s="73"/>
      <c r="Q64" s="73"/>
      <c r="R64" s="73"/>
      <c r="S64" s="73"/>
      <c r="T64" s="73"/>
      <c r="U64" s="73"/>
      <c r="V64" s="73"/>
      <c r="W64" s="73"/>
    </row>
    <row r="65" spans="2:31" x14ac:dyDescent="0.25">
      <c r="B65" t="s">
        <v>80</v>
      </c>
      <c r="C65" s="63"/>
      <c r="D65" s="68">
        <f>Assumption_Hatchery!D95</f>
        <v>0</v>
      </c>
      <c r="E65" s="68">
        <f>Assumption_Hatchery!E95</f>
        <v>0</v>
      </c>
      <c r="F65" s="68">
        <f>Assumption_Hatchery!F95</f>
        <v>1</v>
      </c>
      <c r="G65" s="73"/>
      <c r="H65" s="73"/>
      <c r="I65" s="73"/>
      <c r="J65" s="73"/>
      <c r="K65" s="73"/>
      <c r="L65" s="73"/>
      <c r="M65" s="73"/>
      <c r="N65" s="73"/>
      <c r="O65" s="73"/>
      <c r="P65" s="73"/>
      <c r="Q65" s="73"/>
      <c r="R65" s="73"/>
      <c r="S65" s="73"/>
      <c r="T65" s="73"/>
      <c r="U65" s="73"/>
      <c r="V65" s="73"/>
      <c r="W65" s="73"/>
    </row>
    <row r="66" spans="2:31" x14ac:dyDescent="0.25">
      <c r="B66" t="s">
        <v>82</v>
      </c>
      <c r="C66" s="63"/>
      <c r="D66" s="139">
        <f>Assumption_Hatchery!D96</f>
        <v>0</v>
      </c>
      <c r="E66" s="139">
        <f>Assumption_Hatchery!E96</f>
        <v>0</v>
      </c>
      <c r="F66" s="139">
        <f>Assumption_Hatchery!F96</f>
        <v>0.5</v>
      </c>
      <c r="G66" s="73"/>
      <c r="H66" s="73"/>
      <c r="I66" s="73"/>
      <c r="J66" s="73"/>
      <c r="K66" s="73"/>
      <c r="L66" s="73"/>
      <c r="M66" s="73"/>
      <c r="N66" s="73"/>
      <c r="O66" s="73"/>
      <c r="P66" s="73"/>
      <c r="Q66" s="73"/>
      <c r="R66" s="73"/>
      <c r="S66" s="73"/>
      <c r="T66" s="73"/>
      <c r="U66" s="73"/>
      <c r="V66" s="73"/>
      <c r="W66" s="73"/>
    </row>
    <row r="67" spans="2:31" x14ac:dyDescent="0.25">
      <c r="C67" s="91"/>
      <c r="D67" s="71"/>
      <c r="E67" s="71"/>
      <c r="F67" s="71"/>
      <c r="G67" s="73"/>
      <c r="H67" s="73"/>
      <c r="I67" s="73"/>
      <c r="J67" s="73"/>
      <c r="K67" s="73"/>
      <c r="L67" s="73"/>
      <c r="M67" s="73"/>
      <c r="N67" s="73"/>
      <c r="O67" s="73"/>
      <c r="P67" s="73"/>
      <c r="Q67" s="73"/>
      <c r="R67" s="73"/>
      <c r="S67" s="73"/>
      <c r="T67" s="73"/>
      <c r="U67" s="73"/>
      <c r="V67" s="73"/>
      <c r="W67" s="73"/>
    </row>
    <row r="69" spans="2:31" x14ac:dyDescent="0.25">
      <c r="B69" s="65"/>
      <c r="C69" s="16" t="s">
        <v>19</v>
      </c>
      <c r="D69" s="16">
        <v>0</v>
      </c>
      <c r="E69" s="16">
        <v>1</v>
      </c>
      <c r="F69" s="16">
        <v>2</v>
      </c>
      <c r="G69" s="16">
        <v>3</v>
      </c>
      <c r="H69" s="16">
        <v>4</v>
      </c>
      <c r="I69" s="16">
        <v>5</v>
      </c>
      <c r="J69" s="16">
        <v>6</v>
      </c>
      <c r="K69" s="16">
        <v>7</v>
      </c>
      <c r="L69" s="16">
        <v>8</v>
      </c>
      <c r="M69" s="16">
        <v>9</v>
      </c>
      <c r="N69" s="16">
        <v>10</v>
      </c>
      <c r="O69" s="16">
        <v>11</v>
      </c>
      <c r="P69" s="16">
        <v>12</v>
      </c>
      <c r="Q69" s="16">
        <v>13</v>
      </c>
      <c r="R69" s="16">
        <v>14</v>
      </c>
      <c r="S69" s="16">
        <v>15</v>
      </c>
      <c r="T69" s="16">
        <v>16</v>
      </c>
      <c r="U69" s="16">
        <v>17</v>
      </c>
      <c r="V69" s="16">
        <v>18</v>
      </c>
      <c r="W69" s="16">
        <v>19</v>
      </c>
      <c r="X69" s="16">
        <v>20</v>
      </c>
      <c r="Y69" s="16">
        <v>21</v>
      </c>
      <c r="Z69" s="16">
        <v>22</v>
      </c>
      <c r="AA69" s="16">
        <v>23</v>
      </c>
      <c r="AB69" s="16">
        <v>24</v>
      </c>
      <c r="AC69" s="16">
        <v>25</v>
      </c>
    </row>
    <row r="70" spans="2:31" x14ac:dyDescent="0.25">
      <c r="B70" t="s">
        <v>80</v>
      </c>
      <c r="C70" s="63"/>
      <c r="D70" s="63"/>
      <c r="E70" s="63">
        <f>D65</f>
        <v>0</v>
      </c>
      <c r="F70" s="63">
        <f>E65</f>
        <v>0</v>
      </c>
      <c r="G70" s="63">
        <f>F65</f>
        <v>1</v>
      </c>
      <c r="H70" s="63">
        <f>D65</f>
        <v>0</v>
      </c>
      <c r="I70" s="63">
        <f t="shared" ref="I70:J70" si="17">E65</f>
        <v>0</v>
      </c>
      <c r="J70" s="63">
        <f t="shared" si="17"/>
        <v>1</v>
      </c>
      <c r="K70" s="63">
        <f>D65</f>
        <v>0</v>
      </c>
      <c r="L70" s="63">
        <f t="shared" ref="L70:M70" si="18">E65</f>
        <v>0</v>
      </c>
      <c r="M70" s="63">
        <f t="shared" si="18"/>
        <v>1</v>
      </c>
      <c r="N70" s="63">
        <f>D65</f>
        <v>0</v>
      </c>
      <c r="O70" s="63">
        <f t="shared" ref="O70:P70" si="19">E65</f>
        <v>0</v>
      </c>
      <c r="P70" s="63">
        <f t="shared" si="19"/>
        <v>1</v>
      </c>
      <c r="Q70" s="63">
        <f>D65</f>
        <v>0</v>
      </c>
      <c r="R70" s="63">
        <f t="shared" ref="R70:S70" si="20">E65</f>
        <v>0</v>
      </c>
      <c r="S70" s="63">
        <f t="shared" si="20"/>
        <v>1</v>
      </c>
      <c r="T70" s="63">
        <f>D65</f>
        <v>0</v>
      </c>
      <c r="U70" s="63">
        <f t="shared" ref="U70:V70" si="21">E65</f>
        <v>0</v>
      </c>
      <c r="V70" s="63">
        <f t="shared" si="21"/>
        <v>1</v>
      </c>
      <c r="W70" s="63">
        <f>D65</f>
        <v>0</v>
      </c>
      <c r="X70" s="63">
        <f t="shared" ref="X70:Y70" si="22">E65</f>
        <v>0</v>
      </c>
      <c r="Y70" s="63">
        <f t="shared" si="22"/>
        <v>1</v>
      </c>
      <c r="Z70" s="63">
        <f>D65</f>
        <v>0</v>
      </c>
      <c r="AA70" s="63">
        <f t="shared" ref="AA70:AB70" si="23">E65</f>
        <v>0</v>
      </c>
      <c r="AB70" s="63">
        <f t="shared" si="23"/>
        <v>1</v>
      </c>
      <c r="AC70" s="91"/>
    </row>
    <row r="71" spans="2:31" x14ac:dyDescent="0.25">
      <c r="B71" t="s">
        <v>82</v>
      </c>
      <c r="C71" s="63"/>
      <c r="D71" s="68"/>
      <c r="E71" s="58">
        <f>$D66</f>
        <v>0</v>
      </c>
      <c r="F71" s="106">
        <f>$E66</f>
        <v>0</v>
      </c>
      <c r="G71" s="106">
        <f>$F66</f>
        <v>0.5</v>
      </c>
      <c r="H71" s="58">
        <f>$D66</f>
        <v>0</v>
      </c>
      <c r="I71" s="106">
        <f>$E66</f>
        <v>0</v>
      </c>
      <c r="J71" s="106">
        <f>$F66</f>
        <v>0.5</v>
      </c>
      <c r="K71" s="58">
        <f>$D66</f>
        <v>0</v>
      </c>
      <c r="L71" s="106">
        <f>$E66</f>
        <v>0</v>
      </c>
      <c r="M71" s="106">
        <f>$F66</f>
        <v>0.5</v>
      </c>
      <c r="N71" s="58">
        <f>$D66</f>
        <v>0</v>
      </c>
      <c r="O71" s="106">
        <f>$E66</f>
        <v>0</v>
      </c>
      <c r="P71" s="106">
        <f>$F66</f>
        <v>0.5</v>
      </c>
      <c r="Q71" s="58">
        <f>$D66</f>
        <v>0</v>
      </c>
      <c r="R71" s="106">
        <f>$E66</f>
        <v>0</v>
      </c>
      <c r="S71" s="106">
        <f>$F66</f>
        <v>0.5</v>
      </c>
      <c r="T71" s="58">
        <f>$D66</f>
        <v>0</v>
      </c>
      <c r="U71" s="106">
        <f>$E66</f>
        <v>0</v>
      </c>
      <c r="V71" s="106">
        <f>$F66</f>
        <v>0.5</v>
      </c>
      <c r="W71" s="58">
        <f>$D66</f>
        <v>0</v>
      </c>
      <c r="X71" s="106">
        <f>$E66</f>
        <v>0</v>
      </c>
      <c r="Y71" s="106">
        <f>$F66</f>
        <v>0.5</v>
      </c>
      <c r="Z71" s="58">
        <f>$D66</f>
        <v>0</v>
      </c>
      <c r="AA71" s="106">
        <f>$E66</f>
        <v>0</v>
      </c>
      <c r="AB71" s="106">
        <f>$F66</f>
        <v>0.5</v>
      </c>
      <c r="AC71" s="107"/>
      <c r="AD71" s="107"/>
      <c r="AE71" s="107"/>
    </row>
    <row r="72" spans="2:31" x14ac:dyDescent="0.25">
      <c r="C72" s="91"/>
      <c r="D72" s="104"/>
      <c r="E72" s="104"/>
      <c r="F72" s="104"/>
      <c r="G72" s="104"/>
      <c r="H72" s="104"/>
      <c r="I72" s="104"/>
      <c r="J72" s="104"/>
      <c r="K72" s="104"/>
      <c r="L72" s="104"/>
      <c r="M72" s="104"/>
      <c r="N72" s="104"/>
      <c r="O72" s="104"/>
      <c r="P72" s="104"/>
      <c r="Q72" s="104"/>
      <c r="R72" s="104"/>
      <c r="S72" s="104"/>
      <c r="T72" s="104"/>
      <c r="U72" s="104"/>
      <c r="V72" s="104"/>
      <c r="W72" s="104"/>
      <c r="X72" s="104"/>
    </row>
    <row r="73" spans="2:31" x14ac:dyDescent="0.25">
      <c r="B73" s="44" t="s">
        <v>126</v>
      </c>
      <c r="C73" s="91"/>
      <c r="D73" s="104"/>
      <c r="E73" s="104"/>
      <c r="F73" s="104"/>
      <c r="G73" s="104"/>
      <c r="H73" s="104"/>
      <c r="I73" s="104"/>
      <c r="J73" s="104"/>
      <c r="K73" s="104"/>
      <c r="L73" s="104"/>
      <c r="M73" s="104"/>
      <c r="N73" s="104"/>
      <c r="O73" s="104"/>
      <c r="P73" s="104"/>
      <c r="Q73" s="104"/>
      <c r="R73" s="104"/>
      <c r="S73" s="104"/>
      <c r="T73" s="104"/>
      <c r="U73" s="104"/>
      <c r="V73" s="104"/>
      <c r="W73" s="104"/>
      <c r="X73" s="104"/>
    </row>
    <row r="74" spans="2:31" x14ac:dyDescent="0.25">
      <c r="C74" s="91"/>
      <c r="D74" s="104"/>
      <c r="E74" s="104"/>
      <c r="F74" s="104"/>
      <c r="G74" s="104"/>
      <c r="H74" s="104"/>
      <c r="I74" s="104"/>
      <c r="J74" s="104"/>
      <c r="K74" s="104"/>
      <c r="L74" s="104"/>
      <c r="M74" s="104"/>
      <c r="N74" s="104"/>
      <c r="O74" s="104"/>
      <c r="P74" s="104"/>
      <c r="Q74" s="104"/>
      <c r="R74" s="104"/>
      <c r="S74" s="104"/>
      <c r="T74" s="104"/>
      <c r="U74" s="104"/>
      <c r="V74" s="104"/>
      <c r="W74" s="104"/>
      <c r="X74" s="104"/>
    </row>
    <row r="75" spans="2:31" ht="28.15" customHeight="1" x14ac:dyDescent="0.25">
      <c r="B75" t="s">
        <v>124</v>
      </c>
      <c r="C75" s="498" t="s">
        <v>127</v>
      </c>
      <c r="D75" s="498"/>
      <c r="E75" s="498"/>
      <c r="F75" s="498"/>
      <c r="G75" s="73"/>
      <c r="H75" s="73"/>
      <c r="I75" s="73"/>
      <c r="J75" s="73"/>
      <c r="K75" s="73"/>
      <c r="L75" s="73"/>
      <c r="M75" s="73"/>
      <c r="N75" s="73"/>
      <c r="O75" s="73"/>
      <c r="P75" s="73"/>
      <c r="Q75" s="73"/>
      <c r="R75" s="73"/>
      <c r="S75" s="73"/>
      <c r="T75" s="73"/>
      <c r="U75" s="73"/>
      <c r="V75" s="73"/>
      <c r="W75" s="73"/>
    </row>
    <row r="76" spans="2:31" x14ac:dyDescent="0.25">
      <c r="B76" s="65"/>
      <c r="C76" s="16" t="s">
        <v>19</v>
      </c>
      <c r="D76" s="16">
        <v>1</v>
      </c>
      <c r="E76" s="16">
        <v>2</v>
      </c>
      <c r="F76" s="16">
        <v>3</v>
      </c>
      <c r="G76" s="73"/>
      <c r="H76" s="73"/>
      <c r="I76" s="73"/>
      <c r="J76" s="73"/>
      <c r="K76" s="73"/>
      <c r="L76" s="73"/>
      <c r="M76" s="73"/>
      <c r="N76" s="73"/>
      <c r="O76" s="73"/>
      <c r="P76" s="73"/>
      <c r="Q76" s="73"/>
      <c r="R76" s="73"/>
      <c r="S76" s="73"/>
      <c r="T76" s="73"/>
      <c r="U76" s="73"/>
      <c r="V76" s="73"/>
      <c r="W76" s="73"/>
    </row>
    <row r="77" spans="2:31" x14ac:dyDescent="0.25">
      <c r="B77" t="s">
        <v>80</v>
      </c>
      <c r="C77" s="63"/>
      <c r="D77" s="68">
        <f>Assumption_Hatchery!D107</f>
        <v>0</v>
      </c>
      <c r="E77" s="68">
        <f>Assumption_Hatchery!E107</f>
        <v>0</v>
      </c>
      <c r="F77" s="68">
        <f>Assumption_Hatchery!F107</f>
        <v>1</v>
      </c>
      <c r="G77" s="73"/>
      <c r="H77" s="73"/>
      <c r="I77" s="73"/>
      <c r="J77" s="73"/>
      <c r="K77" s="73"/>
      <c r="L77" s="73"/>
      <c r="M77" s="73"/>
      <c r="N77" s="73"/>
      <c r="O77" s="73"/>
      <c r="P77" s="73"/>
      <c r="Q77" s="73"/>
      <c r="R77" s="73"/>
      <c r="S77" s="73"/>
      <c r="T77" s="73"/>
      <c r="U77" s="73"/>
      <c r="V77" s="73"/>
      <c r="W77" s="73"/>
    </row>
    <row r="78" spans="2:31" x14ac:dyDescent="0.25">
      <c r="B78" t="s">
        <v>82</v>
      </c>
      <c r="C78" s="63"/>
      <c r="D78" s="139">
        <f>Assumption_Hatchery!D108</f>
        <v>0</v>
      </c>
      <c r="E78" s="139">
        <f>Assumption_Hatchery!E108</f>
        <v>0</v>
      </c>
      <c r="F78" s="139">
        <f>Assumption_Hatchery!F108</f>
        <v>0.5</v>
      </c>
      <c r="G78" s="73"/>
      <c r="H78" s="73"/>
      <c r="I78" s="73"/>
      <c r="J78" s="73"/>
      <c r="K78" s="73"/>
      <c r="L78" s="73"/>
      <c r="M78" s="73"/>
      <c r="N78" s="73"/>
      <c r="O78" s="73"/>
      <c r="P78" s="73"/>
      <c r="Q78" s="73"/>
      <c r="R78" s="73"/>
      <c r="S78" s="73"/>
      <c r="T78" s="73"/>
      <c r="U78" s="73"/>
      <c r="V78" s="73"/>
      <c r="W78" s="73"/>
    </row>
    <row r="79" spans="2:31" x14ac:dyDescent="0.25">
      <c r="C79" s="91"/>
      <c r="D79" s="71"/>
      <c r="E79" s="71"/>
      <c r="F79" s="71"/>
      <c r="G79" s="73"/>
      <c r="H79" s="73"/>
      <c r="I79" s="73"/>
      <c r="J79" s="73"/>
      <c r="K79" s="73"/>
      <c r="L79" s="73"/>
      <c r="M79" s="73"/>
      <c r="N79" s="73"/>
      <c r="O79" s="73"/>
      <c r="P79" s="73"/>
      <c r="Q79" s="73"/>
      <c r="R79" s="73"/>
      <c r="S79" s="73"/>
      <c r="T79" s="73"/>
      <c r="U79" s="73"/>
      <c r="V79" s="73"/>
      <c r="W79" s="73"/>
    </row>
    <row r="81" spans="1:31" x14ac:dyDescent="0.25">
      <c r="B81" s="65"/>
      <c r="C81" s="16" t="s">
        <v>19</v>
      </c>
      <c r="D81" s="16">
        <v>0</v>
      </c>
      <c r="E81" s="16">
        <v>1</v>
      </c>
      <c r="F81" s="16">
        <v>2</v>
      </c>
      <c r="G81" s="16">
        <v>3</v>
      </c>
      <c r="H81" s="16">
        <v>4</v>
      </c>
      <c r="I81" s="16">
        <v>5</v>
      </c>
      <c r="J81" s="16">
        <v>6</v>
      </c>
      <c r="K81" s="16">
        <v>7</v>
      </c>
      <c r="L81" s="16">
        <v>8</v>
      </c>
      <c r="M81" s="16">
        <v>9</v>
      </c>
      <c r="N81" s="16">
        <v>10</v>
      </c>
      <c r="O81" s="16">
        <v>11</v>
      </c>
      <c r="P81" s="16">
        <v>12</v>
      </c>
      <c r="Q81" s="16">
        <v>13</v>
      </c>
      <c r="R81" s="16">
        <v>14</v>
      </c>
      <c r="S81" s="16">
        <v>15</v>
      </c>
      <c r="T81" s="16">
        <v>16</v>
      </c>
      <c r="U81" s="16">
        <v>17</v>
      </c>
      <c r="V81" s="16">
        <v>18</v>
      </c>
      <c r="W81" s="16">
        <v>19</v>
      </c>
      <c r="X81" s="16">
        <v>20</v>
      </c>
      <c r="Y81" s="16">
        <v>21</v>
      </c>
      <c r="Z81" s="16">
        <v>22</v>
      </c>
      <c r="AA81" s="16">
        <v>23</v>
      </c>
      <c r="AB81" s="16">
        <v>24</v>
      </c>
      <c r="AC81" s="15"/>
    </row>
    <row r="82" spans="1:31" x14ac:dyDescent="0.25">
      <c r="B82" t="s">
        <v>80</v>
      </c>
      <c r="C82" s="63"/>
      <c r="D82" s="63"/>
      <c r="E82" s="63">
        <f>D77</f>
        <v>0</v>
      </c>
      <c r="F82" s="63">
        <f>E77</f>
        <v>0</v>
      </c>
      <c r="G82" s="63">
        <f>F77</f>
        <v>1</v>
      </c>
      <c r="H82" s="63">
        <f>D77</f>
        <v>0</v>
      </c>
      <c r="I82" s="63">
        <f t="shared" ref="I82:J82" si="24">E77</f>
        <v>0</v>
      </c>
      <c r="J82" s="63">
        <f t="shared" si="24"/>
        <v>1</v>
      </c>
      <c r="K82" s="63">
        <f>D77</f>
        <v>0</v>
      </c>
      <c r="L82" s="63">
        <f t="shared" ref="L82:M82" si="25">E77</f>
        <v>0</v>
      </c>
      <c r="M82" s="63">
        <f t="shared" si="25"/>
        <v>1</v>
      </c>
      <c r="N82" s="63">
        <f>D77</f>
        <v>0</v>
      </c>
      <c r="O82" s="63">
        <f t="shared" ref="O82:P82" si="26">E77</f>
        <v>0</v>
      </c>
      <c r="P82" s="63">
        <f t="shared" si="26"/>
        <v>1</v>
      </c>
      <c r="Q82" s="63">
        <f>D77</f>
        <v>0</v>
      </c>
      <c r="R82" s="63">
        <f t="shared" ref="R82:S82" si="27">E77</f>
        <v>0</v>
      </c>
      <c r="S82" s="63">
        <f t="shared" si="27"/>
        <v>1</v>
      </c>
      <c r="T82" s="63">
        <f>D77</f>
        <v>0</v>
      </c>
      <c r="U82" s="63">
        <f t="shared" ref="U82:V82" si="28">E77</f>
        <v>0</v>
      </c>
      <c r="V82" s="63">
        <f t="shared" si="28"/>
        <v>1</v>
      </c>
      <c r="W82" s="63">
        <f>D77</f>
        <v>0</v>
      </c>
      <c r="X82" s="63">
        <f t="shared" ref="X82:Y82" si="29">E77</f>
        <v>0</v>
      </c>
      <c r="Y82" s="63">
        <f t="shared" si="29"/>
        <v>1</v>
      </c>
      <c r="Z82" s="63">
        <f>D77</f>
        <v>0</v>
      </c>
      <c r="AA82" s="63">
        <f t="shared" ref="AA82:AB82" si="30">E77</f>
        <v>0</v>
      </c>
      <c r="AB82" s="63">
        <f t="shared" si="30"/>
        <v>1</v>
      </c>
      <c r="AC82" s="91"/>
    </row>
    <row r="83" spans="1:31" x14ac:dyDescent="0.25">
      <c r="B83" t="s">
        <v>82</v>
      </c>
      <c r="C83" s="63"/>
      <c r="D83" s="68"/>
      <c r="E83" s="58">
        <f>$D78</f>
        <v>0</v>
      </c>
      <c r="F83" s="106">
        <f>$E78</f>
        <v>0</v>
      </c>
      <c r="G83" s="106">
        <f>$F78</f>
        <v>0.5</v>
      </c>
      <c r="H83" s="58">
        <f>$D78</f>
        <v>0</v>
      </c>
      <c r="I83" s="106">
        <f>$E78</f>
        <v>0</v>
      </c>
      <c r="J83" s="106">
        <f>$F78</f>
        <v>0.5</v>
      </c>
      <c r="K83" s="58">
        <f>$D78</f>
        <v>0</v>
      </c>
      <c r="L83" s="106">
        <f>$E78</f>
        <v>0</v>
      </c>
      <c r="M83" s="106">
        <f>$F78</f>
        <v>0.5</v>
      </c>
      <c r="N83" s="58">
        <f>$D78</f>
        <v>0</v>
      </c>
      <c r="O83" s="106">
        <f>$E78</f>
        <v>0</v>
      </c>
      <c r="P83" s="106">
        <f>$F78</f>
        <v>0.5</v>
      </c>
      <c r="Q83" s="58">
        <f>$D78</f>
        <v>0</v>
      </c>
      <c r="R83" s="106">
        <f>$E78</f>
        <v>0</v>
      </c>
      <c r="S83" s="106">
        <f>$F78</f>
        <v>0.5</v>
      </c>
      <c r="T83" s="58">
        <f>$D78</f>
        <v>0</v>
      </c>
      <c r="U83" s="106">
        <f>$E78</f>
        <v>0</v>
      </c>
      <c r="V83" s="106">
        <f>$F78</f>
        <v>0.5</v>
      </c>
      <c r="W83" s="58">
        <f>$D78</f>
        <v>0</v>
      </c>
      <c r="X83" s="106">
        <f>$E78</f>
        <v>0</v>
      </c>
      <c r="Y83" s="106">
        <f>$F78</f>
        <v>0.5</v>
      </c>
      <c r="Z83" s="58">
        <f>$D78</f>
        <v>0</v>
      </c>
      <c r="AA83" s="106">
        <f>$E78</f>
        <v>0</v>
      </c>
      <c r="AB83" s="106">
        <f>$F78</f>
        <v>0.5</v>
      </c>
      <c r="AC83" s="107"/>
      <c r="AD83" s="107"/>
      <c r="AE83" s="107"/>
    </row>
    <row r="84" spans="1:31" x14ac:dyDescent="0.25">
      <c r="C84" s="91"/>
      <c r="D84" s="104"/>
      <c r="E84" s="104"/>
      <c r="F84" s="104"/>
      <c r="G84" s="104"/>
      <c r="H84" s="104"/>
      <c r="I84" s="104"/>
      <c r="J84" s="104"/>
      <c r="K84" s="104"/>
      <c r="L84" s="104"/>
      <c r="M84" s="104"/>
      <c r="N84" s="104"/>
      <c r="O84" s="104"/>
      <c r="P84" s="104"/>
      <c r="Q84" s="104"/>
      <c r="R84" s="104"/>
      <c r="S84" s="104"/>
      <c r="T84" s="104"/>
      <c r="U84" s="104"/>
      <c r="V84" s="104"/>
      <c r="W84" s="104"/>
      <c r="X84" s="104"/>
    </row>
    <row r="85" spans="1:31" ht="15.75" x14ac:dyDescent="0.25">
      <c r="A85" s="63">
        <v>5</v>
      </c>
      <c r="B85" s="340" t="s">
        <v>341</v>
      </c>
      <c r="C85" s="91"/>
      <c r="D85" s="104"/>
      <c r="E85" s="104"/>
      <c r="F85" s="104"/>
      <c r="G85" s="104"/>
      <c r="H85" s="104"/>
      <c r="I85" s="104"/>
      <c r="J85" s="104"/>
      <c r="K85" s="104"/>
      <c r="L85" s="104"/>
      <c r="M85" s="104"/>
      <c r="N85" s="104"/>
      <c r="O85" s="104"/>
      <c r="P85" s="104"/>
      <c r="Q85" s="104"/>
      <c r="R85" s="104"/>
      <c r="S85" s="104"/>
      <c r="T85" s="104"/>
      <c r="U85" s="104"/>
      <c r="V85" s="104"/>
      <c r="W85" s="104"/>
      <c r="X85" s="104"/>
    </row>
    <row r="86" spans="1:31" x14ac:dyDescent="0.25">
      <c r="C86" s="91"/>
      <c r="D86" s="104"/>
      <c r="E86" s="104"/>
      <c r="F86" s="104"/>
      <c r="G86" s="104"/>
      <c r="H86" s="104"/>
      <c r="I86" s="104"/>
      <c r="J86" s="104"/>
      <c r="K86" s="104"/>
      <c r="L86" s="104"/>
      <c r="M86" s="104"/>
      <c r="N86" s="104"/>
      <c r="O86" s="104"/>
      <c r="P86" s="104"/>
      <c r="Q86" s="104"/>
      <c r="R86" s="104"/>
      <c r="S86" s="104"/>
      <c r="T86" s="104"/>
      <c r="U86" s="104"/>
      <c r="V86" s="104"/>
      <c r="W86" s="104"/>
      <c r="X86" s="104"/>
    </row>
    <row r="87" spans="1:31" x14ac:dyDescent="0.25">
      <c r="C87" s="91"/>
      <c r="D87" s="104"/>
      <c r="E87" s="104"/>
      <c r="F87" s="104"/>
      <c r="G87" s="104"/>
      <c r="H87" s="104"/>
      <c r="I87" s="104"/>
      <c r="J87" s="104"/>
      <c r="K87" s="104"/>
      <c r="L87" s="104"/>
      <c r="M87" s="104"/>
      <c r="N87" s="104"/>
      <c r="O87" s="104"/>
      <c r="P87" s="104"/>
      <c r="Q87" s="104"/>
      <c r="R87" s="104"/>
      <c r="S87" s="104"/>
      <c r="T87" s="104"/>
      <c r="U87" s="104"/>
      <c r="V87" s="104"/>
      <c r="W87" s="104"/>
      <c r="X87" s="104"/>
    </row>
    <row r="88" spans="1:31" x14ac:dyDescent="0.25">
      <c r="B88" s="17" t="s">
        <v>3</v>
      </c>
      <c r="C88" s="13" t="s">
        <v>4</v>
      </c>
      <c r="D88" s="20" t="s">
        <v>5</v>
      </c>
      <c r="E88" s="484" t="s">
        <v>6</v>
      </c>
      <c r="F88" s="484"/>
      <c r="G88" s="484"/>
      <c r="H88" s="484"/>
      <c r="J88" s="104"/>
      <c r="K88" s="104"/>
      <c r="L88" s="104"/>
      <c r="M88" s="104"/>
      <c r="N88" s="104"/>
      <c r="O88" s="104"/>
      <c r="P88" s="104"/>
      <c r="Q88" s="104"/>
      <c r="R88" s="104"/>
      <c r="S88" s="104"/>
      <c r="T88" s="104"/>
      <c r="U88" s="104"/>
      <c r="V88" s="104"/>
      <c r="W88" s="104"/>
      <c r="X88" s="104"/>
    </row>
    <row r="89" spans="1:31" x14ac:dyDescent="0.25">
      <c r="B89" s="2" t="s">
        <v>359</v>
      </c>
      <c r="C89" s="191">
        <f>(C97/C122)*(1-0.15)</f>
        <v>95.625</v>
      </c>
      <c r="D89" s="28" t="s">
        <v>194</v>
      </c>
      <c r="E89" s="500" t="s">
        <v>165</v>
      </c>
      <c r="F89" s="500"/>
      <c r="G89" s="500"/>
      <c r="H89" s="500"/>
      <c r="J89" s="104"/>
      <c r="K89" s="104"/>
      <c r="L89" s="104"/>
      <c r="M89" s="104"/>
      <c r="N89" s="104"/>
      <c r="O89" s="104"/>
      <c r="P89" s="104"/>
      <c r="Q89" s="104"/>
      <c r="R89" s="104"/>
      <c r="S89" s="104"/>
      <c r="T89" s="104"/>
      <c r="U89" s="104"/>
      <c r="V89" s="104"/>
      <c r="W89" s="104"/>
      <c r="X89" s="104"/>
    </row>
    <row r="90" spans="1:31" x14ac:dyDescent="0.25">
      <c r="B90" s="2" t="s">
        <v>65</v>
      </c>
      <c r="C90" s="140">
        <v>4.2</v>
      </c>
      <c r="D90" s="28" t="s">
        <v>66</v>
      </c>
      <c r="E90" s="500"/>
      <c r="F90" s="500"/>
      <c r="G90" s="500"/>
      <c r="H90" s="500"/>
      <c r="J90" s="104"/>
      <c r="K90" s="104"/>
      <c r="L90" s="104"/>
      <c r="M90" s="104"/>
      <c r="N90" s="104"/>
      <c r="O90" s="104"/>
      <c r="P90" s="104"/>
      <c r="Q90" s="104"/>
      <c r="R90" s="104"/>
      <c r="S90" s="104"/>
      <c r="T90" s="104"/>
      <c r="U90" s="104"/>
      <c r="V90" s="104"/>
      <c r="W90" s="104"/>
      <c r="X90" s="104"/>
    </row>
    <row r="91" spans="1:31" x14ac:dyDescent="0.25">
      <c r="B91" s="2" t="s">
        <v>60</v>
      </c>
      <c r="C91" s="114">
        <v>0.01</v>
      </c>
      <c r="D91" s="27" t="s">
        <v>16</v>
      </c>
      <c r="E91" s="500"/>
      <c r="F91" s="500"/>
      <c r="G91" s="500"/>
      <c r="H91" s="500"/>
      <c r="J91" s="104"/>
      <c r="K91" s="104"/>
      <c r="L91" s="104"/>
      <c r="M91" s="104"/>
      <c r="N91" s="104"/>
      <c r="O91" s="104"/>
      <c r="P91" s="104"/>
      <c r="Q91" s="104"/>
      <c r="R91" s="104"/>
      <c r="S91" s="104"/>
      <c r="T91" s="104"/>
      <c r="U91" s="104"/>
      <c r="V91" s="104"/>
      <c r="W91" s="104"/>
      <c r="X91" s="104"/>
    </row>
    <row r="92" spans="1:31" s="203" customFormat="1" ht="25.9" customHeight="1" x14ac:dyDescent="0.25">
      <c r="B92" s="394" t="s">
        <v>350</v>
      </c>
      <c r="C92" s="395">
        <v>0.2</v>
      </c>
      <c r="D92" s="7" t="s">
        <v>351</v>
      </c>
      <c r="E92" s="500" t="s">
        <v>99</v>
      </c>
      <c r="F92" s="500"/>
      <c r="G92" s="500"/>
      <c r="H92" s="500"/>
      <c r="J92" s="396"/>
      <c r="K92" s="396"/>
      <c r="L92" s="396"/>
      <c r="M92" s="396"/>
      <c r="N92" s="396"/>
      <c r="O92" s="396"/>
      <c r="P92" s="396"/>
      <c r="Q92" s="396"/>
      <c r="R92" s="396"/>
      <c r="S92" s="396"/>
      <c r="T92" s="396"/>
      <c r="U92" s="396"/>
      <c r="V92" s="396"/>
      <c r="W92" s="396"/>
      <c r="X92" s="396"/>
    </row>
    <row r="93" spans="1:31" x14ac:dyDescent="0.25">
      <c r="J93" s="104"/>
      <c r="K93" s="104"/>
      <c r="L93" s="104"/>
      <c r="M93" s="104"/>
      <c r="N93" s="104"/>
      <c r="O93" s="104"/>
      <c r="P93" s="104"/>
      <c r="Q93" s="104"/>
      <c r="R93" s="104"/>
      <c r="S93" s="104"/>
      <c r="T93" s="104"/>
      <c r="U93" s="104"/>
      <c r="V93" s="104"/>
      <c r="W93" s="104"/>
      <c r="X93" s="104"/>
    </row>
    <row r="94" spans="1:31" x14ac:dyDescent="0.25">
      <c r="B94" s="17" t="s">
        <v>10</v>
      </c>
      <c r="C94" s="14" t="s">
        <v>4</v>
      </c>
      <c r="D94" s="21" t="s">
        <v>5</v>
      </c>
      <c r="E94" s="474" t="s">
        <v>6</v>
      </c>
      <c r="F94" s="474"/>
      <c r="G94" s="474"/>
      <c r="H94" s="474"/>
      <c r="J94" s="104"/>
      <c r="K94" s="104"/>
      <c r="L94" s="104"/>
      <c r="M94" s="104"/>
      <c r="N94" s="104"/>
      <c r="O94" s="104"/>
      <c r="P94" s="104"/>
      <c r="Q94" s="104"/>
      <c r="R94" s="104"/>
      <c r="S94" s="104"/>
      <c r="T94" s="104"/>
      <c r="U94" s="104"/>
      <c r="V94" s="104"/>
      <c r="W94" s="104"/>
      <c r="X94" s="104"/>
    </row>
    <row r="95" spans="1:31" x14ac:dyDescent="0.25">
      <c r="B95" s="2" t="s">
        <v>68</v>
      </c>
      <c r="C95" s="151">
        <f>C97*C99</f>
        <v>39.375000000000007</v>
      </c>
      <c r="D95" s="28" t="s">
        <v>45</v>
      </c>
      <c r="E95" s="481" t="s">
        <v>161</v>
      </c>
      <c r="F95" s="482"/>
      <c r="G95" s="482"/>
      <c r="H95" s="483"/>
      <c r="J95" s="104"/>
      <c r="K95" s="104"/>
      <c r="L95" s="104"/>
      <c r="M95" s="104"/>
      <c r="N95" s="104"/>
      <c r="O95" s="104"/>
      <c r="P95" s="104"/>
      <c r="Q95" s="104"/>
      <c r="R95" s="104"/>
      <c r="S95" s="104"/>
      <c r="T95" s="104"/>
      <c r="U95" s="104"/>
      <c r="V95" s="104"/>
      <c r="W95" s="104"/>
      <c r="X95" s="104"/>
    </row>
    <row r="96" spans="1:31" x14ac:dyDescent="0.25">
      <c r="B96" s="10"/>
      <c r="C96" s="62"/>
      <c r="D96" s="100"/>
      <c r="E96" s="101"/>
      <c r="F96" s="101"/>
      <c r="G96" s="101"/>
      <c r="H96" s="101"/>
      <c r="J96" s="104"/>
      <c r="K96" s="104"/>
      <c r="L96" s="104"/>
      <c r="M96" s="104"/>
      <c r="N96" s="104"/>
      <c r="O96" s="104"/>
      <c r="P96" s="104"/>
      <c r="Q96" s="104"/>
      <c r="R96" s="104"/>
      <c r="S96" s="104"/>
      <c r="T96" s="104"/>
      <c r="U96" s="104"/>
      <c r="V96" s="104"/>
      <c r="W96" s="104"/>
      <c r="X96" s="104"/>
    </row>
    <row r="97" spans="1:24" x14ac:dyDescent="0.25">
      <c r="B97" s="9" t="s">
        <v>145</v>
      </c>
      <c r="C97" s="150">
        <v>1125</v>
      </c>
      <c r="D97" s="27" t="s">
        <v>201</v>
      </c>
      <c r="E97" s="541"/>
      <c r="F97" s="541"/>
      <c r="G97" s="541"/>
      <c r="H97" s="541"/>
      <c r="I97" s="541"/>
      <c r="J97" s="104"/>
      <c r="K97" s="104"/>
      <c r="L97" s="104"/>
      <c r="M97" s="104"/>
      <c r="N97" s="104"/>
      <c r="O97" s="104"/>
      <c r="P97" s="104"/>
      <c r="Q97" s="104"/>
      <c r="R97" s="104"/>
      <c r="S97" s="104"/>
      <c r="T97" s="104"/>
      <c r="U97" s="104"/>
      <c r="V97" s="104"/>
      <c r="W97" s="104"/>
      <c r="X97" s="104"/>
    </row>
    <row r="98" spans="1:24" x14ac:dyDescent="0.25">
      <c r="B98" s="115" t="s">
        <v>147</v>
      </c>
      <c r="C98" s="148">
        <v>2</v>
      </c>
      <c r="D98" s="27" t="s">
        <v>14</v>
      </c>
      <c r="E98" s="541"/>
      <c r="F98" s="541"/>
      <c r="G98" s="541"/>
      <c r="H98" s="541"/>
      <c r="I98" s="541"/>
      <c r="J98" s="104"/>
      <c r="K98" s="104"/>
      <c r="L98" s="104"/>
      <c r="M98" s="104"/>
      <c r="N98" s="104"/>
      <c r="O98" s="104"/>
      <c r="P98" s="104"/>
      <c r="Q98" s="104"/>
      <c r="R98" s="104"/>
      <c r="S98" s="104"/>
      <c r="T98" s="104"/>
      <c r="U98" s="104"/>
      <c r="V98" s="104"/>
      <c r="W98" s="104"/>
      <c r="X98" s="104"/>
    </row>
    <row r="99" spans="1:24" x14ac:dyDescent="0.25">
      <c r="B99" s="9" t="s">
        <v>148</v>
      </c>
      <c r="C99" s="150">
        <f>Assumption_Nursery!D152</f>
        <v>3.5000000000000003E-2</v>
      </c>
      <c r="D99" s="27"/>
      <c r="E99" s="101"/>
      <c r="F99" s="101"/>
      <c r="G99" s="101"/>
      <c r="H99" s="101"/>
      <c r="J99" s="104"/>
      <c r="K99" s="104"/>
      <c r="L99" s="104"/>
      <c r="M99" s="104"/>
      <c r="N99" s="104"/>
      <c r="O99" s="104"/>
      <c r="P99" s="104"/>
      <c r="Q99" s="104"/>
      <c r="R99" s="104"/>
      <c r="S99" s="104"/>
      <c r="T99" s="104"/>
      <c r="U99" s="104"/>
      <c r="V99" s="104"/>
      <c r="W99" s="104"/>
      <c r="X99" s="104"/>
    </row>
    <row r="100" spans="1:24" x14ac:dyDescent="0.25">
      <c r="C100" s="71"/>
      <c r="D100" s="73"/>
      <c r="E100" s="89"/>
      <c r="F100" s="89"/>
      <c r="G100" s="73"/>
      <c r="H100" s="73"/>
      <c r="I100" s="73"/>
      <c r="J100" s="73"/>
      <c r="K100" s="73"/>
      <c r="L100" s="73"/>
      <c r="M100" s="73"/>
      <c r="N100" s="73"/>
      <c r="O100" s="73"/>
      <c r="P100" s="73"/>
      <c r="Q100" s="73"/>
      <c r="R100" s="73"/>
      <c r="S100" s="73"/>
      <c r="T100" s="73"/>
      <c r="U100" s="73"/>
      <c r="V100" s="73"/>
      <c r="W100" s="73"/>
    </row>
    <row r="101" spans="1:24" x14ac:dyDescent="0.25">
      <c r="A101" s="63">
        <v>6</v>
      </c>
      <c r="B101" s="44" t="s">
        <v>313</v>
      </c>
      <c r="C101" s="73"/>
      <c r="D101" s="89"/>
      <c r="E101" s="73"/>
      <c r="F101" s="73"/>
      <c r="G101" s="73"/>
      <c r="H101" s="73"/>
      <c r="P101" s="73"/>
      <c r="U101" s="73"/>
      <c r="V101" s="73"/>
      <c r="W101" s="73"/>
    </row>
    <row r="102" spans="1:24" x14ac:dyDescent="0.25">
      <c r="A102" s="91"/>
      <c r="B102" s="44"/>
      <c r="C102" s="73"/>
      <c r="D102" s="89"/>
      <c r="E102" s="73"/>
      <c r="F102" s="73"/>
      <c r="G102" s="73"/>
      <c r="H102" s="73"/>
      <c r="P102" s="73"/>
      <c r="U102" s="73"/>
      <c r="V102" s="73"/>
      <c r="W102" s="73"/>
    </row>
    <row r="103" spans="1:24" x14ac:dyDescent="0.25">
      <c r="A103" s="91"/>
      <c r="B103" s="347" t="s">
        <v>239</v>
      </c>
      <c r="C103" s="348"/>
      <c r="D103" s="349"/>
      <c r="E103" s="73"/>
      <c r="F103" s="73"/>
      <c r="G103" s="73"/>
      <c r="H103" s="73"/>
      <c r="P103" s="73"/>
      <c r="U103" s="73"/>
      <c r="V103" s="73"/>
      <c r="W103" s="73"/>
    </row>
    <row r="104" spans="1:24" x14ac:dyDescent="0.25">
      <c r="A104" s="91"/>
      <c r="B104" s="388"/>
      <c r="C104" s="219" t="s">
        <v>240</v>
      </c>
      <c r="D104" s="383"/>
      <c r="E104" s="73"/>
      <c r="F104" s="73"/>
      <c r="G104" s="73"/>
      <c r="H104" s="73"/>
      <c r="P104" s="73"/>
      <c r="U104" s="73"/>
      <c r="V104" s="73"/>
      <c r="W104" s="73"/>
    </row>
    <row r="105" spans="1:24" ht="22.9" customHeight="1" x14ac:dyDescent="0.25">
      <c r="A105" s="91"/>
      <c r="B105" s="2" t="s">
        <v>65</v>
      </c>
      <c r="C105" s="220">
        <f>'CFs Derivation_CRAB Value chain'!C41</f>
        <v>1.0719000000000001</v>
      </c>
      <c r="D105" s="387"/>
      <c r="E105" s="73"/>
      <c r="F105" s="73"/>
      <c r="G105" s="73"/>
      <c r="H105" s="73"/>
      <c r="P105" s="73"/>
      <c r="U105" s="73"/>
      <c r="V105" s="73"/>
      <c r="W105" s="73"/>
    </row>
    <row r="106" spans="1:24" x14ac:dyDescent="0.25">
      <c r="A106" s="91"/>
      <c r="B106" s="204" t="s">
        <v>245</v>
      </c>
      <c r="C106" s="220">
        <v>1</v>
      </c>
      <c r="D106" s="90"/>
      <c r="E106" s="73"/>
      <c r="F106" s="73"/>
      <c r="G106" s="73"/>
      <c r="H106" s="73"/>
      <c r="P106" s="73"/>
      <c r="U106" s="73"/>
      <c r="V106" s="73"/>
      <c r="W106" s="73"/>
    </row>
    <row r="107" spans="1:24" x14ac:dyDescent="0.25">
      <c r="A107" s="91"/>
      <c r="B107" s="44"/>
      <c r="C107" s="73"/>
      <c r="D107" s="89"/>
      <c r="E107" s="73"/>
      <c r="F107" s="135"/>
      <c r="G107" s="135"/>
      <c r="H107" s="135"/>
      <c r="K107" s="499" t="s">
        <v>72</v>
      </c>
      <c r="L107" s="499"/>
      <c r="M107" s="499"/>
      <c r="N107" s="499"/>
      <c r="P107" s="494" t="s">
        <v>70</v>
      </c>
      <c r="Q107" s="494"/>
      <c r="R107" s="494"/>
      <c r="S107" s="494"/>
      <c r="U107" s="494" t="s">
        <v>73</v>
      </c>
      <c r="V107" s="494"/>
      <c r="W107" s="494"/>
      <c r="X107" s="494"/>
    </row>
    <row r="108" spans="1:24" ht="22.15" customHeight="1" x14ac:dyDescent="0.25">
      <c r="K108" s="495" t="s">
        <v>129</v>
      </c>
      <c r="L108" s="496"/>
      <c r="M108" s="496"/>
      <c r="N108" s="497"/>
      <c r="P108" s="495" t="s">
        <v>129</v>
      </c>
      <c r="Q108" s="496"/>
      <c r="R108" s="496"/>
      <c r="S108" s="497"/>
      <c r="U108" s="495" t="s">
        <v>129</v>
      </c>
      <c r="V108" s="496"/>
      <c r="W108" s="496"/>
      <c r="X108" s="497"/>
    </row>
    <row r="109" spans="1:24" ht="45" x14ac:dyDescent="0.25">
      <c r="B109" s="17" t="s">
        <v>3</v>
      </c>
      <c r="C109" s="110" t="s">
        <v>246</v>
      </c>
      <c r="D109" s="341" t="s">
        <v>247</v>
      </c>
      <c r="E109" s="20" t="s">
        <v>5</v>
      </c>
      <c r="F109" s="222"/>
      <c r="G109" s="222"/>
      <c r="H109" s="222"/>
      <c r="K109" s="88"/>
      <c r="L109" s="110" t="s">
        <v>130</v>
      </c>
      <c r="M109" s="88" t="s">
        <v>97</v>
      </c>
      <c r="N109" s="88" t="s">
        <v>96</v>
      </c>
      <c r="P109" s="88"/>
      <c r="Q109" s="110" t="s">
        <v>130</v>
      </c>
      <c r="R109" s="88" t="s">
        <v>97</v>
      </c>
      <c r="S109" s="88" t="s">
        <v>96</v>
      </c>
      <c r="U109" s="88"/>
      <c r="V109" s="110" t="s">
        <v>130</v>
      </c>
      <c r="W109" s="88" t="s">
        <v>97</v>
      </c>
      <c r="X109" s="88" t="s">
        <v>96</v>
      </c>
    </row>
    <row r="110" spans="1:24" ht="17.25" customHeight="1" x14ac:dyDescent="0.25">
      <c r="B110" s="2" t="s">
        <v>359</v>
      </c>
      <c r="C110" s="93">
        <f>C89</f>
        <v>95.625</v>
      </c>
      <c r="D110" s="191">
        <f>C110</f>
        <v>95.625</v>
      </c>
      <c r="E110" s="28" t="s">
        <v>194</v>
      </c>
      <c r="F110" s="223"/>
      <c r="G110" s="223"/>
      <c r="H110" s="223"/>
      <c r="K110" s="47" t="s">
        <v>77</v>
      </c>
      <c r="L110" s="152">
        <f>D120-1</f>
        <v>-0.35</v>
      </c>
      <c r="M110" s="58">
        <f>$F52</f>
        <v>0.5</v>
      </c>
      <c r="N110" s="108">
        <f>L110*M110</f>
        <v>-0.17499999999999999</v>
      </c>
      <c r="P110" s="47" t="s">
        <v>77</v>
      </c>
      <c r="Q110" s="139">
        <f>E120-1</f>
        <v>-0.38</v>
      </c>
      <c r="R110" s="58">
        <f>F66</f>
        <v>0.5</v>
      </c>
      <c r="S110" s="108">
        <f>Q110*R110</f>
        <v>-0.19</v>
      </c>
      <c r="U110" s="47" t="s">
        <v>77</v>
      </c>
      <c r="V110" s="139">
        <f>F120-1</f>
        <v>-0.44999999999999996</v>
      </c>
      <c r="W110" s="58">
        <f>F78</f>
        <v>0.5</v>
      </c>
      <c r="X110" s="108">
        <f>V110*W110</f>
        <v>-0.22499999999999998</v>
      </c>
    </row>
    <row r="111" spans="1:24" ht="106.15" customHeight="1" x14ac:dyDescent="0.25">
      <c r="B111" s="429" t="s">
        <v>369</v>
      </c>
      <c r="C111" s="445">
        <f>10*0.5</f>
        <v>5</v>
      </c>
      <c r="D111" s="444">
        <f>C111*C105</f>
        <v>5.3595000000000006</v>
      </c>
      <c r="E111" s="7" t="s">
        <v>66</v>
      </c>
      <c r="F111" s="549" t="s">
        <v>398</v>
      </c>
      <c r="G111" s="549"/>
      <c r="H111" s="549"/>
      <c r="I111" s="549"/>
      <c r="K111" s="47" t="s">
        <v>71</v>
      </c>
      <c r="L111" s="97">
        <v>0</v>
      </c>
      <c r="M111" s="58">
        <f>M110</f>
        <v>0.5</v>
      </c>
      <c r="N111" s="108">
        <f t="shared" ref="N111:N112" si="31">L111*M111</f>
        <v>0</v>
      </c>
      <c r="P111" s="47" t="s">
        <v>71</v>
      </c>
      <c r="Q111" s="97">
        <v>0</v>
      </c>
      <c r="R111" s="58">
        <f>R110</f>
        <v>0.5</v>
      </c>
      <c r="S111" s="108">
        <f t="shared" ref="S111:S112" si="32">Q111*R111</f>
        <v>0</v>
      </c>
      <c r="U111" s="47" t="s">
        <v>71</v>
      </c>
      <c r="V111" s="97">
        <v>0</v>
      </c>
      <c r="W111" s="58">
        <f>W110</f>
        <v>0.5</v>
      </c>
      <c r="X111" s="108">
        <f t="shared" ref="X111:X112" si="33">V111*W111</f>
        <v>0</v>
      </c>
    </row>
    <row r="112" spans="1:24" ht="17.25" customHeight="1" x14ac:dyDescent="0.25">
      <c r="B112" s="2" t="s">
        <v>60</v>
      </c>
      <c r="C112" s="138">
        <f>C91</f>
        <v>0.01</v>
      </c>
      <c r="D112" s="386">
        <f>C112</f>
        <v>0.01</v>
      </c>
      <c r="E112" s="27" t="s">
        <v>16</v>
      </c>
      <c r="F112" s="223"/>
      <c r="G112" s="223"/>
      <c r="H112" s="223"/>
      <c r="K112" s="47" t="s">
        <v>71</v>
      </c>
      <c r="L112" s="97">
        <v>0</v>
      </c>
      <c r="M112" s="58">
        <f t="shared" ref="M112" si="34">M111</f>
        <v>0.5</v>
      </c>
      <c r="N112" s="108">
        <f t="shared" si="31"/>
        <v>0</v>
      </c>
      <c r="P112" s="47" t="s">
        <v>71</v>
      </c>
      <c r="Q112" s="97">
        <v>0</v>
      </c>
      <c r="R112" s="58">
        <f t="shared" ref="R112" si="35">R111</f>
        <v>0.5</v>
      </c>
      <c r="S112" s="108">
        <f t="shared" si="32"/>
        <v>0</v>
      </c>
      <c r="U112" s="47" t="s">
        <v>71</v>
      </c>
      <c r="V112" s="97">
        <v>0</v>
      </c>
      <c r="W112" s="58">
        <f t="shared" ref="W112" si="36">W111</f>
        <v>0.5</v>
      </c>
      <c r="X112" s="108">
        <f t="shared" si="33"/>
        <v>0</v>
      </c>
    </row>
    <row r="113" spans="1:29" ht="17.25" customHeight="1" x14ac:dyDescent="0.25">
      <c r="B113" s="2" t="s">
        <v>350</v>
      </c>
      <c r="C113" s="138">
        <f>C92</f>
        <v>0.2</v>
      </c>
      <c r="D113" s="386">
        <f>C113</f>
        <v>0.2</v>
      </c>
      <c r="E113" s="27"/>
      <c r="F113" s="223"/>
      <c r="G113" s="223"/>
      <c r="H113" s="223"/>
      <c r="L113" s="71"/>
      <c r="M113" s="107"/>
      <c r="N113" s="141"/>
      <c r="O113" s="105"/>
      <c r="P113" s="105"/>
      <c r="Q113" s="71"/>
      <c r="R113" s="107"/>
      <c r="S113" s="141"/>
      <c r="T113" s="105"/>
      <c r="U113" s="105"/>
      <c r="V113" s="71"/>
      <c r="W113" s="107"/>
      <c r="X113" s="391"/>
    </row>
    <row r="114" spans="1:29" ht="17.25" customHeight="1" x14ac:dyDescent="0.25">
      <c r="B114" s="3"/>
      <c r="C114" s="389"/>
      <c r="D114" s="390"/>
      <c r="E114" s="100"/>
      <c r="F114" s="223"/>
      <c r="G114" s="223"/>
      <c r="H114" s="223"/>
      <c r="K114" s="105"/>
      <c r="L114" s="71"/>
      <c r="M114" s="107"/>
      <c r="N114" s="141"/>
      <c r="O114" s="105"/>
      <c r="P114" s="105"/>
      <c r="Q114" s="71"/>
      <c r="R114" s="107"/>
      <c r="S114" s="141"/>
      <c r="T114" s="105"/>
      <c r="U114" s="105"/>
      <c r="V114" s="71"/>
      <c r="W114" s="107"/>
      <c r="X114" s="141"/>
      <c r="Y114" s="105"/>
      <c r="Z114" s="105"/>
    </row>
    <row r="115" spans="1:29" ht="26.45" customHeight="1" x14ac:dyDescent="0.25">
      <c r="B115" s="17" t="s">
        <v>10</v>
      </c>
      <c r="C115" s="110" t="s">
        <v>246</v>
      </c>
      <c r="D115" s="341" t="s">
        <v>247</v>
      </c>
      <c r="E115" s="20" t="s">
        <v>5</v>
      </c>
      <c r="F115" s="223"/>
      <c r="G115" s="223"/>
      <c r="H115" s="223"/>
      <c r="K115" s="105"/>
      <c r="L115" s="71"/>
      <c r="M115" s="107"/>
      <c r="N115" s="141"/>
      <c r="O115" s="105"/>
      <c r="P115" s="105"/>
      <c r="Q115" s="71"/>
      <c r="R115" s="107"/>
      <c r="S115" s="141"/>
      <c r="T115" s="105"/>
      <c r="U115" s="105"/>
      <c r="V115" s="71"/>
      <c r="W115" s="107"/>
      <c r="X115" s="141"/>
      <c r="Y115" s="105"/>
      <c r="Z115" s="105"/>
    </row>
    <row r="116" spans="1:29" ht="30.6" customHeight="1" x14ac:dyDescent="0.25">
      <c r="B116" s="543" t="s">
        <v>352</v>
      </c>
      <c r="C116" s="544"/>
      <c r="D116" s="544"/>
      <c r="E116" s="545"/>
      <c r="F116" s="101"/>
      <c r="G116" s="101"/>
      <c r="H116" s="101"/>
      <c r="K116" s="105"/>
      <c r="L116" s="71"/>
      <c r="M116" s="107"/>
      <c r="N116" s="141"/>
      <c r="O116" s="105"/>
      <c r="P116" s="105"/>
      <c r="Q116" s="71"/>
      <c r="R116" s="107"/>
      <c r="S116" s="142"/>
      <c r="T116" s="105"/>
      <c r="U116" s="105"/>
      <c r="V116" s="71"/>
      <c r="W116" s="107"/>
      <c r="X116" s="143"/>
      <c r="Y116" s="105"/>
      <c r="Z116" s="105"/>
    </row>
    <row r="117" spans="1:29" ht="12.6" customHeight="1" x14ac:dyDescent="0.25">
      <c r="B117" s="3"/>
      <c r="C117" s="181"/>
      <c r="D117" s="392"/>
      <c r="E117" s="393"/>
      <c r="F117" s="101"/>
      <c r="G117" s="101"/>
      <c r="H117" s="101"/>
      <c r="L117" s="71"/>
      <c r="M117" s="107"/>
      <c r="N117" s="141"/>
      <c r="O117" s="105"/>
      <c r="P117" s="105"/>
      <c r="Q117" s="71"/>
      <c r="R117" s="107"/>
      <c r="S117" s="142"/>
      <c r="T117" s="105"/>
      <c r="U117" s="105"/>
      <c r="V117" s="71"/>
      <c r="W117" s="107"/>
      <c r="X117" s="143"/>
    </row>
    <row r="118" spans="1:29" ht="12.6" customHeight="1" x14ac:dyDescent="0.25">
      <c r="B118" s="10" t="s">
        <v>149</v>
      </c>
      <c r="F118" s="101"/>
      <c r="G118" s="101"/>
      <c r="H118" s="101"/>
      <c r="L118" s="71"/>
      <c r="M118" s="107"/>
      <c r="N118" s="141"/>
      <c r="O118" s="105"/>
      <c r="P118" s="105"/>
      <c r="Q118" s="71"/>
      <c r="R118" s="107"/>
      <c r="S118" s="142"/>
      <c r="T118" s="105"/>
      <c r="U118" s="105"/>
      <c r="V118" s="71"/>
      <c r="W118" s="107"/>
      <c r="X118" s="143"/>
    </row>
    <row r="119" spans="1:29" ht="12.6" customHeight="1" x14ac:dyDescent="0.25">
      <c r="B119" s="47"/>
      <c r="C119" s="63"/>
      <c r="D119" s="150" t="s">
        <v>72</v>
      </c>
      <c r="E119" s="27" t="s">
        <v>70</v>
      </c>
      <c r="F119" s="29" t="s">
        <v>73</v>
      </c>
      <c r="G119" s="101"/>
      <c r="H119" s="101"/>
      <c r="L119" s="71"/>
      <c r="M119" s="107"/>
      <c r="N119" s="141"/>
      <c r="O119" s="105"/>
      <c r="P119" s="105"/>
      <c r="Q119" s="71"/>
      <c r="R119" s="107"/>
      <c r="S119" s="142"/>
      <c r="T119" s="105"/>
      <c r="U119" s="105"/>
      <c r="V119" s="71"/>
      <c r="W119" s="107"/>
      <c r="X119" s="143"/>
    </row>
    <row r="120" spans="1:29" ht="12.6" customHeight="1" x14ac:dyDescent="0.25">
      <c r="B120" s="9" t="s">
        <v>150</v>
      </c>
      <c r="C120" s="97"/>
      <c r="D120" s="147">
        <v>0.65</v>
      </c>
      <c r="E120" s="147">
        <v>0.62</v>
      </c>
      <c r="F120" s="153">
        <v>0.55000000000000004</v>
      </c>
      <c r="G120" s="101"/>
      <c r="H120" s="101"/>
      <c r="L120" s="71"/>
      <c r="M120" s="107"/>
      <c r="N120" s="141"/>
      <c r="O120" s="105"/>
      <c r="P120" s="105"/>
      <c r="Q120" s="71"/>
      <c r="R120" s="107"/>
      <c r="S120" s="142"/>
      <c r="T120" s="105"/>
      <c r="U120" s="105"/>
      <c r="V120" s="71"/>
      <c r="W120" s="107"/>
      <c r="X120" s="143"/>
    </row>
    <row r="121" spans="1:29" ht="12.6" customHeight="1" x14ac:dyDescent="0.25">
      <c r="B121" s="10"/>
      <c r="C121" s="149"/>
      <c r="D121" s="100"/>
      <c r="E121" s="101"/>
      <c r="F121" s="101"/>
      <c r="G121" s="101"/>
      <c r="H121" s="101"/>
      <c r="L121" s="71"/>
      <c r="M121" s="107"/>
      <c r="N121" s="141"/>
      <c r="O121" s="105"/>
      <c r="P121" s="105"/>
      <c r="Q121" s="71"/>
      <c r="R121" s="107"/>
      <c r="S121" s="142"/>
      <c r="T121" s="105"/>
      <c r="U121" s="105"/>
      <c r="V121" s="71"/>
      <c r="W121" s="107"/>
      <c r="X121" s="143"/>
    </row>
    <row r="122" spans="1:29" ht="18.600000000000001" customHeight="1" x14ac:dyDescent="0.25">
      <c r="B122" s="10" t="s">
        <v>195</v>
      </c>
      <c r="C122" s="148">
        <v>10</v>
      </c>
      <c r="D122" s="100"/>
      <c r="E122" s="101"/>
      <c r="F122" s="101"/>
      <c r="G122" s="101"/>
      <c r="H122" s="101"/>
      <c r="L122" s="71"/>
      <c r="M122" s="107"/>
      <c r="N122" s="141"/>
      <c r="O122" s="105"/>
      <c r="P122" s="105"/>
      <c r="Q122" s="71"/>
      <c r="R122" s="107"/>
      <c r="S122" s="142"/>
      <c r="T122" s="105"/>
      <c r="U122" s="105"/>
      <c r="V122" s="71"/>
      <c r="W122" s="107"/>
      <c r="X122" s="143"/>
    </row>
    <row r="123" spans="1:29" x14ac:dyDescent="0.25">
      <c r="B123" s="10"/>
      <c r="C123" s="62"/>
      <c r="D123" s="100"/>
      <c r="E123" s="101"/>
      <c r="F123" s="101"/>
      <c r="G123" s="101"/>
      <c r="H123" s="101"/>
    </row>
    <row r="124" spans="1:29" x14ac:dyDescent="0.25">
      <c r="A124" s="63">
        <v>7</v>
      </c>
      <c r="B124" s="44" t="s">
        <v>163</v>
      </c>
      <c r="C124" s="91"/>
      <c r="D124" s="104"/>
      <c r="E124" s="104"/>
      <c r="F124" s="104"/>
      <c r="G124" s="104"/>
      <c r="H124" s="104"/>
      <c r="I124" s="104"/>
      <c r="J124" s="104"/>
      <c r="K124" s="104"/>
      <c r="L124" s="104"/>
      <c r="M124" s="104"/>
      <c r="N124" s="104"/>
      <c r="O124" s="104"/>
      <c r="P124" s="104"/>
      <c r="Q124" s="104"/>
      <c r="R124" s="104"/>
      <c r="S124" s="104"/>
      <c r="T124" s="104"/>
      <c r="U124" s="104"/>
      <c r="V124" s="104"/>
      <c r="W124" s="104"/>
      <c r="X124" s="104"/>
    </row>
    <row r="125" spans="1:29" x14ac:dyDescent="0.25">
      <c r="C125" s="91"/>
      <c r="D125" s="104"/>
      <c r="E125" s="104"/>
      <c r="F125" s="104"/>
      <c r="G125" s="104"/>
      <c r="H125" s="104"/>
      <c r="I125" s="104"/>
      <c r="J125" s="104"/>
      <c r="K125" s="104"/>
      <c r="L125" s="104"/>
      <c r="M125" s="104"/>
      <c r="N125" s="104"/>
      <c r="O125" s="104"/>
      <c r="P125" s="104"/>
      <c r="Q125" s="104"/>
      <c r="R125" s="104"/>
      <c r="S125" s="104"/>
      <c r="T125" s="104"/>
      <c r="U125" s="104"/>
      <c r="V125" s="104"/>
      <c r="W125" s="104"/>
      <c r="X125" s="104"/>
    </row>
    <row r="126" spans="1:29" x14ac:dyDescent="0.25">
      <c r="B126" s="17" t="s">
        <v>3</v>
      </c>
      <c r="C126" s="16" t="s">
        <v>19</v>
      </c>
      <c r="D126" s="16">
        <v>0</v>
      </c>
      <c r="E126" s="16">
        <v>1</v>
      </c>
      <c r="F126" s="16">
        <v>2</v>
      </c>
      <c r="G126" s="122">
        <v>3</v>
      </c>
      <c r="H126" s="16">
        <v>4</v>
      </c>
      <c r="I126" s="16">
        <v>5</v>
      </c>
      <c r="J126" s="122">
        <v>6</v>
      </c>
      <c r="K126" s="16">
        <v>7</v>
      </c>
      <c r="L126" s="16">
        <v>8</v>
      </c>
      <c r="M126" s="122">
        <v>9</v>
      </c>
      <c r="N126" s="16">
        <v>10</v>
      </c>
      <c r="O126" s="16">
        <v>11</v>
      </c>
      <c r="P126" s="122">
        <v>12</v>
      </c>
      <c r="Q126" s="16">
        <v>13</v>
      </c>
      <c r="R126" s="16">
        <v>14</v>
      </c>
      <c r="S126" s="122">
        <v>15</v>
      </c>
      <c r="T126" s="16">
        <v>16</v>
      </c>
      <c r="U126" s="16">
        <v>17</v>
      </c>
      <c r="V126" s="122">
        <v>18</v>
      </c>
      <c r="W126" s="16">
        <v>19</v>
      </c>
      <c r="X126" s="16">
        <v>20</v>
      </c>
      <c r="Y126" s="122">
        <v>21</v>
      </c>
      <c r="Z126" s="16">
        <v>22</v>
      </c>
      <c r="AA126" s="16">
        <v>23</v>
      </c>
      <c r="AB126" s="122">
        <v>24</v>
      </c>
      <c r="AC126" s="16">
        <v>25</v>
      </c>
    </row>
    <row r="127" spans="1:29" x14ac:dyDescent="0.25">
      <c r="B127" s="156" t="str">
        <f>B110</f>
        <v>Crab Production (Kg)</v>
      </c>
      <c r="C127" s="63" t="str">
        <f>K110</f>
        <v>Decrease</v>
      </c>
      <c r="D127" s="118">
        <f>D110</f>
        <v>95.625</v>
      </c>
      <c r="E127" s="118">
        <f>D127</f>
        <v>95.625</v>
      </c>
      <c r="F127" s="118">
        <f>E127</f>
        <v>95.625</v>
      </c>
      <c r="G127" s="158">
        <f>F127*(1+$N110)</f>
        <v>78.890625</v>
      </c>
      <c r="H127" s="118">
        <f>E127</f>
        <v>95.625</v>
      </c>
      <c r="I127" s="118">
        <f t="shared" ref="I127" si="37">F127</f>
        <v>95.625</v>
      </c>
      <c r="J127" s="63">
        <f>I127*(1+$N110)</f>
        <v>78.890625</v>
      </c>
      <c r="K127" s="118">
        <f>H127</f>
        <v>95.625</v>
      </c>
      <c r="L127" s="118">
        <f>K127</f>
        <v>95.625</v>
      </c>
      <c r="M127" s="63">
        <f>L127*(1+$N110)</f>
        <v>78.890625</v>
      </c>
      <c r="N127" s="118">
        <f>K127</f>
        <v>95.625</v>
      </c>
      <c r="O127" s="118">
        <f t="shared" ref="O127" si="38">L127</f>
        <v>95.625</v>
      </c>
      <c r="P127" s="63">
        <f>O127*(1+$N110)</f>
        <v>78.890625</v>
      </c>
      <c r="Q127" s="118">
        <f>N127</f>
        <v>95.625</v>
      </c>
      <c r="R127" s="118">
        <f>O127</f>
        <v>95.625</v>
      </c>
      <c r="S127" s="63">
        <f>R127*(1+$N110)</f>
        <v>78.890625</v>
      </c>
      <c r="T127" s="118">
        <f>Q127</f>
        <v>95.625</v>
      </c>
      <c r="U127" s="118">
        <f>R127</f>
        <v>95.625</v>
      </c>
      <c r="V127" s="63">
        <f>U127*(1+$N110)</f>
        <v>78.890625</v>
      </c>
      <c r="W127" s="118">
        <f>T127</f>
        <v>95.625</v>
      </c>
      <c r="X127" s="118">
        <f>U127</f>
        <v>95.625</v>
      </c>
      <c r="Y127" s="63">
        <f>X127*(1+$N110)</f>
        <v>78.890625</v>
      </c>
      <c r="Z127" s="118">
        <f>W127</f>
        <v>95.625</v>
      </c>
      <c r="AA127" s="118">
        <f>X127</f>
        <v>95.625</v>
      </c>
      <c r="AB127" s="63">
        <f>AA127*(1+$N110)</f>
        <v>78.890625</v>
      </c>
      <c r="AC127" s="93">
        <f>AB127*(1+$N110)</f>
        <v>65.084765625000003</v>
      </c>
    </row>
    <row r="128" spans="1:29" x14ac:dyDescent="0.25">
      <c r="B128" s="109" t="str">
        <f>B111</f>
        <v xml:space="preserve">Average Export Price of Crab </v>
      </c>
      <c r="C128" s="63" t="str">
        <f>K111</f>
        <v>No change</v>
      </c>
      <c r="D128" s="119">
        <f>D111</f>
        <v>5.3595000000000006</v>
      </c>
      <c r="E128" s="119">
        <f>D128</f>
        <v>5.3595000000000006</v>
      </c>
      <c r="F128" s="119">
        <f t="shared" ref="F128:U129" si="39">E128</f>
        <v>5.3595000000000006</v>
      </c>
      <c r="G128" s="119">
        <f t="shared" si="39"/>
        <v>5.3595000000000006</v>
      </c>
      <c r="H128" s="119">
        <f t="shared" si="39"/>
        <v>5.3595000000000006</v>
      </c>
      <c r="I128" s="119">
        <f t="shared" si="39"/>
        <v>5.3595000000000006</v>
      </c>
      <c r="J128" s="119">
        <f t="shared" si="39"/>
        <v>5.3595000000000006</v>
      </c>
      <c r="K128" s="119">
        <f t="shared" si="39"/>
        <v>5.3595000000000006</v>
      </c>
      <c r="L128" s="119">
        <f t="shared" si="39"/>
        <v>5.3595000000000006</v>
      </c>
      <c r="M128" s="119">
        <f t="shared" si="39"/>
        <v>5.3595000000000006</v>
      </c>
      <c r="N128" s="119">
        <f t="shared" si="39"/>
        <v>5.3595000000000006</v>
      </c>
      <c r="O128" s="119">
        <f t="shared" si="39"/>
        <v>5.3595000000000006</v>
      </c>
      <c r="P128" s="119">
        <f t="shared" si="39"/>
        <v>5.3595000000000006</v>
      </c>
      <c r="Q128" s="119">
        <f t="shared" si="39"/>
        <v>5.3595000000000006</v>
      </c>
      <c r="R128" s="119">
        <f t="shared" si="39"/>
        <v>5.3595000000000006</v>
      </c>
      <c r="S128" s="119">
        <f t="shared" si="39"/>
        <v>5.3595000000000006</v>
      </c>
      <c r="T128" s="119">
        <f t="shared" si="39"/>
        <v>5.3595000000000006</v>
      </c>
      <c r="U128" s="119">
        <f t="shared" si="39"/>
        <v>5.3595000000000006</v>
      </c>
      <c r="V128" s="119">
        <f t="shared" ref="V128:AC129" si="40">U128</f>
        <v>5.3595000000000006</v>
      </c>
      <c r="W128" s="119">
        <f t="shared" si="40"/>
        <v>5.3595000000000006</v>
      </c>
      <c r="X128" s="119">
        <f t="shared" si="40"/>
        <v>5.3595000000000006</v>
      </c>
      <c r="Y128" s="119">
        <f t="shared" si="40"/>
        <v>5.3595000000000006</v>
      </c>
      <c r="Z128" s="119">
        <f t="shared" si="40"/>
        <v>5.3595000000000006</v>
      </c>
      <c r="AA128" s="119">
        <f t="shared" si="40"/>
        <v>5.3595000000000006</v>
      </c>
      <c r="AB128" s="119">
        <f t="shared" si="40"/>
        <v>5.3595000000000006</v>
      </c>
      <c r="AC128" s="119">
        <f t="shared" si="40"/>
        <v>5.3595000000000006</v>
      </c>
    </row>
    <row r="129" spans="1:29" x14ac:dyDescent="0.25">
      <c r="B129" s="109" t="str">
        <f>B112</f>
        <v>Change in Crab Price</v>
      </c>
      <c r="C129" s="63" t="str">
        <f>K112</f>
        <v>No change</v>
      </c>
      <c r="D129" s="58">
        <f>D112</f>
        <v>0.01</v>
      </c>
      <c r="E129" s="58">
        <f>D129</f>
        <v>0.01</v>
      </c>
      <c r="F129" s="58">
        <f>E129</f>
        <v>0.01</v>
      </c>
      <c r="G129" s="58">
        <f t="shared" si="39"/>
        <v>0.01</v>
      </c>
      <c r="H129" s="58">
        <f t="shared" si="39"/>
        <v>0.01</v>
      </c>
      <c r="I129" s="58">
        <f t="shared" si="39"/>
        <v>0.01</v>
      </c>
      <c r="J129" s="58">
        <f t="shared" si="39"/>
        <v>0.01</v>
      </c>
      <c r="K129" s="58">
        <f t="shared" si="39"/>
        <v>0.01</v>
      </c>
      <c r="L129" s="58">
        <f t="shared" si="39"/>
        <v>0.01</v>
      </c>
      <c r="M129" s="58">
        <f t="shared" si="39"/>
        <v>0.01</v>
      </c>
      <c r="N129" s="58">
        <f t="shared" si="39"/>
        <v>0.01</v>
      </c>
      <c r="O129" s="58">
        <f t="shared" si="39"/>
        <v>0.01</v>
      </c>
      <c r="P129" s="58">
        <f t="shared" si="39"/>
        <v>0.01</v>
      </c>
      <c r="Q129" s="58">
        <f t="shared" si="39"/>
        <v>0.01</v>
      </c>
      <c r="R129" s="58">
        <f t="shared" si="39"/>
        <v>0.01</v>
      </c>
      <c r="S129" s="58">
        <f t="shared" si="39"/>
        <v>0.01</v>
      </c>
      <c r="T129" s="58">
        <f t="shared" si="39"/>
        <v>0.01</v>
      </c>
      <c r="U129" s="58">
        <f t="shared" si="39"/>
        <v>0.01</v>
      </c>
      <c r="V129" s="58">
        <f t="shared" si="40"/>
        <v>0.01</v>
      </c>
      <c r="W129" s="58">
        <f t="shared" si="40"/>
        <v>0.01</v>
      </c>
      <c r="X129" s="58">
        <f t="shared" si="40"/>
        <v>0.01</v>
      </c>
      <c r="Y129" s="58">
        <f t="shared" si="40"/>
        <v>0.01</v>
      </c>
      <c r="Z129" s="58">
        <f t="shared" si="40"/>
        <v>0.01</v>
      </c>
      <c r="AA129" s="58">
        <f t="shared" si="40"/>
        <v>0.01</v>
      </c>
      <c r="AB129" s="58">
        <f t="shared" si="40"/>
        <v>0.01</v>
      </c>
      <c r="AC129" s="58">
        <f t="shared" si="40"/>
        <v>0.01</v>
      </c>
    </row>
    <row r="130" spans="1:29" x14ac:dyDescent="0.25">
      <c r="J130" s="127"/>
      <c r="M130" s="127"/>
      <c r="P130" s="127"/>
      <c r="S130" s="127"/>
      <c r="V130" s="127"/>
      <c r="Y130" s="127"/>
      <c r="AB130" s="127"/>
      <c r="AC130" s="127"/>
    </row>
    <row r="131" spans="1:29" x14ac:dyDescent="0.25">
      <c r="G131" s="127"/>
      <c r="J131" s="127"/>
      <c r="M131" s="127"/>
      <c r="P131" s="127"/>
      <c r="S131" s="127"/>
      <c r="V131" s="127"/>
      <c r="Y131" s="127"/>
      <c r="AB131" s="127"/>
      <c r="AC131" s="127"/>
    </row>
    <row r="132" spans="1:29" x14ac:dyDescent="0.25">
      <c r="G132" s="127"/>
    </row>
    <row r="133" spans="1:29" x14ac:dyDescent="0.25">
      <c r="A133" s="63">
        <v>8</v>
      </c>
      <c r="B133" s="44" t="s">
        <v>349</v>
      </c>
      <c r="G133" s="127"/>
    </row>
    <row r="136" spans="1:29" ht="30" x14ac:dyDescent="0.25">
      <c r="B136" s="17" t="s">
        <v>3</v>
      </c>
      <c r="C136" s="13" t="s">
        <v>358</v>
      </c>
      <c r="D136" s="20" t="s">
        <v>5</v>
      </c>
      <c r="E136" s="484" t="s">
        <v>321</v>
      </c>
      <c r="F136" s="484"/>
      <c r="G136" s="484"/>
      <c r="H136" s="484"/>
    </row>
    <row r="137" spans="1:29" s="105" customFormat="1" ht="84.6" customHeight="1" x14ac:dyDescent="0.25">
      <c r="B137" s="429" t="s">
        <v>353</v>
      </c>
      <c r="C137" s="216">
        <v>100</v>
      </c>
      <c r="D137" s="216" t="s">
        <v>354</v>
      </c>
      <c r="E137" s="546" t="s">
        <v>355</v>
      </c>
      <c r="F137" s="547"/>
      <c r="G137" s="547"/>
      <c r="H137" s="548"/>
    </row>
    <row r="138" spans="1:29" s="105" customFormat="1" ht="42.6" customHeight="1" x14ac:dyDescent="0.25">
      <c r="B138" s="429" t="s">
        <v>356</v>
      </c>
      <c r="C138" s="216">
        <v>25</v>
      </c>
      <c r="D138" s="216" t="s">
        <v>354</v>
      </c>
      <c r="E138" s="546" t="s">
        <v>357</v>
      </c>
      <c r="F138" s="547"/>
      <c r="G138" s="547"/>
      <c r="H138" s="548"/>
    </row>
    <row r="139" spans="1:29" s="105" customFormat="1" x14ac:dyDescent="0.25"/>
    <row r="140" spans="1:29" s="105" customFormat="1" x14ac:dyDescent="0.25">
      <c r="B140" s="430" t="s">
        <v>10</v>
      </c>
      <c r="C140" s="431" t="s">
        <v>299</v>
      </c>
      <c r="D140" s="432" t="s">
        <v>5</v>
      </c>
      <c r="E140" s="542" t="s">
        <v>6</v>
      </c>
      <c r="F140" s="542"/>
      <c r="G140" s="542"/>
      <c r="H140" s="542"/>
    </row>
    <row r="141" spans="1:29" s="105" customFormat="1" x14ac:dyDescent="0.25">
      <c r="B141" s="433" t="s">
        <v>394</v>
      </c>
      <c r="C141" s="431">
        <v>1000</v>
      </c>
      <c r="D141" s="216" t="s">
        <v>354</v>
      </c>
      <c r="E141" s="538" t="s">
        <v>326</v>
      </c>
      <c r="F141" s="539"/>
      <c r="G141" s="539"/>
      <c r="H141" s="540"/>
    </row>
    <row r="142" spans="1:29" ht="14.45" customHeight="1" x14ac:dyDescent="0.25">
      <c r="B142" s="18" t="s">
        <v>327</v>
      </c>
      <c r="C142" s="186">
        <v>0</v>
      </c>
      <c r="D142" s="5" t="s">
        <v>323</v>
      </c>
      <c r="E142" s="535" t="s">
        <v>328</v>
      </c>
      <c r="F142" s="536"/>
      <c r="G142" s="536"/>
      <c r="H142" s="537"/>
    </row>
    <row r="143" spans="1:29" x14ac:dyDescent="0.25">
      <c r="B143" s="47" t="s">
        <v>329</v>
      </c>
      <c r="C143" s="68">
        <v>0</v>
      </c>
      <c r="D143" s="5" t="s">
        <v>323</v>
      </c>
      <c r="E143" s="472" t="s">
        <v>328</v>
      </c>
      <c r="F143" s="472"/>
      <c r="G143" s="472"/>
      <c r="H143" s="472"/>
    </row>
  </sheetData>
  <mergeCells count="29">
    <mergeCell ref="C75:F75"/>
    <mergeCell ref="B3:E3"/>
    <mergeCell ref="B22:H22"/>
    <mergeCell ref="B23:J23"/>
    <mergeCell ref="C49:F49"/>
    <mergeCell ref="C63:F63"/>
    <mergeCell ref="E88:H88"/>
    <mergeCell ref="E89:H89"/>
    <mergeCell ref="E90:H90"/>
    <mergeCell ref="E91:H91"/>
    <mergeCell ref="E94:H94"/>
    <mergeCell ref="E92:H92"/>
    <mergeCell ref="E142:H142"/>
    <mergeCell ref="E143:H143"/>
    <mergeCell ref="E141:H141"/>
    <mergeCell ref="E95:H95"/>
    <mergeCell ref="E97:I98"/>
    <mergeCell ref="E136:H136"/>
    <mergeCell ref="E140:H140"/>
    <mergeCell ref="B116:E116"/>
    <mergeCell ref="E137:H137"/>
    <mergeCell ref="E138:H138"/>
    <mergeCell ref="F111:I111"/>
    <mergeCell ref="K107:N107"/>
    <mergeCell ref="P107:S107"/>
    <mergeCell ref="U107:X107"/>
    <mergeCell ref="K108:N108"/>
    <mergeCell ref="P108:S108"/>
    <mergeCell ref="U108:X108"/>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41"/>
  <sheetViews>
    <sheetView topLeftCell="A19" zoomScale="70" zoomScaleNormal="70" workbookViewId="0">
      <selection activeCell="H41" sqref="H41"/>
    </sheetView>
  </sheetViews>
  <sheetFormatPr defaultColWidth="26" defaultRowHeight="15" x14ac:dyDescent="0.25"/>
  <cols>
    <col min="1" max="1" width="53.7109375" style="309" customWidth="1"/>
    <col min="2" max="2" width="49.7109375" style="336" customWidth="1"/>
    <col min="3" max="3" width="19.28515625" style="234" customWidth="1"/>
    <col min="4" max="4" width="16.85546875" style="234" customWidth="1"/>
    <col min="5" max="5" width="17.28515625" style="234" customWidth="1"/>
    <col min="6" max="6" width="15.85546875" style="234" customWidth="1"/>
    <col min="7" max="7" width="12.28515625" style="276" customWidth="1"/>
    <col min="8" max="8" width="24.140625" style="234" customWidth="1"/>
    <col min="9" max="9" width="42.28515625" style="234" customWidth="1"/>
    <col min="10" max="10" width="49.28515625" style="234" customWidth="1"/>
    <col min="11" max="16384" width="26" style="234"/>
  </cols>
  <sheetData>
    <row r="1" spans="1:11" ht="15.75" thickBot="1" x14ac:dyDescent="0.3">
      <c r="A1" s="363"/>
      <c r="B1" s="8"/>
      <c r="C1" s="364"/>
      <c r="D1" s="364"/>
      <c r="E1" s="364"/>
      <c r="F1" s="364"/>
      <c r="G1" s="365"/>
      <c r="H1" s="364"/>
      <c r="I1" s="364"/>
      <c r="J1" s="364"/>
      <c r="K1" s="268"/>
    </row>
    <row r="2" spans="1:11" ht="30.6" customHeight="1" x14ac:dyDescent="0.25">
      <c r="A2" s="227" t="s">
        <v>249</v>
      </c>
      <c r="B2" s="228" t="s">
        <v>250</v>
      </c>
      <c r="C2" s="229" t="s">
        <v>251</v>
      </c>
      <c r="D2" s="230" t="s">
        <v>252</v>
      </c>
      <c r="E2" s="229" t="s">
        <v>253</v>
      </c>
      <c r="F2" s="230" t="s">
        <v>254</v>
      </c>
      <c r="G2" s="231" t="s">
        <v>255</v>
      </c>
      <c r="H2" s="230" t="s">
        <v>256</v>
      </c>
      <c r="I2" s="230" t="s">
        <v>257</v>
      </c>
      <c r="J2" s="232" t="s">
        <v>258</v>
      </c>
      <c r="K2" s="233"/>
    </row>
    <row r="3" spans="1:11" ht="19.350000000000001" customHeight="1" x14ac:dyDescent="0.25">
      <c r="A3" s="505" t="s">
        <v>259</v>
      </c>
      <c r="B3" s="506"/>
      <c r="C3" s="506"/>
      <c r="D3" s="506"/>
      <c r="E3" s="506"/>
      <c r="F3" s="506"/>
      <c r="G3" s="506"/>
      <c r="H3" s="506"/>
      <c r="I3" s="506"/>
      <c r="J3" s="507"/>
      <c r="K3" s="236"/>
    </row>
    <row r="4" spans="1:11" s="244" customFormat="1" ht="19.149999999999999" customHeight="1" x14ac:dyDescent="0.25">
      <c r="A4" s="245"/>
      <c r="B4" s="238"/>
      <c r="C4" s="239"/>
      <c r="D4" s="239"/>
      <c r="E4" s="239"/>
      <c r="F4" s="239"/>
      <c r="G4" s="239"/>
      <c r="H4" s="240"/>
      <c r="I4" s="241"/>
      <c r="J4" s="242"/>
      <c r="K4" s="243"/>
    </row>
    <row r="5" spans="1:11" ht="19.350000000000001" customHeight="1" x14ac:dyDescent="0.25">
      <c r="A5" s="253" t="s">
        <v>269</v>
      </c>
      <c r="B5" s="235" t="s">
        <v>250</v>
      </c>
      <c r="C5" s="254" t="s">
        <v>251</v>
      </c>
      <c r="D5" s="255" t="s">
        <v>252</v>
      </c>
      <c r="E5" s="254" t="s">
        <v>253</v>
      </c>
      <c r="F5" s="254" t="s">
        <v>270</v>
      </c>
      <c r="G5" s="256" t="s">
        <v>255</v>
      </c>
      <c r="H5" s="255" t="s">
        <v>271</v>
      </c>
      <c r="I5" s="255" t="s">
        <v>257</v>
      </c>
      <c r="J5" s="257" t="s">
        <v>257</v>
      </c>
      <c r="K5" s="236"/>
    </row>
    <row r="6" spans="1:11" ht="19.350000000000001" customHeight="1" thickBot="1" x14ac:dyDescent="0.3">
      <c r="A6" s="2" t="s">
        <v>65</v>
      </c>
      <c r="B6" s="258"/>
      <c r="C6" s="246">
        <v>0</v>
      </c>
      <c r="D6" s="246">
        <v>0</v>
      </c>
      <c r="E6" s="246">
        <v>0</v>
      </c>
      <c r="F6" s="246">
        <v>0</v>
      </c>
      <c r="G6" s="246">
        <v>0</v>
      </c>
      <c r="H6" s="247">
        <v>0</v>
      </c>
      <c r="I6" s="258" t="s">
        <v>360</v>
      </c>
      <c r="J6" s="394"/>
      <c r="K6" s="236"/>
    </row>
    <row r="7" spans="1:11" ht="19.350000000000001" customHeight="1" x14ac:dyDescent="0.25">
      <c r="A7" s="259" t="s">
        <v>272</v>
      </c>
      <c r="B7" s="260"/>
      <c r="C7" s="261"/>
      <c r="D7" s="262"/>
      <c r="E7" s="263"/>
      <c r="F7" s="263"/>
      <c r="G7" s="263"/>
      <c r="H7" s="263"/>
      <c r="I7" s="263"/>
      <c r="J7" s="264"/>
      <c r="K7" s="236"/>
    </row>
    <row r="8" spans="1:11" ht="19.350000000000001" customHeight="1" x14ac:dyDescent="0.25">
      <c r="A8" s="265" t="s">
        <v>273</v>
      </c>
      <c r="B8" s="266">
        <v>0.15</v>
      </c>
      <c r="C8" s="267" t="s">
        <v>274</v>
      </c>
      <c r="D8" s="268"/>
      <c r="E8" s="263"/>
      <c r="F8" s="269"/>
      <c r="G8" s="270"/>
      <c r="H8" s="271"/>
      <c r="I8" s="271"/>
      <c r="J8" s="272"/>
      <c r="K8" s="236"/>
    </row>
    <row r="9" spans="1:11" ht="19.350000000000001" customHeight="1" x14ac:dyDescent="0.25">
      <c r="A9" s="265" t="s">
        <v>275</v>
      </c>
      <c r="B9" s="266">
        <v>0.09</v>
      </c>
      <c r="C9" s="273" t="s">
        <v>276</v>
      </c>
      <c r="D9" s="236"/>
      <c r="E9" s="274"/>
      <c r="F9" s="275"/>
      <c r="J9" s="277"/>
      <c r="K9" s="236"/>
    </row>
    <row r="10" spans="1:11" ht="19.350000000000001" customHeight="1" x14ac:dyDescent="0.25">
      <c r="A10" s="265" t="s">
        <v>277</v>
      </c>
      <c r="B10" s="266">
        <v>0.06</v>
      </c>
      <c r="C10" s="273" t="s">
        <v>276</v>
      </c>
      <c r="D10" s="236"/>
      <c r="E10" s="274"/>
      <c r="F10" s="278"/>
      <c r="J10" s="277"/>
      <c r="K10" s="236"/>
    </row>
    <row r="11" spans="1:11" ht="19.350000000000001" customHeight="1" x14ac:dyDescent="0.25">
      <c r="A11" s="265" t="s">
        <v>278</v>
      </c>
      <c r="B11" s="266">
        <v>0</v>
      </c>
      <c r="C11" s="273" t="s">
        <v>276</v>
      </c>
      <c r="D11" s="236"/>
      <c r="E11" s="279"/>
      <c r="F11" s="275"/>
      <c r="J11" s="277"/>
      <c r="K11" s="236"/>
    </row>
    <row r="12" spans="1:11" ht="19.350000000000001" customHeight="1" x14ac:dyDescent="0.25">
      <c r="A12" s="265" t="s">
        <v>279</v>
      </c>
      <c r="B12" s="280">
        <v>0</v>
      </c>
      <c r="C12" s="273" t="s">
        <v>276</v>
      </c>
      <c r="D12" s="236"/>
      <c r="E12" s="279"/>
      <c r="F12" s="275"/>
      <c r="J12" s="277"/>
      <c r="K12" s="236"/>
    </row>
    <row r="13" spans="1:11" ht="19.350000000000001" customHeight="1" x14ac:dyDescent="0.25">
      <c r="A13" s="265" t="s">
        <v>280</v>
      </c>
      <c r="B13" s="266">
        <v>2.81E-2</v>
      </c>
      <c r="C13" s="281" t="s">
        <v>281</v>
      </c>
      <c r="D13" s="236"/>
      <c r="E13" s="279"/>
      <c r="F13" s="275"/>
      <c r="J13" s="277"/>
      <c r="K13" s="236"/>
    </row>
    <row r="14" spans="1:11" ht="19.350000000000001" customHeight="1" thickBot="1" x14ac:dyDescent="0.3">
      <c r="A14" s="282" t="s">
        <v>361</v>
      </c>
      <c r="B14" s="283">
        <v>0.1</v>
      </c>
      <c r="C14" s="284" t="s">
        <v>362</v>
      </c>
      <c r="D14" s="236"/>
      <c r="J14" s="277"/>
      <c r="K14" s="236"/>
    </row>
    <row r="15" spans="1:11" ht="19.350000000000001" customHeight="1" x14ac:dyDescent="0.25">
      <c r="A15" s="285" t="s">
        <v>283</v>
      </c>
      <c r="B15" s="286"/>
      <c r="C15" s="287"/>
      <c r="D15" s="288"/>
      <c r="E15" s="289"/>
      <c r="F15" s="289"/>
      <c r="G15" s="290"/>
      <c r="H15" s="291"/>
      <c r="I15" s="236"/>
      <c r="J15" s="277"/>
      <c r="K15" s="236"/>
    </row>
    <row r="16" spans="1:11" ht="19.350000000000001" customHeight="1" x14ac:dyDescent="0.25">
      <c r="A16" s="292" t="s">
        <v>284</v>
      </c>
      <c r="B16" s="293"/>
      <c r="C16" s="294"/>
      <c r="D16" s="295"/>
      <c r="H16" s="277"/>
      <c r="I16" s="236"/>
      <c r="J16" s="277"/>
      <c r="K16" s="236"/>
    </row>
    <row r="17" spans="1:11" ht="19.350000000000001" customHeight="1" x14ac:dyDescent="0.25">
      <c r="A17" s="292" t="s">
        <v>285</v>
      </c>
      <c r="B17" s="293"/>
      <c r="C17" s="294"/>
      <c r="D17" s="295"/>
      <c r="H17" s="277"/>
      <c r="I17" s="236"/>
      <c r="J17" s="277"/>
      <c r="K17" s="236"/>
    </row>
    <row r="18" spans="1:11" ht="19.350000000000001" customHeight="1" x14ac:dyDescent="0.25">
      <c r="A18" s="292" t="s">
        <v>286</v>
      </c>
      <c r="B18" s="293"/>
      <c r="C18" s="294"/>
      <c r="D18" s="295"/>
      <c r="H18" s="277"/>
      <c r="I18" s="236"/>
      <c r="J18" s="277"/>
      <c r="K18" s="236"/>
    </row>
    <row r="19" spans="1:11" ht="19.350000000000001" customHeight="1" x14ac:dyDescent="0.25">
      <c r="A19" s="292" t="s">
        <v>287</v>
      </c>
      <c r="B19" s="293"/>
      <c r="C19" s="294"/>
      <c r="D19" s="295"/>
      <c r="H19" s="277"/>
      <c r="I19" s="236"/>
      <c r="J19" s="277"/>
      <c r="K19" s="236"/>
    </row>
    <row r="20" spans="1:11" ht="19.350000000000001" customHeight="1" thickBot="1" x14ac:dyDescent="0.3">
      <c r="A20" s="296"/>
      <c r="B20" s="297"/>
      <c r="C20" s="298"/>
      <c r="D20" s="299"/>
      <c r="E20" s="300"/>
      <c r="F20" s="300"/>
      <c r="G20" s="301"/>
      <c r="H20" s="302"/>
      <c r="I20" s="236"/>
      <c r="J20" s="277"/>
      <c r="K20" s="236"/>
    </row>
    <row r="21" spans="1:11" ht="19.350000000000001" customHeight="1" x14ac:dyDescent="0.25">
      <c r="A21" s="303"/>
      <c r="B21" s="304"/>
      <c r="C21" s="305"/>
      <c r="D21" s="262"/>
      <c r="E21" s="263"/>
      <c r="F21" s="263"/>
      <c r="G21" s="263"/>
      <c r="H21" s="263"/>
      <c r="I21" s="236"/>
      <c r="J21" s="277"/>
      <c r="K21" s="236"/>
    </row>
    <row r="22" spans="1:11" ht="19.350000000000001" customHeight="1" x14ac:dyDescent="0.25">
      <c r="A22" s="306" t="s">
        <v>288</v>
      </c>
      <c r="B22" s="307"/>
      <c r="C22" s="308"/>
      <c r="D22" s="236"/>
      <c r="E22" s="263"/>
      <c r="F22" s="263"/>
      <c r="G22" s="263"/>
      <c r="H22" s="263"/>
      <c r="I22" s="236"/>
      <c r="J22" s="277"/>
      <c r="K22" s="236"/>
    </row>
    <row r="23" spans="1:11" ht="19.350000000000001" customHeight="1" x14ac:dyDescent="0.25">
      <c r="B23" s="244">
        <v>2018</v>
      </c>
      <c r="C23" s="310"/>
      <c r="D23" s="236"/>
      <c r="E23" s="263"/>
      <c r="F23" s="263"/>
      <c r="G23" s="263"/>
      <c r="H23" s="263"/>
      <c r="I23" s="236"/>
      <c r="J23" s="277"/>
      <c r="K23" s="236"/>
    </row>
    <row r="24" spans="1:11" ht="19.350000000000001" customHeight="1" x14ac:dyDescent="0.25">
      <c r="A24" s="309" t="s">
        <v>289</v>
      </c>
      <c r="B24" s="234">
        <v>29.797999999999998</v>
      </c>
      <c r="C24" s="310" t="s">
        <v>290</v>
      </c>
      <c r="D24" s="236"/>
      <c r="E24" s="263"/>
      <c r="F24" s="263"/>
      <c r="G24" s="263"/>
      <c r="H24" s="263"/>
      <c r="I24" s="236"/>
      <c r="J24" s="277"/>
      <c r="K24" s="236"/>
    </row>
    <row r="25" spans="1:11" ht="19.350000000000001" customHeight="1" x14ac:dyDescent="0.25">
      <c r="A25" s="309" t="s">
        <v>291</v>
      </c>
      <c r="B25" s="234">
        <v>67.709999999999994</v>
      </c>
      <c r="C25" s="310" t="s">
        <v>290</v>
      </c>
      <c r="D25" s="236"/>
      <c r="E25" s="263"/>
      <c r="F25" s="263"/>
      <c r="G25" s="263"/>
      <c r="H25" s="263"/>
      <c r="I25" s="236"/>
      <c r="J25" s="277"/>
      <c r="K25" s="236"/>
    </row>
    <row r="26" spans="1:11" ht="19.350000000000001" customHeight="1" x14ac:dyDescent="0.25">
      <c r="A26" s="311" t="s">
        <v>292</v>
      </c>
      <c r="B26" s="312">
        <v>2.74</v>
      </c>
      <c r="C26" s="313" t="s">
        <v>290</v>
      </c>
      <c r="D26" s="236"/>
      <c r="E26" s="263"/>
      <c r="F26" s="263"/>
      <c r="G26" s="263"/>
      <c r="H26" s="263"/>
      <c r="I26" s="236"/>
      <c r="J26" s="277"/>
      <c r="K26" s="236"/>
    </row>
    <row r="27" spans="1:11" ht="19.350000000000001" customHeight="1" x14ac:dyDescent="0.25">
      <c r="A27" s="314"/>
      <c r="B27" s="271"/>
      <c r="C27" s="264"/>
      <c r="D27" s="236"/>
      <c r="E27" s="263"/>
      <c r="F27" s="263"/>
      <c r="G27" s="263"/>
      <c r="H27" s="263"/>
      <c r="I27" s="236"/>
      <c r="J27" s="277"/>
      <c r="K27" s="236"/>
    </row>
    <row r="28" spans="1:11" ht="19.350000000000001" customHeight="1" x14ac:dyDescent="0.25">
      <c r="A28" s="315" t="s">
        <v>293</v>
      </c>
      <c r="B28" s="234"/>
      <c r="C28" s="310"/>
      <c r="D28" s="236"/>
      <c r="E28" s="263"/>
      <c r="F28" s="263"/>
      <c r="G28" s="263"/>
      <c r="H28" s="263"/>
      <c r="I28" s="236"/>
      <c r="J28" s="277"/>
      <c r="K28" s="236"/>
    </row>
    <row r="29" spans="1:11" ht="19.350000000000001" customHeight="1" thickBot="1" x14ac:dyDescent="0.3">
      <c r="A29" s="316"/>
      <c r="B29" s="317"/>
      <c r="C29" s="318"/>
      <c r="D29" s="262"/>
      <c r="E29" s="263"/>
      <c r="F29" s="263"/>
      <c r="G29" s="263"/>
      <c r="H29" s="263"/>
      <c r="I29" s="236"/>
      <c r="J29" s="277"/>
      <c r="K29" s="236"/>
    </row>
    <row r="30" spans="1:11" ht="19.350000000000001" customHeight="1" x14ac:dyDescent="0.25">
      <c r="A30" s="319"/>
      <c r="B30" s="263"/>
      <c r="C30" s="263"/>
      <c r="D30" s="263"/>
      <c r="E30" s="263"/>
      <c r="F30" s="263"/>
      <c r="G30" s="263"/>
      <c r="H30" s="263"/>
      <c r="I30" s="236"/>
      <c r="J30" s="277"/>
      <c r="K30" s="236"/>
    </row>
    <row r="31" spans="1:11" ht="19.350000000000001" customHeight="1" x14ac:dyDescent="0.25">
      <c r="A31" s="320" t="s">
        <v>364</v>
      </c>
      <c r="B31" s="6"/>
      <c r="C31" s="16"/>
      <c r="D31" s="16"/>
      <c r="E31" s="16"/>
      <c r="F31" s="16"/>
      <c r="G31" s="375"/>
      <c r="H31" s="16"/>
      <c r="I31" s="236"/>
      <c r="J31" s="277"/>
      <c r="K31" s="236"/>
    </row>
    <row r="32" spans="1:11" ht="19.350000000000001" customHeight="1" x14ac:dyDescent="0.25">
      <c r="A32" s="321"/>
      <c r="B32" s="322"/>
      <c r="C32" s="256" t="s">
        <v>294</v>
      </c>
      <c r="D32" s="256" t="s">
        <v>295</v>
      </c>
      <c r="E32" s="256" t="s">
        <v>296</v>
      </c>
      <c r="F32" s="256" t="s">
        <v>297</v>
      </c>
      <c r="G32" s="323" t="s">
        <v>298</v>
      </c>
      <c r="H32" s="324" t="s">
        <v>299</v>
      </c>
      <c r="I32" s="236"/>
      <c r="J32" s="277"/>
      <c r="K32" s="236"/>
    </row>
    <row r="33" spans="1:11" ht="19.350000000000001" customHeight="1" x14ac:dyDescent="0.25">
      <c r="A33" s="325"/>
      <c r="B33" s="326" t="s">
        <v>363</v>
      </c>
      <c r="C33" s="327"/>
      <c r="D33" s="328">
        <v>1</v>
      </c>
      <c r="E33" s="328"/>
      <c r="F33" s="329">
        <f>B13</f>
        <v>2.81E-2</v>
      </c>
      <c r="G33" s="330">
        <f>D33*F33</f>
        <v>2.81E-2</v>
      </c>
      <c r="H33" s="331">
        <f>D33-G33</f>
        <v>0.97189999999999999</v>
      </c>
      <c r="I33" s="236"/>
      <c r="J33" s="277"/>
      <c r="K33" s="236"/>
    </row>
    <row r="34" spans="1:11" ht="19.350000000000001" customHeight="1" x14ac:dyDescent="0.25">
      <c r="A34" s="325" t="s">
        <v>301</v>
      </c>
      <c r="B34" s="326" t="s">
        <v>365</v>
      </c>
      <c r="C34" s="329">
        <f>C1</f>
        <v>0</v>
      </c>
      <c r="D34" s="328">
        <f>C34*D33</f>
        <v>0</v>
      </c>
      <c r="E34" s="328"/>
      <c r="F34" s="328"/>
      <c r="G34" s="332"/>
      <c r="H34" s="331"/>
      <c r="I34" s="236"/>
      <c r="J34" s="277"/>
      <c r="K34" s="236"/>
    </row>
    <row r="35" spans="1:11" ht="19.350000000000001" customHeight="1" x14ac:dyDescent="0.25">
      <c r="A35" s="325" t="s">
        <v>301</v>
      </c>
      <c r="B35" s="326" t="s">
        <v>367</v>
      </c>
      <c r="C35" s="329">
        <f>E1</f>
        <v>0</v>
      </c>
      <c r="D35" s="328">
        <f>SUM(D33:D34)*C35</f>
        <v>0</v>
      </c>
      <c r="E35" s="328"/>
      <c r="F35" s="328"/>
      <c r="G35" s="332"/>
      <c r="H35" s="331"/>
      <c r="I35" s="236"/>
      <c r="J35" s="277"/>
      <c r="K35" s="236"/>
    </row>
    <row r="36" spans="1:11" ht="19.350000000000001" customHeight="1" x14ac:dyDescent="0.25">
      <c r="A36" s="325" t="s">
        <v>301</v>
      </c>
      <c r="B36" s="326" t="s">
        <v>368</v>
      </c>
      <c r="C36" s="329">
        <f>B11</f>
        <v>0</v>
      </c>
      <c r="D36" s="328">
        <f>D33*C36</f>
        <v>0</v>
      </c>
      <c r="E36" s="328">
        <f>1-$B$11</f>
        <v>1</v>
      </c>
      <c r="F36" s="328"/>
      <c r="G36" s="332"/>
      <c r="H36" s="331">
        <f>D36*E36</f>
        <v>0</v>
      </c>
      <c r="I36" s="236"/>
      <c r="J36" s="277"/>
      <c r="K36" s="236"/>
    </row>
    <row r="37" spans="1:11" ht="19.350000000000001" customHeight="1" x14ac:dyDescent="0.25">
      <c r="A37" s="325" t="s">
        <v>301</v>
      </c>
      <c r="B37" s="326" t="s">
        <v>305</v>
      </c>
      <c r="C37" s="329"/>
      <c r="D37" s="328">
        <f>D33+D34+D35+D36</f>
        <v>1</v>
      </c>
      <c r="E37" s="328"/>
      <c r="F37" s="328"/>
      <c r="G37" s="332"/>
      <c r="H37" s="331"/>
      <c r="I37" s="236"/>
      <c r="J37" s="277"/>
      <c r="K37" s="236"/>
    </row>
    <row r="38" spans="1:11" ht="19.350000000000001" customHeight="1" x14ac:dyDescent="0.25">
      <c r="A38" s="325" t="s">
        <v>301</v>
      </c>
      <c r="B38" s="326" t="s">
        <v>366</v>
      </c>
      <c r="C38" s="329">
        <f>$B$15</f>
        <v>0</v>
      </c>
      <c r="D38" s="328">
        <f>D33*C38</f>
        <v>0</v>
      </c>
      <c r="E38" s="328">
        <v>0</v>
      </c>
      <c r="F38" s="328"/>
      <c r="G38" s="332"/>
      <c r="H38" s="331">
        <f>D38*E38</f>
        <v>0</v>
      </c>
      <c r="I38" s="236"/>
      <c r="J38" s="277"/>
      <c r="K38" s="236"/>
    </row>
    <row r="39" spans="1:11" ht="19.350000000000001" customHeight="1" x14ac:dyDescent="0.25">
      <c r="A39" s="325" t="s">
        <v>307</v>
      </c>
      <c r="B39" s="326" t="s">
        <v>308</v>
      </c>
      <c r="C39" s="246">
        <f>B14</f>
        <v>0.1</v>
      </c>
      <c r="D39" s="328">
        <v>0</v>
      </c>
      <c r="E39" s="328"/>
      <c r="F39" s="328"/>
      <c r="G39" s="332"/>
      <c r="H39" s="331">
        <f>D33*C39</f>
        <v>0.1</v>
      </c>
      <c r="I39" s="236"/>
      <c r="J39" s="277"/>
      <c r="K39" s="236"/>
    </row>
    <row r="40" spans="1:11" ht="19.350000000000001" customHeight="1" x14ac:dyDescent="0.25">
      <c r="A40" s="325"/>
      <c r="B40" s="326" t="s">
        <v>309</v>
      </c>
      <c r="C40" s="327"/>
      <c r="D40" s="328">
        <f>D37+D38-D39</f>
        <v>1</v>
      </c>
      <c r="E40" s="328"/>
      <c r="F40" s="328"/>
      <c r="G40" s="332"/>
      <c r="H40" s="331">
        <f>H33+H39</f>
        <v>1.0719000000000001</v>
      </c>
      <c r="I40" s="236"/>
      <c r="J40" s="277"/>
      <c r="K40" s="236"/>
    </row>
    <row r="41" spans="1:11" ht="19.350000000000001" customHeight="1" x14ac:dyDescent="0.25">
      <c r="A41" s="333"/>
      <c r="B41" s="235" t="s">
        <v>310</v>
      </c>
      <c r="C41" s="334">
        <f>H40/D40</f>
        <v>1.0719000000000001</v>
      </c>
      <c r="D41" s="262"/>
      <c r="E41" s="263"/>
      <c r="F41" s="263"/>
      <c r="G41" s="335"/>
      <c r="J41" s="277"/>
      <c r="K41" s="236"/>
    </row>
  </sheetData>
  <mergeCells count="1">
    <mergeCell ref="A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AA83"/>
  <sheetViews>
    <sheetView showGridLines="0" topLeftCell="A37" zoomScale="85" zoomScaleNormal="85" workbookViewId="0">
      <selection activeCell="E44" sqref="E44"/>
    </sheetView>
  </sheetViews>
  <sheetFormatPr defaultColWidth="9" defaultRowHeight="15" x14ac:dyDescent="0.25"/>
  <cols>
    <col min="1" max="1" width="40.7109375" style="10" customWidth="1"/>
    <col min="2" max="2" width="21.28515625" style="26" customWidth="1"/>
    <col min="3" max="3" width="13" style="26" customWidth="1"/>
    <col min="4" max="4" width="17" style="26" customWidth="1"/>
    <col min="5" max="5" width="17.140625" style="26" customWidth="1"/>
    <col min="6" max="6" width="16.140625" style="26" customWidth="1"/>
    <col min="7" max="7" width="14.28515625" style="26" customWidth="1"/>
    <col min="8" max="8" width="15.5703125" style="26" customWidth="1"/>
    <col min="9" max="9" width="13.85546875" style="26" customWidth="1"/>
    <col min="10" max="10" width="13" style="26" customWidth="1"/>
    <col min="11" max="11" width="12.7109375" style="26" customWidth="1"/>
    <col min="12" max="12" width="15.42578125" style="26" customWidth="1"/>
    <col min="13" max="23" width="13.7109375" style="3" customWidth="1"/>
    <col min="24" max="24" width="15.7109375" style="3" customWidth="1"/>
    <col min="25" max="25" width="14.140625" style="3" customWidth="1"/>
    <col min="26" max="26" width="11.140625" style="3" customWidth="1"/>
    <col min="27" max="27" width="16" style="3" customWidth="1"/>
    <col min="28"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51</v>
      </c>
      <c r="B6" s="31">
        <f>'Assumption_CRAB Value chain'!D18*'Assumption_CRAB Value chain'!D127*'Assumption_CRAB Value chain'!D128*(1+'Assumption_CRAB Value chain'!D129)^'BaU_CRAB Value'!B4</f>
        <v>0</v>
      </c>
      <c r="C6" s="31">
        <f>'Assumption_CRAB Value chain'!E18*'Assumption_CRAB Value chain'!E127*'Assumption_CRAB Value chain'!E128*(1+'Assumption_CRAB Value chain'!E129)^'BaU_CRAB Value'!C4</f>
        <v>1552881.6281250003</v>
      </c>
      <c r="D6" s="31">
        <f>'Assumption_CRAB Value chain'!F18*'Assumption_CRAB Value chain'!F127*'Assumption_CRAB Value chain'!F128*(1+'Assumption_CRAB Value chain'!F129)^'BaU_CRAB Value'!D4</f>
        <v>5228034.8146875007</v>
      </c>
      <c r="E6" s="31">
        <f>'Assumption_CRAB Value chain'!G18*'Assumption_CRAB Value chain'!G127*'Assumption_CRAB Value chain'!G128*(1+'Assumption_CRAB Value chain'!G129)^'BaU_CRAB Value'!E4</f>
        <v>7405642.015875211</v>
      </c>
      <c r="F6" s="31">
        <f>'Assumption_CRAB Value chain'!H18*'Assumption_CRAB Value chain'!H127*'Assumption_CRAB Value chain'!H128*(1+'Assumption_CRAB Value chain'!H129)^'BaU_CRAB Value'!F4</f>
        <v>10132924.797479168</v>
      </c>
      <c r="G6" s="31">
        <f>'Assumption_CRAB Value chain'!I18*'Assumption_CRAB Value chain'!I127*'Assumption_CRAB Value chain'!I128*(1+'Assumption_CRAB Value chain'!I129)^'BaU_CRAB Value'!G4</f>
        <v>10772898.995214693</v>
      </c>
      <c r="H6" s="31">
        <f>'Assumption_CRAB Value chain'!J18*'Assumption_CRAB Value chain'!J127*'Assumption_CRAB Value chain'!J128*(1+'Assumption_CRAB Value chain'!J129)^'BaU_CRAB Value'!H4</f>
        <v>8976518.0877626445</v>
      </c>
      <c r="I6" s="31">
        <f>'Assumption_CRAB Value chain'!K18*'Assumption_CRAB Value chain'!K127*'Assumption_CRAB Value chain'!K128*(1+'Assumption_CRAB Value chain'!K129)^'BaU_CRAB Value'!I4</f>
        <v>10989434.265018508</v>
      </c>
      <c r="J6" s="31">
        <f>'Assumption_CRAB Value chain'!L18*'Assumption_CRAB Value chain'!L127*'Assumption_CRAB Value chain'!L128*(1+'Assumption_CRAB Value chain'!L129)^'BaU_CRAB Value'!J4</f>
        <v>11099328.607668696</v>
      </c>
      <c r="K6" s="31">
        <f>'Assumption_CRAB Value chain'!M18*'Assumption_CRAB Value chain'!M127*'Assumption_CRAB Value chain'!M128*(1+'Assumption_CRAB Value chain'!M129)^'BaU_CRAB Value'!K4</f>
        <v>9248515.562339941</v>
      </c>
      <c r="L6" s="31">
        <f>'Assumption_CRAB Value chain'!N18*'Assumption_CRAB Value chain'!N127*'Assumption_CRAB Value chain'!N128*(1+'Assumption_CRAB Value chain'!N129)^'BaU_CRAB Value'!L4</f>
        <v>11322425.112682838</v>
      </c>
      <c r="M6" s="31">
        <f>'Assumption_CRAB Value chain'!O18*'Assumption_CRAB Value chain'!O127*'Assumption_CRAB Value chain'!O128*(1+'Assumption_CRAB Value chain'!O129)^'BaU_CRAB Value'!M4</f>
        <v>11435649.363809664</v>
      </c>
      <c r="N6" s="31">
        <f>'Assumption_CRAB Value chain'!P18*'Assumption_CRAB Value chain'!P127*'Assumption_CRAB Value chain'!P128*(1+'Assumption_CRAB Value chain'!P129)^'BaU_CRAB Value'!N4</f>
        <v>9528754.8323944025</v>
      </c>
      <c r="O6" s="31">
        <f>'Assumption_CRAB Value chain'!Q18*'Assumption_CRAB Value chain'!Q127*'Assumption_CRAB Value chain'!Q128*(1+'Assumption_CRAB Value chain'!Q129)^'BaU_CRAB Value'!O4</f>
        <v>11665505.916022239</v>
      </c>
      <c r="P6" s="31">
        <f>'Assumption_CRAB Value chain'!R18*'Assumption_CRAB Value chain'!R127*'Assumption_CRAB Value chain'!R128*(1+'Assumption_CRAB Value chain'!R129)^'BaU_CRAB Value'!P4</f>
        <v>11782160.975182462</v>
      </c>
      <c r="Q6" s="31">
        <f>'Assumption_CRAB Value chain'!S18*'Assumption_CRAB Value chain'!S127*'Assumption_CRAB Value chain'!S128*(1+'Assumption_CRAB Value chain'!S129)^'BaU_CRAB Value'!Q4</f>
        <v>9817485.6325707845</v>
      </c>
      <c r="R6" s="31">
        <f>'Assumption_CRAB Value chain'!T18*'Assumption_CRAB Value chain'!T127*'Assumption_CRAB Value chain'!T128*(1+'Assumption_CRAB Value chain'!T129)^'BaU_CRAB Value'!R4</f>
        <v>12018982.41078363</v>
      </c>
      <c r="S6" s="31">
        <f>'Assumption_CRAB Value chain'!U18*'Assumption_CRAB Value chain'!U127*'Assumption_CRAB Value chain'!U128*(1+'Assumption_CRAB Value chain'!U129)^'BaU_CRAB Value'!S4</f>
        <v>12139172.234891467</v>
      </c>
      <c r="T6" s="31">
        <f>'Assumption_CRAB Value chain'!V18*'Assumption_CRAB Value chain'!V127*'Assumption_CRAB Value chain'!V128*(1+'Assumption_CRAB Value chain'!V129)^'BaU_CRAB Value'!T4</f>
        <v>10114965.264723316</v>
      </c>
      <c r="U6" s="31">
        <f>'Assumption_CRAB Value chain'!W18*'Assumption_CRAB Value chain'!W127*'Assumption_CRAB Value chain'!W128*(1+'Assumption_CRAB Value chain'!W129)^'BaU_CRAB Value'!U4</f>
        <v>12383169.596812783</v>
      </c>
      <c r="V6" s="31">
        <f>'Assumption_CRAB Value chain'!X18*'Assumption_CRAB Value chain'!X127*'Assumption_CRAB Value chain'!X128*(1+'Assumption_CRAB Value chain'!X129)^'BaU_CRAB Value'!V4</f>
        <v>12507001.292780912</v>
      </c>
      <c r="W6" s="31">
        <f>'Assumption_CRAB Value chain'!Y18*'Assumption_CRAB Value chain'!Y127*'Assumption_CRAB Value chain'!Y128*(1+'Assumption_CRAB Value chain'!Y129)^'BaU_CRAB Value'!W4</f>
        <v>8858240.0031282399</v>
      </c>
      <c r="X6" s="31">
        <f>'Assumption_CRAB Value chain'!Z18*'Assumption_CRAB Value chain'!Z127*'Assumption_CRAB Value chain'!Z128*(1+'Assumption_CRAB Value chain'!Z129)^'BaU_CRAB Value'!X4</f>
        <v>6379196.0093829054</v>
      </c>
      <c r="Y6" s="31">
        <f>'Assumption_CRAB Value chain'!AA18*'Assumption_CRAB Value chain'!AA127*'Assumption_CRAB Value chain'!AA128*(1+'Assumption_CRAB Value chain'!AA129)^'BaU_CRAB Value'!Y4</f>
        <v>1932896.3908430198</v>
      </c>
      <c r="Z6" s="31">
        <f>'Assumption_CRAB Value chain'!AB18*'Assumption_CRAB Value chain'!AB127*'Assumption_CRAB Value chain'!AB128*(1+'Assumption_CRAB Value chain'!AB129)^'BaU_CRAB Value'!Z4</f>
        <v>536861.97255664889</v>
      </c>
    </row>
    <row r="7" spans="1:26" x14ac:dyDescent="0.25">
      <c r="A7" s="10" t="s">
        <v>52</v>
      </c>
      <c r="B7" s="31">
        <f>BaU_Hatchery!B7</f>
        <v>0</v>
      </c>
      <c r="C7" s="31">
        <f>BaU_Hatchery!C7</f>
        <v>0</v>
      </c>
      <c r="D7" s="31">
        <f>BaU_Hatchery!D7</f>
        <v>0</v>
      </c>
      <c r="E7" s="31">
        <f>BaU_Hatchery!E7</f>
        <v>0</v>
      </c>
      <c r="F7" s="31">
        <f>BaU_Hatchery!F7</f>
        <v>0</v>
      </c>
      <c r="G7" s="31">
        <f>BaU_Hatchery!G7</f>
        <v>0</v>
      </c>
      <c r="H7" s="31">
        <f>BaU_Hatchery!H7</f>
        <v>0</v>
      </c>
      <c r="I7" s="31">
        <f>BaU_Hatchery!I7</f>
        <v>0</v>
      </c>
      <c r="J7" s="31">
        <f>BaU_Hatchery!J7</f>
        <v>0</v>
      </c>
      <c r="K7" s="31">
        <f>BaU_Hatchery!K7</f>
        <v>0</v>
      </c>
      <c r="L7" s="31">
        <f>BaU_Hatchery!L7</f>
        <v>0</v>
      </c>
      <c r="M7" s="31">
        <f>BaU_Hatchery!M7</f>
        <v>0</v>
      </c>
      <c r="N7" s="31">
        <f>BaU_Hatchery!N7</f>
        <v>0</v>
      </c>
      <c r="O7" s="31">
        <f>BaU_Hatchery!O7</f>
        <v>0</v>
      </c>
      <c r="P7" s="31">
        <f>BaU_Hatchery!P7</f>
        <v>0</v>
      </c>
      <c r="Q7" s="31">
        <f>BaU_Hatchery!Q7</f>
        <v>0</v>
      </c>
      <c r="R7" s="31">
        <f>BaU_Hatchery!R7</f>
        <v>0</v>
      </c>
      <c r="S7" s="31">
        <f>BaU_Hatchery!S7</f>
        <v>0</v>
      </c>
      <c r="T7" s="31">
        <f>BaU_Hatchery!T7</f>
        <v>0</v>
      </c>
      <c r="U7" s="31">
        <f>BaU_Hatchery!U7</f>
        <v>0</v>
      </c>
      <c r="V7" s="31">
        <f>BaU_Hatchery!V7</f>
        <v>0</v>
      </c>
      <c r="W7" s="31">
        <f>BaU_Hatchery!W7</f>
        <v>19000</v>
      </c>
      <c r="X7" s="31">
        <f>BaU_Hatchery!X7</f>
        <v>30000</v>
      </c>
      <c r="Y7" s="31">
        <f>BaU_Hatchery!Y7</f>
        <v>40000</v>
      </c>
      <c r="Z7" s="31">
        <f>BaU_Hatchery!Z7</f>
        <v>9500</v>
      </c>
    </row>
    <row r="8" spans="1:26" x14ac:dyDescent="0.25">
      <c r="B8" s="31"/>
      <c r="C8" s="31"/>
      <c r="D8" s="31"/>
      <c r="E8" s="136"/>
      <c r="F8" s="31"/>
      <c r="G8" s="31"/>
      <c r="H8" s="136"/>
      <c r="I8" s="31"/>
      <c r="J8" s="31"/>
      <c r="K8" s="136"/>
      <c r="L8" s="31"/>
      <c r="M8" s="31"/>
      <c r="N8" s="136"/>
      <c r="O8" s="31"/>
      <c r="P8" s="31"/>
      <c r="Q8" s="136"/>
      <c r="R8" s="31"/>
      <c r="S8" s="31"/>
      <c r="T8" s="31"/>
      <c r="U8" s="31"/>
      <c r="V8" s="31"/>
      <c r="W8" s="31"/>
      <c r="X8" s="31"/>
      <c r="Y8" s="31"/>
      <c r="Z8" s="31"/>
    </row>
    <row r="9" spans="1:26" s="12" customFormat="1" x14ac:dyDescent="0.25">
      <c r="A9" s="23" t="s">
        <v>53</v>
      </c>
      <c r="B9" s="38">
        <f t="shared" ref="B9:Z9" si="0">(B6+B7)</f>
        <v>0</v>
      </c>
      <c r="C9" s="38">
        <f t="shared" si="0"/>
        <v>1552881.6281250003</v>
      </c>
      <c r="D9" s="38">
        <f t="shared" si="0"/>
        <v>5228034.8146875007</v>
      </c>
      <c r="E9" s="38">
        <f t="shared" si="0"/>
        <v>7405642.015875211</v>
      </c>
      <c r="F9" s="38">
        <f t="shared" si="0"/>
        <v>10132924.797479168</v>
      </c>
      <c r="G9" s="38">
        <f t="shared" si="0"/>
        <v>10772898.995214693</v>
      </c>
      <c r="H9" s="38">
        <f t="shared" si="0"/>
        <v>8976518.0877626445</v>
      </c>
      <c r="I9" s="38">
        <f t="shared" si="0"/>
        <v>10989434.265018508</v>
      </c>
      <c r="J9" s="38">
        <f t="shared" si="0"/>
        <v>11099328.607668696</v>
      </c>
      <c r="K9" s="38">
        <f t="shared" si="0"/>
        <v>9248515.562339941</v>
      </c>
      <c r="L9" s="38">
        <f t="shared" si="0"/>
        <v>11322425.112682838</v>
      </c>
      <c r="M9" s="38">
        <f t="shared" si="0"/>
        <v>11435649.363809664</v>
      </c>
      <c r="N9" s="38">
        <f t="shared" si="0"/>
        <v>9528754.8323944025</v>
      </c>
      <c r="O9" s="38">
        <f t="shared" si="0"/>
        <v>11665505.916022239</v>
      </c>
      <c r="P9" s="38">
        <f t="shared" si="0"/>
        <v>11782160.975182462</v>
      </c>
      <c r="Q9" s="38">
        <f t="shared" si="0"/>
        <v>9817485.6325707845</v>
      </c>
      <c r="R9" s="38">
        <f t="shared" si="0"/>
        <v>12018982.41078363</v>
      </c>
      <c r="S9" s="38">
        <f t="shared" si="0"/>
        <v>12139172.234891467</v>
      </c>
      <c r="T9" s="38">
        <f t="shared" si="0"/>
        <v>10114965.264723316</v>
      </c>
      <c r="U9" s="38">
        <f t="shared" si="0"/>
        <v>12383169.596812783</v>
      </c>
      <c r="V9" s="38">
        <f t="shared" si="0"/>
        <v>12507001.292780912</v>
      </c>
      <c r="W9" s="38">
        <f t="shared" si="0"/>
        <v>8877240.0031282399</v>
      </c>
      <c r="X9" s="38">
        <f t="shared" si="0"/>
        <v>6409196.0093829054</v>
      </c>
      <c r="Y9" s="38">
        <f t="shared" si="0"/>
        <v>1972896.3908430198</v>
      </c>
      <c r="Z9" s="38">
        <f t="shared" si="0"/>
        <v>546361.97255664889</v>
      </c>
    </row>
    <row r="10" spans="1:26" x14ac:dyDescent="0.25">
      <c r="A10" s="23"/>
      <c r="B10" s="41"/>
      <c r="C10" s="41"/>
      <c r="D10" s="41"/>
      <c r="E10" s="41"/>
      <c r="F10" s="41"/>
      <c r="G10" s="41"/>
      <c r="H10" s="41"/>
      <c r="I10" s="41"/>
      <c r="J10" s="41"/>
      <c r="K10" s="41"/>
    </row>
    <row r="11" spans="1:26" x14ac:dyDescent="0.25">
      <c r="A11" s="23" t="s">
        <v>348</v>
      </c>
    </row>
    <row r="12" spans="1:26" x14ac:dyDescent="0.25">
      <c r="A12" s="88" t="s">
        <v>345</v>
      </c>
      <c r="B12" s="33">
        <f>BaU_Hatchery!B20</f>
        <v>0</v>
      </c>
      <c r="C12" s="33">
        <f>BaU_Hatchery!C20</f>
        <v>165338.78181818183</v>
      </c>
      <c r="D12" s="33">
        <f>BaU_Hatchery!D20</f>
        <v>451649.46954545454</v>
      </c>
      <c r="E12" s="33">
        <f>BaU_Hatchery!E20</f>
        <v>826988.63563363638</v>
      </c>
      <c r="F12" s="33">
        <f>BaU_Hatchery!F20</f>
        <v>846115.17049390904</v>
      </c>
      <c r="G12" s="33">
        <f>BaU_Hatchery!G20</f>
        <v>664826.41310793906</v>
      </c>
      <c r="H12" s="33">
        <f>BaU_Hatchery!H20</f>
        <v>438101.67723901849</v>
      </c>
      <c r="I12" s="33">
        <f>BaU_Hatchery!I20</f>
        <v>377955.25673868135</v>
      </c>
      <c r="J12" s="33">
        <f>BaU_Hatchery!J20</f>
        <v>378172.90021515911</v>
      </c>
      <c r="K12" s="33">
        <f>BaU_Hatchery!K20</f>
        <v>382954.62921731069</v>
      </c>
      <c r="L12" s="33">
        <f>BaU_Hatchery!L20</f>
        <v>378614.73823675653</v>
      </c>
      <c r="M12" s="33">
        <f>BaU_Hatchery!M20</f>
        <v>378838.97652821499</v>
      </c>
      <c r="N12" s="33">
        <f>BaU_Hatchery!N20</f>
        <v>383627.36629349715</v>
      </c>
      <c r="O12" s="33">
        <f>BaU_Hatchery!O20</f>
        <v>379294.20268370485</v>
      </c>
      <c r="P12" s="33">
        <f>BaU_Hatchery!P20</f>
        <v>379525.23561963282</v>
      </c>
      <c r="Q12" s="33">
        <f>BaU_Hatchery!Q20</f>
        <v>384320.48797582916</v>
      </c>
      <c r="R12" s="33">
        <f>BaU_Hatchery!R20</f>
        <v>379994.25558286015</v>
      </c>
      <c r="S12" s="33">
        <f>BaU_Hatchery!S20</f>
        <v>380232.28904777963</v>
      </c>
      <c r="T12" s="33">
        <f>BaU_Hatchery!T20</f>
        <v>385034.61193825747</v>
      </c>
      <c r="U12" s="33">
        <f>BaU_Hatchery!U20</f>
        <v>380715.52078491275</v>
      </c>
      <c r="V12" s="33">
        <f>BaU_Hatchery!V20</f>
        <v>380960.7669018528</v>
      </c>
      <c r="W12" s="33">
        <f>BaU_Hatchery!W20</f>
        <v>318766.29965669703</v>
      </c>
      <c r="X12" s="33">
        <f>BaU_Hatchery!X20</f>
        <v>215729.32052192639</v>
      </c>
      <c r="Y12" s="33">
        <f>BaU_Hatchery!Y20</f>
        <v>73171.131836338231</v>
      </c>
      <c r="Z12" s="33">
        <f>BaU_Hatchery!Z20</f>
        <v>25374.999999999996</v>
      </c>
    </row>
    <row r="13" spans="1:26" x14ac:dyDescent="0.25">
      <c r="A13" s="88" t="s">
        <v>346</v>
      </c>
      <c r="B13" s="33">
        <f>BaU_Nursery!B16</f>
        <v>0</v>
      </c>
      <c r="C13" s="33">
        <f>BaU_Nursery!C16</f>
        <v>250820</v>
      </c>
      <c r="D13" s="33">
        <f>BaU_Nursery!D16</f>
        <v>553710.5</v>
      </c>
      <c r="E13" s="33">
        <f>BaU_Nursery!E16</f>
        <v>820990.56799999997</v>
      </c>
      <c r="F13" s="33">
        <f>BaU_Nursery!F16</f>
        <v>962926.84210000001</v>
      </c>
      <c r="G13" s="33">
        <f>BaU_Nursery!G16</f>
        <v>890712.110521</v>
      </c>
      <c r="H13" s="33">
        <f>BaU_Nursery!H16</f>
        <v>893294.23162621004</v>
      </c>
      <c r="I13" s="33">
        <f>BaU_Nursery!I16</f>
        <v>895148.42394247209</v>
      </c>
      <c r="J13" s="33">
        <f>BaU_Nursery!J16</f>
        <v>897399.9081818969</v>
      </c>
      <c r="K13" s="33">
        <f>BaU_Nursery!K16</f>
        <v>900048.90726371575</v>
      </c>
      <c r="L13" s="33">
        <f>BaU_Nursery!L16</f>
        <v>901970.64633635292</v>
      </c>
      <c r="M13" s="33">
        <f>BaU_Nursery!M16</f>
        <v>904290.35279971652</v>
      </c>
      <c r="N13" s="33">
        <f>BaU_Nursery!N16</f>
        <v>907008.25632771361</v>
      </c>
      <c r="O13" s="33">
        <f>BaU_Nursery!O16</f>
        <v>908999.58889099082</v>
      </c>
      <c r="P13" s="33">
        <f>BaU_Nursery!P16</f>
        <v>911389.58477990073</v>
      </c>
      <c r="Q13" s="33">
        <f>BaU_Nursery!Q16</f>
        <v>914178.48062769976</v>
      </c>
      <c r="R13" s="33">
        <f>BaU_Nursery!R16</f>
        <v>916241.51543397678</v>
      </c>
      <c r="S13" s="33">
        <f>BaU_Nursery!S16</f>
        <v>918703.93058831652</v>
      </c>
      <c r="T13" s="33">
        <f>BaU_Nursery!T16</f>
        <v>921565.96989419963</v>
      </c>
      <c r="U13" s="33">
        <f>BaU_Nursery!U16</f>
        <v>923702.87959314161</v>
      </c>
      <c r="V13" s="33">
        <f>BaU_Nursery!V16</f>
        <v>926239.9083890731</v>
      </c>
      <c r="W13" s="33">
        <f>BaU_Nursery!W16</f>
        <v>743341.84597837098</v>
      </c>
      <c r="X13" s="33">
        <f>BaU_Nursery!X16</f>
        <v>465695.16527384677</v>
      </c>
      <c r="Y13" s="33">
        <f>BaU_Nursery!Y16</f>
        <v>186800.84677063406</v>
      </c>
      <c r="Z13" s="33">
        <f>BaU_Nursery!Z16</f>
        <v>0</v>
      </c>
    </row>
    <row r="14" spans="1:26" x14ac:dyDescent="0.25">
      <c r="A14" s="88" t="s">
        <v>347</v>
      </c>
      <c r="B14" s="33">
        <f>BaU_Fattening!B15</f>
        <v>0</v>
      </c>
      <c r="C14" s="33">
        <f>BaU_Fattening!C15</f>
        <v>3580725</v>
      </c>
      <c r="D14" s="33">
        <f>BaU_Fattening!D15</f>
        <v>9343150</v>
      </c>
      <c r="E14" s="33">
        <f>BaU_Fattening!E15</f>
        <v>11811975</v>
      </c>
      <c r="F14" s="33">
        <f>BaU_Fattening!F15</f>
        <v>7986525</v>
      </c>
      <c r="G14" s="33">
        <f>BaU_Fattening!G15</f>
        <v>7451700</v>
      </c>
      <c r="H14" s="33">
        <f>BaU_Fattening!H15</f>
        <v>6779500</v>
      </c>
      <c r="I14" s="33">
        <f>BaU_Fattening!I15</f>
        <v>6587500</v>
      </c>
      <c r="J14" s="33">
        <f>BaU_Fattening!J15</f>
        <v>6587500</v>
      </c>
      <c r="K14" s="33">
        <f>BaU_Fattening!K15</f>
        <v>6779500</v>
      </c>
      <c r="L14" s="33">
        <f>BaU_Fattening!L15</f>
        <v>6587500</v>
      </c>
      <c r="M14" s="33">
        <f>BaU_Fattening!M15</f>
        <v>6587500</v>
      </c>
      <c r="N14" s="33">
        <f>BaU_Fattening!N15</f>
        <v>6779500</v>
      </c>
      <c r="O14" s="33">
        <f>BaU_Fattening!O15</f>
        <v>6587500</v>
      </c>
      <c r="P14" s="33">
        <f>BaU_Fattening!P15</f>
        <v>6587500</v>
      </c>
      <c r="Q14" s="33">
        <f>BaU_Fattening!Q15</f>
        <v>6779500</v>
      </c>
      <c r="R14" s="33">
        <f>BaU_Fattening!R15</f>
        <v>6587500</v>
      </c>
      <c r="S14" s="33">
        <f>BaU_Fattening!S15</f>
        <v>6587500</v>
      </c>
      <c r="T14" s="33">
        <f>BaU_Fattening!T15</f>
        <v>6779500</v>
      </c>
      <c r="U14" s="33">
        <f>BaU_Fattening!U15</f>
        <v>6587500</v>
      </c>
      <c r="V14" s="33">
        <f>BaU_Fattening!V15</f>
        <v>6587500</v>
      </c>
      <c r="W14" s="33">
        <f>BaU_Fattening!W15</f>
        <v>5762575</v>
      </c>
      <c r="X14" s="33">
        <f>BaU_Fattening!X15</f>
        <v>3293750</v>
      </c>
      <c r="Y14" s="33">
        <f>BaU_Fattening!Y15</f>
        <v>988125</v>
      </c>
      <c r="Z14" s="33">
        <f>BaU_Fattening!Z15</f>
        <v>338975</v>
      </c>
    </row>
    <row r="15" spans="1:26" x14ac:dyDescent="0.25">
      <c r="A15" s="117" t="s">
        <v>54</v>
      </c>
      <c r="B15" s="37">
        <f t="shared" ref="B15:Z15" si="1">SUM(B12:B14)</f>
        <v>0</v>
      </c>
      <c r="C15" s="37">
        <f t="shared" si="1"/>
        <v>3996883.7818181817</v>
      </c>
      <c r="D15" s="37">
        <f t="shared" si="1"/>
        <v>10348509.969545454</v>
      </c>
      <c r="E15" s="37">
        <f t="shared" si="1"/>
        <v>13459954.203633636</v>
      </c>
      <c r="F15" s="37">
        <f t="shared" si="1"/>
        <v>9795567.0125939101</v>
      </c>
      <c r="G15" s="37">
        <f t="shared" si="1"/>
        <v>9007238.5236289389</v>
      </c>
      <c r="H15" s="37">
        <f t="shared" si="1"/>
        <v>8110895.9088652283</v>
      </c>
      <c r="I15" s="37">
        <f t="shared" si="1"/>
        <v>7860603.6806811532</v>
      </c>
      <c r="J15" s="37">
        <f t="shared" si="1"/>
        <v>7863072.8083970565</v>
      </c>
      <c r="K15" s="37">
        <f t="shared" si="1"/>
        <v>8062503.5364810266</v>
      </c>
      <c r="L15" s="37">
        <f t="shared" si="1"/>
        <v>7868085.3845731094</v>
      </c>
      <c r="M15" s="37">
        <f t="shared" si="1"/>
        <v>7870629.3293279316</v>
      </c>
      <c r="N15" s="37">
        <f t="shared" si="1"/>
        <v>8070135.6226212103</v>
      </c>
      <c r="O15" s="37">
        <f t="shared" si="1"/>
        <v>7875793.7915746961</v>
      </c>
      <c r="P15" s="37">
        <f t="shared" si="1"/>
        <v>7878414.820399534</v>
      </c>
      <c r="Q15" s="37">
        <f t="shared" si="1"/>
        <v>8077998.968603529</v>
      </c>
      <c r="R15" s="37">
        <f t="shared" si="1"/>
        <v>7883735.7710168371</v>
      </c>
      <c r="S15" s="37">
        <f t="shared" si="1"/>
        <v>7886436.2196360957</v>
      </c>
      <c r="T15" s="37">
        <f t="shared" si="1"/>
        <v>8086100.5818324573</v>
      </c>
      <c r="U15" s="37">
        <f t="shared" si="1"/>
        <v>7891918.400378054</v>
      </c>
      <c r="V15" s="37">
        <f t="shared" si="1"/>
        <v>7894700.6752909254</v>
      </c>
      <c r="W15" s="37">
        <f t="shared" si="1"/>
        <v>6824683.1456350684</v>
      </c>
      <c r="X15" s="37">
        <f t="shared" si="1"/>
        <v>3975174.4857957731</v>
      </c>
      <c r="Y15" s="37">
        <f t="shared" si="1"/>
        <v>1248096.9786069724</v>
      </c>
      <c r="Z15" s="37">
        <f t="shared" si="1"/>
        <v>364350</v>
      </c>
    </row>
    <row r="16" spans="1:26" x14ac:dyDescent="0.25">
      <c r="B16" s="32"/>
      <c r="C16" s="32"/>
      <c r="D16" s="32"/>
      <c r="E16" s="32"/>
      <c r="F16" s="32"/>
      <c r="G16" s="32"/>
      <c r="H16" s="32"/>
      <c r="I16" s="32"/>
      <c r="J16" s="32"/>
      <c r="K16" s="32"/>
      <c r="L16" s="32"/>
    </row>
    <row r="17" spans="1:27" x14ac:dyDescent="0.25">
      <c r="A17" s="23" t="s">
        <v>317</v>
      </c>
      <c r="B17" s="34">
        <f t="shared" ref="B17:Z17" si="2">B9-B15</f>
        <v>0</v>
      </c>
      <c r="C17" s="34">
        <f t="shared" si="2"/>
        <v>-2444002.1536931815</v>
      </c>
      <c r="D17" s="34">
        <f t="shared" si="2"/>
        <v>-5120475.1548579531</v>
      </c>
      <c r="E17" s="34">
        <f t="shared" si="2"/>
        <v>-6054312.1877584253</v>
      </c>
      <c r="F17" s="34">
        <f t="shared" si="2"/>
        <v>337357.78488525748</v>
      </c>
      <c r="G17" s="34">
        <f t="shared" si="2"/>
        <v>1765660.4715857543</v>
      </c>
      <c r="H17" s="34">
        <f t="shared" si="2"/>
        <v>865622.17889741622</v>
      </c>
      <c r="I17" s="34">
        <f t="shared" si="2"/>
        <v>3128830.5843373546</v>
      </c>
      <c r="J17" s="34">
        <f t="shared" si="2"/>
        <v>3236255.7992716394</v>
      </c>
      <c r="K17" s="34">
        <f t="shared" si="2"/>
        <v>1186012.0258589145</v>
      </c>
      <c r="L17" s="34">
        <f t="shared" si="2"/>
        <v>3454339.7281097285</v>
      </c>
      <c r="M17" s="34">
        <f t="shared" si="2"/>
        <v>3565020.0344817322</v>
      </c>
      <c r="N17" s="34">
        <f t="shared" si="2"/>
        <v>1458619.2097731922</v>
      </c>
      <c r="O17" s="34">
        <f t="shared" si="2"/>
        <v>3789712.1244475432</v>
      </c>
      <c r="P17" s="34">
        <f t="shared" si="2"/>
        <v>3903746.1547829285</v>
      </c>
      <c r="Q17" s="34">
        <f t="shared" si="2"/>
        <v>1739486.6639672555</v>
      </c>
      <c r="R17" s="34">
        <f t="shared" si="2"/>
        <v>4135246.6397667928</v>
      </c>
      <c r="S17" s="34">
        <f t="shared" si="2"/>
        <v>4252736.0152553711</v>
      </c>
      <c r="T17" s="34">
        <f t="shared" si="2"/>
        <v>2028864.6828908585</v>
      </c>
      <c r="U17" s="34">
        <f t="shared" si="2"/>
        <v>4491251.1964347288</v>
      </c>
      <c r="V17" s="34">
        <f t="shared" si="2"/>
        <v>4612300.6174899861</v>
      </c>
      <c r="W17" s="34">
        <f t="shared" si="2"/>
        <v>2052556.8574931715</v>
      </c>
      <c r="X17" s="34">
        <f t="shared" si="2"/>
        <v>2434021.5235871323</v>
      </c>
      <c r="Y17" s="34">
        <f t="shared" si="2"/>
        <v>724799.41223604744</v>
      </c>
      <c r="Z17" s="34">
        <f t="shared" si="2"/>
        <v>182011.97255664889</v>
      </c>
    </row>
    <row r="18" spans="1:27" x14ac:dyDescent="0.25">
      <c r="A18" s="23"/>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row>
    <row r="19" spans="1:27" x14ac:dyDescent="0.25">
      <c r="A19" s="10" t="s">
        <v>319</v>
      </c>
      <c r="B19" s="345">
        <f>B9/(1+Assumption_Hatchery!$C76)^B4</f>
        <v>0</v>
      </c>
      <c r="C19" s="345">
        <f>C9/(1+Assumption_Hatchery!$C76)^C4</f>
        <v>1464982.668042453</v>
      </c>
      <c r="D19" s="345">
        <f>D9/(1+Assumption_Hatchery!$C76)^D4</f>
        <v>4652932.3733423818</v>
      </c>
      <c r="E19" s="345">
        <f>E9/(1+Assumption_Hatchery!$C76)^E4</f>
        <v>6217919.8397630332</v>
      </c>
      <c r="F19" s="345">
        <f>F9/(1+Assumption_Hatchery!$C76)^F4</f>
        <v>8026225.5221506497</v>
      </c>
      <c r="G19" s="345">
        <f>G9/(1+Assumption_Hatchery!$C76)^G4</f>
        <v>8050136.8196347123</v>
      </c>
      <c r="H19" s="345">
        <f>H9/(1+Assumption_Hatchery!$C76)^H4</f>
        <v>6328091.0424156832</v>
      </c>
      <c r="I19" s="345">
        <f>I9/(1+Assumption_Hatchery!$C76)^I4</f>
        <v>7308601.4326356063</v>
      </c>
      <c r="J19" s="345">
        <f>J9/(1+Assumption_Hatchery!$C76)^J4</f>
        <v>6963856.08203959</v>
      </c>
      <c r="K19" s="345">
        <f>K9/(1+Assumption_Hatchery!$C76)^K4</f>
        <v>5474182.1512825359</v>
      </c>
      <c r="L19" s="345">
        <f>L9/(1+Assumption_Hatchery!$C76)^L4</f>
        <v>6322383.0449346621</v>
      </c>
      <c r="M19" s="345">
        <f>M9/(1+Assumption_Hatchery!$C76)^M4</f>
        <v>6024157.4296075525</v>
      </c>
      <c r="N19" s="345">
        <f>N9/(1+Assumption_Hatchery!$C76)^N4</f>
        <v>4735499.2247363143</v>
      </c>
      <c r="O19" s="345">
        <f>O9/(1+Assumption_Hatchery!$C76)^O4</f>
        <v>5469244.387631421</v>
      </c>
      <c r="P19" s="345">
        <f>P9/(1+Assumption_Hatchery!$C76)^P4</f>
        <v>5211261.1617997503</v>
      </c>
      <c r="Q19" s="345">
        <f>Q9/(1+Assumption_Hatchery!$C76)^Q4</f>
        <v>4096493.7387449434</v>
      </c>
      <c r="R19" s="345">
        <f>R9/(1+Assumption_Hatchery!$C76)^R4</f>
        <v>4731227.7600141736</v>
      </c>
      <c r="S19" s="345">
        <f>S9/(1+Assumption_Hatchery!$C76)^S4</f>
        <v>4508056.639258788</v>
      </c>
      <c r="T19" s="345">
        <f>T9/(1+Assumption_Hatchery!$C76)^T4</f>
        <v>3543715.2779833823</v>
      </c>
      <c r="U19" s="345">
        <f>U9/(1+Assumption_Hatchery!$C76)^U4</f>
        <v>4092798.6629653685</v>
      </c>
      <c r="V19" s="345">
        <f>V9/(1+Assumption_Hatchery!$C76)^V4</f>
        <v>3899742.1222594553</v>
      </c>
      <c r="W19" s="345">
        <f>W9/(1+Assumption_Hatchery!$C76)^W4</f>
        <v>2611288.1081864359</v>
      </c>
      <c r="X19" s="345">
        <f>X9/(1+Assumption_Hatchery!$C76)^X4</f>
        <v>1778584.5596876268</v>
      </c>
      <c r="Y19" s="345">
        <f>Y9/(1+Assumption_Hatchery!$C76)^Y4</f>
        <v>516498.87182149437</v>
      </c>
      <c r="Z19" s="345">
        <f>Z9/(1+Assumption_Hatchery!$C76)^Z4</f>
        <v>134939.68684701234</v>
      </c>
      <c r="AA19" s="343">
        <f>SUM(B19:Z19)</f>
        <v>112162818.60778503</v>
      </c>
    </row>
    <row r="20" spans="1:27" s="12" customFormat="1" x14ac:dyDescent="0.25">
      <c r="A20" s="10" t="s">
        <v>320</v>
      </c>
      <c r="B20" s="346">
        <f>B15/(1+Assumption_Hatchery!$C76)^'BaU_CRAB Value'!B4</f>
        <v>0</v>
      </c>
      <c r="C20" s="346">
        <f>C15/(1+Assumption_Hatchery!$C76)^'BaU_CRAB Value'!C4</f>
        <v>3770645.0771869635</v>
      </c>
      <c r="D20" s="346">
        <f>D15/(1+Assumption_Hatchery!$C76)^'BaU_CRAB Value'!D4</f>
        <v>9210137.0323473234</v>
      </c>
      <c r="E20" s="346">
        <f>E15/(1+Assumption_Hatchery!$C76)^'BaU_CRAB Value'!E4</f>
        <v>11301237.098102488</v>
      </c>
      <c r="F20" s="346">
        <f>F15/(1+Assumption_Hatchery!$C76)^'BaU_CRAB Value'!F4</f>
        <v>7759006.5584990224</v>
      </c>
      <c r="G20" s="346">
        <f>G15/(1+Assumption_Hatchery!$C76)^'BaU_CRAB Value'!G4</f>
        <v>6730732.6017357204</v>
      </c>
      <c r="H20" s="346">
        <f>H15/(1+Assumption_Hatchery!$C76)^'BaU_CRAB Value'!H4</f>
        <v>5717861.5633635903</v>
      </c>
      <c r="I20" s="346">
        <f>I15/(1+Assumption_Hatchery!$C76)^'BaU_CRAB Value'!I4</f>
        <v>5227750.3952029189</v>
      </c>
      <c r="J20" s="346">
        <f>J15/(1+Assumption_Hatchery!$C76)^'BaU_CRAB Value'!J4</f>
        <v>4933389.1567498324</v>
      </c>
      <c r="K20" s="346">
        <f>K15/(1+Assumption_Hatchery!$C76)^'BaU_CRAB Value'!K4</f>
        <v>4772183.4554485129</v>
      </c>
      <c r="L20" s="346">
        <f>L15/(1+Assumption_Hatchery!$C76)^'BaU_CRAB Value'!L4</f>
        <v>4393497.783067801</v>
      </c>
      <c r="M20" s="346">
        <f>M15/(1+Assumption_Hatchery!$C76)^'BaU_CRAB Value'!M4</f>
        <v>4146149.3476713714</v>
      </c>
      <c r="N20" s="346">
        <f>N15/(1+Assumption_Hatchery!$C76)^'BaU_CRAB Value'!N4</f>
        <v>4010610.1643541437</v>
      </c>
      <c r="O20" s="346">
        <f>O15/(1+Assumption_Hatchery!$C76)^'BaU_CRAB Value'!O4</f>
        <v>3692479.4606250641</v>
      </c>
      <c r="P20" s="346">
        <f>P15/(1+Assumption_Hatchery!$C76)^'BaU_CRAB Value'!P4</f>
        <v>3484630.4728458212</v>
      </c>
      <c r="Q20" s="346">
        <f>Q15/(1+Assumption_Hatchery!$C76)^'BaU_CRAB Value'!Q4</f>
        <v>3370666.7302559838</v>
      </c>
      <c r="R20" s="346">
        <f>R15/(1+Assumption_Hatchery!$C76)^'BaU_CRAB Value'!R4</f>
        <v>3103403.2880342393</v>
      </c>
      <c r="S20" s="346">
        <f>S15/(1+Assumption_Hatchery!$C76)^'BaU_CRAB Value'!S4</f>
        <v>2928741.8015071386</v>
      </c>
      <c r="T20" s="346">
        <f>T15/(1+Assumption_Hatchery!$C76)^'BaU_CRAB Value'!T4</f>
        <v>2832915.1332912482</v>
      </c>
      <c r="U20" s="346">
        <f>U15/(1+Assumption_Hatchery!$C76)^'BaU_CRAB Value'!U4</f>
        <v>2608381.7091233707</v>
      </c>
      <c r="V20" s="346">
        <f>V15/(1+Assumption_Hatchery!$C76)^'BaU_CRAB Value'!V4</f>
        <v>2461604.9879064723</v>
      </c>
      <c r="W20" s="346">
        <f>W15/(1+Assumption_Hatchery!$C76)^'BaU_CRAB Value'!W4</f>
        <v>2007517.4191592496</v>
      </c>
      <c r="X20" s="346">
        <f>X15/(1+Assumption_Hatchery!$C76)^'BaU_CRAB Value'!X4</f>
        <v>1103131.1809078685</v>
      </c>
      <c r="Y20" s="346">
        <f>Y15/(1+Assumption_Hatchery!$C76)^'BaU_CRAB Value'!Y4</f>
        <v>326748.37075395614</v>
      </c>
      <c r="Z20" s="346">
        <f>Z15/(1+Assumption_Hatchery!$C76)^'BaU_CRAB Value'!Z4</f>
        <v>89986.634085539888</v>
      </c>
      <c r="AA20" s="343">
        <f>SUM(B20:Z20)</f>
        <v>99983407.422225654</v>
      </c>
    </row>
    <row r="21" spans="1:27" x14ac:dyDescent="0.25">
      <c r="B21" s="32"/>
      <c r="C21" s="32"/>
      <c r="D21" s="32"/>
      <c r="E21" s="32"/>
      <c r="F21" s="32"/>
      <c r="G21" s="32"/>
      <c r="H21" s="32"/>
      <c r="I21" s="32"/>
      <c r="J21" s="32"/>
      <c r="K21" s="32"/>
      <c r="L21" s="32"/>
    </row>
    <row r="22" spans="1:27" s="12" customFormat="1" x14ac:dyDescent="0.25">
      <c r="A22" s="25" t="s">
        <v>318</v>
      </c>
      <c r="B22" s="35">
        <f>NPV(Assumption_Hatchery!C76,C17:Z17)+B17</f>
        <v>12179411.185559388</v>
      </c>
      <c r="C22" s="40"/>
      <c r="D22" s="40"/>
      <c r="E22" s="40"/>
      <c r="F22" s="40"/>
      <c r="G22" s="40"/>
      <c r="H22" s="40"/>
      <c r="I22" s="40"/>
      <c r="J22" s="40"/>
      <c r="K22" s="40"/>
      <c r="L22" s="40"/>
    </row>
    <row r="24" spans="1:27" s="12" customFormat="1" x14ac:dyDescent="0.25">
      <c r="A24" s="25" t="s">
        <v>238</v>
      </c>
      <c r="B24" s="36">
        <f>IRR(B17:Z17)</f>
        <v>0.138782623039857</v>
      </c>
      <c r="C24" s="4"/>
      <c r="D24" s="4"/>
      <c r="E24" s="4"/>
      <c r="F24" s="4"/>
      <c r="G24" s="4"/>
      <c r="H24" s="4"/>
      <c r="I24" s="4"/>
      <c r="J24" s="4"/>
      <c r="K24" s="4"/>
      <c r="L24" s="4"/>
    </row>
    <row r="27" spans="1:27" s="1" customFormat="1" x14ac:dyDescent="0.25">
      <c r="A27" s="24"/>
      <c r="B27" s="42"/>
      <c r="C27" s="42"/>
      <c r="D27" s="42"/>
      <c r="E27" s="42"/>
      <c r="F27" s="42"/>
      <c r="G27" s="42"/>
      <c r="H27" s="42"/>
      <c r="I27" s="42"/>
      <c r="J27" s="42"/>
      <c r="K27" s="42"/>
      <c r="L27" s="42"/>
    </row>
    <row r="29" spans="1:27" ht="38.25" customHeight="1" x14ac:dyDescent="0.25">
      <c r="A29" s="11" t="str">
        <f>A2</f>
        <v>Aggregate Economic Analysis</v>
      </c>
      <c r="B29" s="30"/>
      <c r="C29" s="69"/>
      <c r="D29" s="70"/>
      <c r="E29" s="30"/>
      <c r="F29" s="116" t="s">
        <v>90</v>
      </c>
      <c r="G29" s="30"/>
      <c r="H29" s="30"/>
      <c r="I29" s="30"/>
      <c r="J29" s="30"/>
      <c r="K29" s="30"/>
      <c r="L29" s="30"/>
      <c r="M29" s="11"/>
    </row>
    <row r="30" spans="1:27" ht="38.25" customHeight="1" x14ac:dyDescent="0.25">
      <c r="A30" s="11"/>
      <c r="B30" s="30"/>
      <c r="C30" s="69"/>
      <c r="D30" s="70"/>
      <c r="E30" s="30"/>
      <c r="F30" s="116"/>
      <c r="G30" s="30"/>
      <c r="H30" s="30"/>
      <c r="I30" s="30"/>
      <c r="J30" s="30"/>
      <c r="K30" s="30"/>
      <c r="L30" s="30"/>
      <c r="M30" s="11"/>
    </row>
    <row r="31" spans="1:27" x14ac:dyDescent="0.25">
      <c r="A31" s="10" t="s">
        <v>19</v>
      </c>
      <c r="B31" s="26">
        <v>0</v>
      </c>
      <c r="C31" s="26">
        <v>1</v>
      </c>
      <c r="D31" s="26">
        <v>2</v>
      </c>
      <c r="E31" s="26">
        <v>3</v>
      </c>
      <c r="F31" s="26">
        <v>4</v>
      </c>
      <c r="G31" s="26">
        <v>5</v>
      </c>
      <c r="H31" s="26">
        <v>6</v>
      </c>
      <c r="I31" s="26">
        <v>7</v>
      </c>
      <c r="J31" s="26">
        <v>8</v>
      </c>
      <c r="K31" s="26">
        <v>9</v>
      </c>
      <c r="L31" s="26">
        <v>10</v>
      </c>
      <c r="M31" s="26">
        <v>11</v>
      </c>
      <c r="N31" s="26">
        <v>12</v>
      </c>
      <c r="O31" s="26">
        <v>13</v>
      </c>
      <c r="P31" s="26">
        <v>14</v>
      </c>
      <c r="Q31" s="26">
        <v>15</v>
      </c>
      <c r="R31" s="26">
        <v>16</v>
      </c>
      <c r="S31" s="26">
        <v>17</v>
      </c>
      <c r="T31" s="26">
        <v>18</v>
      </c>
      <c r="U31" s="26">
        <v>19</v>
      </c>
      <c r="V31" s="26">
        <v>20</v>
      </c>
      <c r="W31" s="26">
        <v>21</v>
      </c>
      <c r="X31" s="26">
        <v>22</v>
      </c>
      <c r="Y31" s="26">
        <v>23</v>
      </c>
      <c r="Z31" s="26">
        <v>24</v>
      </c>
    </row>
    <row r="32" spans="1:27" x14ac:dyDescent="0.25">
      <c r="A32" s="23" t="s">
        <v>3</v>
      </c>
    </row>
    <row r="33" spans="1:27" x14ac:dyDescent="0.25">
      <c r="A33" s="10" t="s">
        <v>51</v>
      </c>
      <c r="B33" s="31">
        <f t="shared" ref="B33:Z33" si="3">B6</f>
        <v>0</v>
      </c>
      <c r="C33" s="31">
        <f t="shared" si="3"/>
        <v>1552881.6281250003</v>
      </c>
      <c r="D33" s="31">
        <f t="shared" si="3"/>
        <v>5228034.8146875007</v>
      </c>
      <c r="E33" s="31">
        <f t="shared" si="3"/>
        <v>7405642.015875211</v>
      </c>
      <c r="F33" s="31">
        <f t="shared" si="3"/>
        <v>10132924.797479168</v>
      </c>
      <c r="G33" s="31">
        <f t="shared" si="3"/>
        <v>10772898.995214693</v>
      </c>
      <c r="H33" s="31">
        <f t="shared" si="3"/>
        <v>8976518.0877626445</v>
      </c>
      <c r="I33" s="31">
        <f t="shared" si="3"/>
        <v>10989434.265018508</v>
      </c>
      <c r="J33" s="31">
        <f t="shared" si="3"/>
        <v>11099328.607668696</v>
      </c>
      <c r="K33" s="31">
        <f t="shared" si="3"/>
        <v>9248515.562339941</v>
      </c>
      <c r="L33" s="31">
        <f t="shared" si="3"/>
        <v>11322425.112682838</v>
      </c>
      <c r="M33" s="31">
        <f t="shared" si="3"/>
        <v>11435649.363809664</v>
      </c>
      <c r="N33" s="31">
        <f t="shared" si="3"/>
        <v>9528754.8323944025</v>
      </c>
      <c r="O33" s="31">
        <f t="shared" si="3"/>
        <v>11665505.916022239</v>
      </c>
      <c r="P33" s="31">
        <f t="shared" si="3"/>
        <v>11782160.975182462</v>
      </c>
      <c r="Q33" s="31">
        <f t="shared" si="3"/>
        <v>9817485.6325707845</v>
      </c>
      <c r="R33" s="31">
        <f t="shared" si="3"/>
        <v>12018982.41078363</v>
      </c>
      <c r="S33" s="31">
        <f t="shared" si="3"/>
        <v>12139172.234891467</v>
      </c>
      <c r="T33" s="31">
        <f t="shared" si="3"/>
        <v>10114965.264723316</v>
      </c>
      <c r="U33" s="31">
        <f t="shared" si="3"/>
        <v>12383169.596812783</v>
      </c>
      <c r="V33" s="31">
        <f t="shared" si="3"/>
        <v>12507001.292780912</v>
      </c>
      <c r="W33" s="31">
        <f t="shared" si="3"/>
        <v>8858240.0031282399</v>
      </c>
      <c r="X33" s="31">
        <f t="shared" si="3"/>
        <v>6379196.0093829054</v>
      </c>
      <c r="Y33" s="31">
        <f t="shared" si="3"/>
        <v>1932896.3908430198</v>
      </c>
      <c r="Z33" s="31">
        <f t="shared" si="3"/>
        <v>536861.97255664889</v>
      </c>
    </row>
    <row r="34" spans="1:27" x14ac:dyDescent="0.25">
      <c r="A34" s="10" t="s">
        <v>52</v>
      </c>
      <c r="B34" s="31">
        <f t="shared" ref="B34:Z34" si="4">B7</f>
        <v>0</v>
      </c>
      <c r="C34" s="31">
        <f t="shared" si="4"/>
        <v>0</v>
      </c>
      <c r="D34" s="31">
        <f t="shared" si="4"/>
        <v>0</v>
      </c>
      <c r="E34" s="31">
        <f t="shared" si="4"/>
        <v>0</v>
      </c>
      <c r="F34" s="31">
        <f t="shared" si="4"/>
        <v>0</v>
      </c>
      <c r="G34" s="31">
        <f t="shared" si="4"/>
        <v>0</v>
      </c>
      <c r="H34" s="31">
        <f t="shared" si="4"/>
        <v>0</v>
      </c>
      <c r="I34" s="31">
        <f t="shared" si="4"/>
        <v>0</v>
      </c>
      <c r="J34" s="31">
        <f t="shared" si="4"/>
        <v>0</v>
      </c>
      <c r="K34" s="31">
        <f t="shared" si="4"/>
        <v>0</v>
      </c>
      <c r="L34" s="31">
        <f t="shared" si="4"/>
        <v>0</v>
      </c>
      <c r="M34" s="31">
        <f t="shared" si="4"/>
        <v>0</v>
      </c>
      <c r="N34" s="31">
        <f t="shared" si="4"/>
        <v>0</v>
      </c>
      <c r="O34" s="31">
        <f t="shared" si="4"/>
        <v>0</v>
      </c>
      <c r="P34" s="31">
        <f t="shared" si="4"/>
        <v>0</v>
      </c>
      <c r="Q34" s="31">
        <f t="shared" si="4"/>
        <v>0</v>
      </c>
      <c r="R34" s="31">
        <f t="shared" si="4"/>
        <v>0</v>
      </c>
      <c r="S34" s="31">
        <f t="shared" si="4"/>
        <v>0</v>
      </c>
      <c r="T34" s="31">
        <f t="shared" si="4"/>
        <v>0</v>
      </c>
      <c r="U34" s="31">
        <f t="shared" si="4"/>
        <v>0</v>
      </c>
      <c r="V34" s="31">
        <f t="shared" si="4"/>
        <v>0</v>
      </c>
      <c r="W34" s="31">
        <f t="shared" si="4"/>
        <v>19000</v>
      </c>
      <c r="X34" s="31">
        <f t="shared" si="4"/>
        <v>30000</v>
      </c>
      <c r="Y34" s="31">
        <f t="shared" si="4"/>
        <v>40000</v>
      </c>
      <c r="Z34" s="31">
        <f t="shared" si="4"/>
        <v>9500</v>
      </c>
    </row>
    <row r="35" spans="1:27" s="377" customFormat="1" x14ac:dyDescent="0.25">
      <c r="A35" s="376" t="str">
        <f>'Assumption_CRAB Value chain'!B137</f>
        <v>Biodiversity/Ecosystem services</v>
      </c>
      <c r="B35" s="136">
        <v>0</v>
      </c>
      <c r="C35" s="136">
        <f>'Assumption_CRAB Value chain'!$C137</f>
        <v>100</v>
      </c>
      <c r="D35" s="136">
        <f>'Assumption_CRAB Value chain'!$C137</f>
        <v>100</v>
      </c>
      <c r="E35" s="136">
        <f>'Assumption_CRAB Value chain'!$C137</f>
        <v>100</v>
      </c>
      <c r="F35" s="136">
        <f>'Assumption_CRAB Value chain'!$C137</f>
        <v>100</v>
      </c>
      <c r="G35" s="136">
        <f>'Assumption_CRAB Value chain'!$C137</f>
        <v>100</v>
      </c>
      <c r="H35" s="136">
        <f>'Assumption_CRAB Value chain'!$C137</f>
        <v>100</v>
      </c>
      <c r="I35" s="136">
        <f>'Assumption_CRAB Value chain'!$C137</f>
        <v>100</v>
      </c>
      <c r="J35" s="136">
        <f>'Assumption_CRAB Value chain'!$C137</f>
        <v>100</v>
      </c>
      <c r="K35" s="136">
        <f>'Assumption_CRAB Value chain'!$C137</f>
        <v>100</v>
      </c>
      <c r="L35" s="136">
        <f>'Assumption_CRAB Value chain'!$C137</f>
        <v>100</v>
      </c>
      <c r="M35" s="136">
        <f>'Assumption_CRAB Value chain'!$C137</f>
        <v>100</v>
      </c>
      <c r="N35" s="136">
        <f>'Assumption_CRAB Value chain'!$C137</f>
        <v>100</v>
      </c>
      <c r="O35" s="136">
        <f>'Assumption_CRAB Value chain'!$C137</f>
        <v>100</v>
      </c>
      <c r="P35" s="136">
        <f>'Assumption_CRAB Value chain'!$C137</f>
        <v>100</v>
      </c>
      <c r="Q35" s="136">
        <f>'Assumption_CRAB Value chain'!$C137</f>
        <v>100</v>
      </c>
      <c r="R35" s="136">
        <f>'Assumption_CRAB Value chain'!$C137</f>
        <v>100</v>
      </c>
      <c r="S35" s="136">
        <f>'Assumption_CRAB Value chain'!$C137</f>
        <v>100</v>
      </c>
      <c r="T35" s="136">
        <f>'Assumption_CRAB Value chain'!$C137</f>
        <v>100</v>
      </c>
      <c r="U35" s="136">
        <f>'Assumption_CRAB Value chain'!$C137</f>
        <v>100</v>
      </c>
      <c r="V35" s="136">
        <f>'Assumption_CRAB Value chain'!$C137</f>
        <v>100</v>
      </c>
      <c r="W35" s="136">
        <f>'Assumption_CRAB Value chain'!$C137</f>
        <v>100</v>
      </c>
      <c r="X35" s="136">
        <f>'Assumption_CRAB Value chain'!$C137</f>
        <v>100</v>
      </c>
      <c r="Y35" s="136">
        <f>'Assumption_CRAB Value chain'!$C137</f>
        <v>100</v>
      </c>
      <c r="Z35" s="136">
        <f>'Assumption_CRAB Value chain'!$C137</f>
        <v>100</v>
      </c>
    </row>
    <row r="36" spans="1:27" s="377" customFormat="1" x14ac:dyDescent="0.25">
      <c r="A36" s="376" t="str">
        <f>'Assumption_CRAB Value chain'!B138</f>
        <v>Employment generation in the value chain</v>
      </c>
      <c r="B36" s="136">
        <v>0</v>
      </c>
      <c r="C36" s="136">
        <f>'Assumption_CRAB Value chain'!$C138</f>
        <v>25</v>
      </c>
      <c r="D36" s="136">
        <f>'Assumption_CRAB Value chain'!$C138</f>
        <v>25</v>
      </c>
      <c r="E36" s="136">
        <f>'Assumption_CRAB Value chain'!$C138</f>
        <v>25</v>
      </c>
      <c r="F36" s="136">
        <f>'Assumption_CRAB Value chain'!$C138</f>
        <v>25</v>
      </c>
      <c r="G36" s="136">
        <f>'Assumption_CRAB Value chain'!$C138</f>
        <v>25</v>
      </c>
      <c r="H36" s="136">
        <f>'Assumption_CRAB Value chain'!$C138</f>
        <v>25</v>
      </c>
      <c r="I36" s="136">
        <f>'Assumption_CRAB Value chain'!$C138</f>
        <v>25</v>
      </c>
      <c r="J36" s="136">
        <f>'Assumption_CRAB Value chain'!$C138</f>
        <v>25</v>
      </c>
      <c r="K36" s="136">
        <f>'Assumption_CRAB Value chain'!$C138</f>
        <v>25</v>
      </c>
      <c r="L36" s="136">
        <f>'Assumption_CRAB Value chain'!$C138</f>
        <v>25</v>
      </c>
      <c r="M36" s="136">
        <f>'Assumption_CRAB Value chain'!$C138</f>
        <v>25</v>
      </c>
      <c r="N36" s="136">
        <f>'Assumption_CRAB Value chain'!$C138</f>
        <v>25</v>
      </c>
      <c r="O36" s="136">
        <f>'Assumption_CRAB Value chain'!$C138</f>
        <v>25</v>
      </c>
      <c r="P36" s="136">
        <f>'Assumption_CRAB Value chain'!$C138</f>
        <v>25</v>
      </c>
      <c r="Q36" s="136">
        <f>'Assumption_CRAB Value chain'!$C138</f>
        <v>25</v>
      </c>
      <c r="R36" s="136">
        <f>'Assumption_CRAB Value chain'!$C138</f>
        <v>25</v>
      </c>
      <c r="S36" s="136">
        <f>'Assumption_CRAB Value chain'!$C138</f>
        <v>25</v>
      </c>
      <c r="T36" s="136">
        <f>'Assumption_CRAB Value chain'!$C138</f>
        <v>25</v>
      </c>
      <c r="U36" s="136">
        <f>'Assumption_CRAB Value chain'!$C138</f>
        <v>25</v>
      </c>
      <c r="V36" s="136">
        <f>'Assumption_CRAB Value chain'!$C138</f>
        <v>25</v>
      </c>
      <c r="W36" s="136">
        <f>'Assumption_CRAB Value chain'!$C138</f>
        <v>25</v>
      </c>
      <c r="X36" s="136">
        <f>'Assumption_CRAB Value chain'!$C138</f>
        <v>25</v>
      </c>
      <c r="Y36" s="136">
        <f>'Assumption_CRAB Value chain'!$C138</f>
        <v>25</v>
      </c>
      <c r="Z36" s="136">
        <f>'Assumption_CRAB Value chain'!$C138</f>
        <v>25</v>
      </c>
    </row>
    <row r="37" spans="1:27" s="12" customFormat="1" x14ac:dyDescent="0.25">
      <c r="A37" s="23" t="s">
        <v>53</v>
      </c>
      <c r="B37" s="38">
        <f>SUM(B33:B36)</f>
        <v>0</v>
      </c>
      <c r="C37" s="38">
        <f t="shared" ref="C37:Z37" si="5">SUM(C33:C36)</f>
        <v>1553006.6281250003</v>
      </c>
      <c r="D37" s="38">
        <f t="shared" si="5"/>
        <v>5228159.8146875007</v>
      </c>
      <c r="E37" s="38">
        <f t="shared" si="5"/>
        <v>7405767.015875211</v>
      </c>
      <c r="F37" s="38">
        <f t="shared" si="5"/>
        <v>10133049.797479168</v>
      </c>
      <c r="G37" s="38">
        <f t="shared" si="5"/>
        <v>10773023.995214693</v>
      </c>
      <c r="H37" s="38">
        <f t="shared" si="5"/>
        <v>8976643.0877626445</v>
      </c>
      <c r="I37" s="38">
        <f t="shared" si="5"/>
        <v>10989559.265018508</v>
      </c>
      <c r="J37" s="38">
        <f t="shared" si="5"/>
        <v>11099453.607668696</v>
      </c>
      <c r="K37" s="38">
        <f t="shared" si="5"/>
        <v>9248640.562339941</v>
      </c>
      <c r="L37" s="38">
        <f t="shared" si="5"/>
        <v>11322550.112682838</v>
      </c>
      <c r="M37" s="38">
        <f t="shared" si="5"/>
        <v>11435774.363809664</v>
      </c>
      <c r="N37" s="38">
        <f t="shared" si="5"/>
        <v>9528879.8323944025</v>
      </c>
      <c r="O37" s="38">
        <f t="shared" si="5"/>
        <v>11665630.916022239</v>
      </c>
      <c r="P37" s="38">
        <f t="shared" si="5"/>
        <v>11782285.975182462</v>
      </c>
      <c r="Q37" s="38">
        <f t="shared" si="5"/>
        <v>9817610.6325707845</v>
      </c>
      <c r="R37" s="38">
        <f t="shared" si="5"/>
        <v>12019107.41078363</v>
      </c>
      <c r="S37" s="38">
        <f t="shared" si="5"/>
        <v>12139297.234891467</v>
      </c>
      <c r="T37" s="38">
        <f t="shared" si="5"/>
        <v>10115090.264723316</v>
      </c>
      <c r="U37" s="38">
        <f t="shared" si="5"/>
        <v>12383294.596812783</v>
      </c>
      <c r="V37" s="38">
        <f t="shared" si="5"/>
        <v>12507126.292780912</v>
      </c>
      <c r="W37" s="38">
        <f t="shared" si="5"/>
        <v>8877365.0031282399</v>
      </c>
      <c r="X37" s="38">
        <f t="shared" si="5"/>
        <v>6409321.0093829054</v>
      </c>
      <c r="Y37" s="38">
        <f t="shared" si="5"/>
        <v>1973021.3908430198</v>
      </c>
      <c r="Z37" s="38">
        <f t="shared" si="5"/>
        <v>546486.97255664889</v>
      </c>
    </row>
    <row r="38" spans="1:27" x14ac:dyDescent="0.25">
      <c r="A38" s="23"/>
      <c r="B38" s="41"/>
      <c r="C38" s="41"/>
      <c r="D38" s="41"/>
      <c r="E38" s="41"/>
      <c r="F38" s="41"/>
      <c r="G38" s="41"/>
      <c r="H38" s="41"/>
      <c r="I38" s="41"/>
      <c r="J38" s="41"/>
      <c r="K38" s="41"/>
    </row>
    <row r="39" spans="1:27" x14ac:dyDescent="0.25">
      <c r="A39" s="23" t="s">
        <v>20</v>
      </c>
    </row>
    <row r="40" spans="1:27" x14ac:dyDescent="0.25">
      <c r="A40" s="9" t="str">
        <f>A12</f>
        <v>Crab Hatchery</v>
      </c>
      <c r="B40" s="33">
        <f>BaU_Hatchery!B52</f>
        <v>0</v>
      </c>
      <c r="C40" s="33">
        <f>BaU_Hatchery!C52</f>
        <v>165338.78181818183</v>
      </c>
      <c r="D40" s="33">
        <f>BaU_Hatchery!D52</f>
        <v>377649.46954545454</v>
      </c>
      <c r="E40" s="33">
        <f>BaU_Hatchery!E52</f>
        <v>653988.63563363638</v>
      </c>
      <c r="F40" s="33">
        <f>BaU_Hatchery!F52</f>
        <v>605115.17049390904</v>
      </c>
      <c r="G40" s="33">
        <f>BaU_Hatchery!G52</f>
        <v>503826.41310793906</v>
      </c>
      <c r="H40" s="33">
        <f>BaU_Hatchery!H52</f>
        <v>407101.67723901849</v>
      </c>
      <c r="I40" s="33">
        <f>BaU_Hatchery!I52</f>
        <v>377955.25673868135</v>
      </c>
      <c r="J40" s="33">
        <f>BaU_Hatchery!J52</f>
        <v>378172.90021515911</v>
      </c>
      <c r="K40" s="33">
        <f>BaU_Hatchery!K52</f>
        <v>382954.62921731069</v>
      </c>
      <c r="L40" s="33">
        <f>BaU_Hatchery!L52</f>
        <v>378614.73823675653</v>
      </c>
      <c r="M40" s="33">
        <f>BaU_Hatchery!M52</f>
        <v>378838.97652821499</v>
      </c>
      <c r="N40" s="33">
        <f>BaU_Hatchery!N52</f>
        <v>383627.36629349715</v>
      </c>
      <c r="O40" s="33">
        <f>BaU_Hatchery!O52</f>
        <v>379294.20268370485</v>
      </c>
      <c r="P40" s="33">
        <f>BaU_Hatchery!P52</f>
        <v>379525.23561963282</v>
      </c>
      <c r="Q40" s="33">
        <f>BaU_Hatchery!Q52</f>
        <v>384320.48797582916</v>
      </c>
      <c r="R40" s="33">
        <f>BaU_Hatchery!R52</f>
        <v>379994.25558286015</v>
      </c>
      <c r="S40" s="33">
        <f>BaU_Hatchery!S52</f>
        <v>380232.28904777963</v>
      </c>
      <c r="T40" s="33">
        <f>BaU_Hatchery!T52</f>
        <v>385034.61193825747</v>
      </c>
      <c r="U40" s="33">
        <f>BaU_Hatchery!U52</f>
        <v>380715.52078491275</v>
      </c>
      <c r="V40" s="33">
        <f>BaU_Hatchery!V52</f>
        <v>380960.7669018528</v>
      </c>
      <c r="W40" s="33">
        <f>BaU_Hatchery!W52</f>
        <v>318766.29965669703</v>
      </c>
      <c r="X40" s="33">
        <f>BaU_Hatchery!X52</f>
        <v>215729.32052192639</v>
      </c>
      <c r="Y40" s="33">
        <f>BaU_Hatchery!Y52</f>
        <v>73171.131836338231</v>
      </c>
      <c r="Z40" s="33">
        <f>BaU_Hatchery!Z52</f>
        <v>25374.999999999996</v>
      </c>
    </row>
    <row r="41" spans="1:27" x14ac:dyDescent="0.25">
      <c r="A41" s="9" t="str">
        <f>A13</f>
        <v>Crab Nursery</v>
      </c>
      <c r="B41" s="33">
        <f>BaU_Nursery!B44</f>
        <v>0</v>
      </c>
      <c r="C41" s="33">
        <f>BaU_Nursery!C44</f>
        <v>201220</v>
      </c>
      <c r="D41" s="33">
        <f>BaU_Nursery!D44</f>
        <v>479310.5</v>
      </c>
      <c r="E41" s="33">
        <f>BaU_Nursery!E44</f>
        <v>746590.56799999997</v>
      </c>
      <c r="F41" s="33">
        <f>BaU_Nursery!F44</f>
        <v>913326.84210000001</v>
      </c>
      <c r="G41" s="33">
        <f>BaU_Nursery!G44</f>
        <v>890712.110521</v>
      </c>
      <c r="H41" s="33">
        <f>BaU_Nursery!H44</f>
        <v>893294.23162621004</v>
      </c>
      <c r="I41" s="33">
        <f>BaU_Nursery!I44</f>
        <v>895148.42394247209</v>
      </c>
      <c r="J41" s="33">
        <f>BaU_Nursery!J44</f>
        <v>897399.9081818969</v>
      </c>
      <c r="K41" s="33">
        <f>BaU_Nursery!K44</f>
        <v>900048.90726371575</v>
      </c>
      <c r="L41" s="33">
        <f>BaU_Nursery!L44</f>
        <v>901970.64633635292</v>
      </c>
      <c r="M41" s="33">
        <f>BaU_Nursery!M44</f>
        <v>904290.35279971652</v>
      </c>
      <c r="N41" s="33">
        <f>BaU_Nursery!N44</f>
        <v>907008.25632771361</v>
      </c>
      <c r="O41" s="33">
        <f>BaU_Nursery!O44</f>
        <v>908999.58889099082</v>
      </c>
      <c r="P41" s="33">
        <f>BaU_Nursery!P44</f>
        <v>911389.58477990073</v>
      </c>
      <c r="Q41" s="33">
        <f>BaU_Nursery!Q44</f>
        <v>914178.48062769976</v>
      </c>
      <c r="R41" s="33">
        <f>BaU_Nursery!R44</f>
        <v>916241.51543397678</v>
      </c>
      <c r="S41" s="33">
        <f>BaU_Nursery!S44</f>
        <v>918703.93058831652</v>
      </c>
      <c r="T41" s="33">
        <f>BaU_Nursery!T44</f>
        <v>921565.96989419963</v>
      </c>
      <c r="U41" s="33">
        <f>BaU_Nursery!U44</f>
        <v>923702.87959314161</v>
      </c>
      <c r="V41" s="33">
        <f>BaU_Nursery!V44</f>
        <v>926239.9083890731</v>
      </c>
      <c r="W41" s="33">
        <f>BaU_Nursery!W44</f>
        <v>743341.84597837098</v>
      </c>
      <c r="X41" s="33">
        <f>BaU_Nursery!X44</f>
        <v>465695.16527384677</v>
      </c>
      <c r="Y41" s="33">
        <f>BaU_Nursery!Y44</f>
        <v>186800.84677063406</v>
      </c>
      <c r="Z41" s="33">
        <f>BaU_Nursery!Z44</f>
        <v>0</v>
      </c>
    </row>
    <row r="42" spans="1:27" x14ac:dyDescent="0.25">
      <c r="A42" s="9" t="str">
        <f>A14</f>
        <v>Crab Fattening</v>
      </c>
      <c r="B42" s="33">
        <f>BaU_Fattening!B42</f>
        <v>0</v>
      </c>
      <c r="C42" s="33">
        <f>BaU_Fattening!C42</f>
        <v>2464725</v>
      </c>
      <c r="D42" s="33">
        <f>BaU_Fattening!D42</f>
        <v>6739150</v>
      </c>
      <c r="E42" s="33">
        <f>BaU_Fattening!E42</f>
        <v>9207975</v>
      </c>
      <c r="F42" s="33">
        <f>BaU_Fattening!F42</f>
        <v>7242525</v>
      </c>
      <c r="G42" s="33">
        <f>BaU_Fattening!G42</f>
        <v>7079700</v>
      </c>
      <c r="H42" s="33">
        <f>BaU_Fattening!H42</f>
        <v>6779500</v>
      </c>
      <c r="I42" s="33">
        <f>BaU_Fattening!I42</f>
        <v>6587500</v>
      </c>
      <c r="J42" s="33">
        <f>BaU_Fattening!J42</f>
        <v>6587500</v>
      </c>
      <c r="K42" s="33">
        <f>BaU_Fattening!K42</f>
        <v>6779500</v>
      </c>
      <c r="L42" s="33">
        <f>BaU_Fattening!L42</f>
        <v>6587500</v>
      </c>
      <c r="M42" s="33">
        <f>BaU_Fattening!M42</f>
        <v>6587500</v>
      </c>
      <c r="N42" s="33">
        <f>BaU_Fattening!N42</f>
        <v>6779500</v>
      </c>
      <c r="O42" s="33">
        <f>BaU_Fattening!O42</f>
        <v>6587500</v>
      </c>
      <c r="P42" s="33">
        <f>BaU_Fattening!P42</f>
        <v>6587500</v>
      </c>
      <c r="Q42" s="33">
        <f>BaU_Fattening!Q42</f>
        <v>6779500</v>
      </c>
      <c r="R42" s="33">
        <f>BaU_Fattening!R42</f>
        <v>6587500</v>
      </c>
      <c r="S42" s="33">
        <f>BaU_Fattening!S42</f>
        <v>6587500</v>
      </c>
      <c r="T42" s="33">
        <f>BaU_Fattening!T42</f>
        <v>6779500</v>
      </c>
      <c r="U42" s="33">
        <f>BaU_Fattening!U42</f>
        <v>6587500</v>
      </c>
      <c r="V42" s="33">
        <f>BaU_Fattening!V42</f>
        <v>6587500</v>
      </c>
      <c r="W42" s="33">
        <f>BaU_Fattening!W42</f>
        <v>5762575</v>
      </c>
      <c r="X42" s="33">
        <f>BaU_Fattening!X42</f>
        <v>3293750</v>
      </c>
      <c r="Y42" s="33">
        <f>BaU_Fattening!Y42</f>
        <v>988125</v>
      </c>
      <c r="Z42" s="33">
        <f>BaU_Fattening!Z42</f>
        <v>338975</v>
      </c>
    </row>
    <row r="43" spans="1:27" s="377" customFormat="1" ht="30" x14ac:dyDescent="0.25">
      <c r="A43" s="121" t="str">
        <f>'Assumption_CRAB Value chain'!B141</f>
        <v>Opportubity cost for using the crab ponds/farm for fish farming</v>
      </c>
      <c r="B43" s="137">
        <v>0</v>
      </c>
      <c r="C43" s="137">
        <f>'Assumption_CRAB Value chain'!$C141</f>
        <v>1000</v>
      </c>
      <c r="D43" s="137">
        <f>'Assumption_CRAB Value chain'!$C141</f>
        <v>1000</v>
      </c>
      <c r="E43" s="137">
        <f>'Assumption_CRAB Value chain'!$C141</f>
        <v>1000</v>
      </c>
      <c r="F43" s="137">
        <f>'Assumption_CRAB Value chain'!$C141</f>
        <v>1000</v>
      </c>
      <c r="G43" s="137">
        <f>'Assumption_CRAB Value chain'!$C141</f>
        <v>1000</v>
      </c>
      <c r="H43" s="137">
        <f>'Assumption_CRAB Value chain'!$C141</f>
        <v>1000</v>
      </c>
      <c r="I43" s="137">
        <f>'Assumption_CRAB Value chain'!$C141</f>
        <v>1000</v>
      </c>
      <c r="J43" s="137">
        <f>'Assumption_CRAB Value chain'!$C141</f>
        <v>1000</v>
      </c>
      <c r="K43" s="137">
        <f>'Assumption_CRAB Value chain'!$C141</f>
        <v>1000</v>
      </c>
      <c r="L43" s="137">
        <f>'Assumption_CRAB Value chain'!$C141</f>
        <v>1000</v>
      </c>
      <c r="M43" s="137">
        <f>'Assumption_CRAB Value chain'!$C141</f>
        <v>1000</v>
      </c>
      <c r="N43" s="137">
        <f>'Assumption_CRAB Value chain'!$C141</f>
        <v>1000</v>
      </c>
      <c r="O43" s="137">
        <f>'Assumption_CRAB Value chain'!$C141</f>
        <v>1000</v>
      </c>
      <c r="P43" s="137">
        <f>'Assumption_CRAB Value chain'!$C141</f>
        <v>1000</v>
      </c>
      <c r="Q43" s="137">
        <f>'Assumption_CRAB Value chain'!$C141</f>
        <v>1000</v>
      </c>
      <c r="R43" s="137">
        <f>'Assumption_CRAB Value chain'!$C141</f>
        <v>1000</v>
      </c>
      <c r="S43" s="137">
        <f>'Assumption_CRAB Value chain'!$C141</f>
        <v>1000</v>
      </c>
      <c r="T43" s="137">
        <f>'Assumption_CRAB Value chain'!$C141</f>
        <v>1000</v>
      </c>
      <c r="U43" s="137">
        <f>'Assumption_CRAB Value chain'!$C141</f>
        <v>1000</v>
      </c>
      <c r="V43" s="137">
        <f>'Assumption_CRAB Value chain'!$C141</f>
        <v>1000</v>
      </c>
      <c r="W43" s="137">
        <f>'Assumption_CRAB Value chain'!$C141</f>
        <v>1000</v>
      </c>
      <c r="X43" s="137">
        <f>'Assumption_CRAB Value chain'!$C141</f>
        <v>1000</v>
      </c>
      <c r="Y43" s="137">
        <f>'Assumption_CRAB Value chain'!$C141</f>
        <v>1000</v>
      </c>
      <c r="Z43" s="137">
        <f>'Assumption_CRAB Value chain'!$C141</f>
        <v>1000</v>
      </c>
    </row>
    <row r="44" spans="1:27" x14ac:dyDescent="0.25">
      <c r="A44" s="117" t="s">
        <v>54</v>
      </c>
      <c r="B44" s="37">
        <f>SUM(B40:B43)</f>
        <v>0</v>
      </c>
      <c r="C44" s="37">
        <f>SUM(C40:C43)</f>
        <v>2832283.7818181817</v>
      </c>
      <c r="D44" s="37">
        <f t="shared" ref="D44:Z44" si="6">SUM(D40:D43)</f>
        <v>7597109.9695454547</v>
      </c>
      <c r="E44" s="37">
        <f t="shared" si="6"/>
        <v>10609554.203633636</v>
      </c>
      <c r="F44" s="37">
        <f t="shared" si="6"/>
        <v>8761967.0125939101</v>
      </c>
      <c r="G44" s="37">
        <f t="shared" si="6"/>
        <v>8475238.5236289389</v>
      </c>
      <c r="H44" s="37">
        <f t="shared" si="6"/>
        <v>8080895.9088652283</v>
      </c>
      <c r="I44" s="37">
        <f t="shared" si="6"/>
        <v>7861603.6806811532</v>
      </c>
      <c r="J44" s="37">
        <f t="shared" si="6"/>
        <v>7864072.8083970565</v>
      </c>
      <c r="K44" s="37">
        <f t="shared" si="6"/>
        <v>8063503.5364810266</v>
      </c>
      <c r="L44" s="37">
        <f t="shared" si="6"/>
        <v>7869085.3845731094</v>
      </c>
      <c r="M44" s="37">
        <f t="shared" si="6"/>
        <v>7871629.3293279316</v>
      </c>
      <c r="N44" s="37">
        <f t="shared" si="6"/>
        <v>8071135.6226212103</v>
      </c>
      <c r="O44" s="37">
        <f t="shared" si="6"/>
        <v>7876793.7915746961</v>
      </c>
      <c r="P44" s="37">
        <f t="shared" si="6"/>
        <v>7879414.820399534</v>
      </c>
      <c r="Q44" s="37">
        <f t="shared" si="6"/>
        <v>8078998.968603529</v>
      </c>
      <c r="R44" s="37">
        <f t="shared" si="6"/>
        <v>7884735.7710168371</v>
      </c>
      <c r="S44" s="37">
        <f t="shared" si="6"/>
        <v>7887436.2196360957</v>
      </c>
      <c r="T44" s="37">
        <f t="shared" si="6"/>
        <v>8087100.5818324573</v>
      </c>
      <c r="U44" s="37">
        <f t="shared" si="6"/>
        <v>7892918.400378054</v>
      </c>
      <c r="V44" s="37">
        <f t="shared" si="6"/>
        <v>7895700.6752909254</v>
      </c>
      <c r="W44" s="37">
        <f t="shared" si="6"/>
        <v>6825683.1456350684</v>
      </c>
      <c r="X44" s="37">
        <f t="shared" si="6"/>
        <v>3976174.4857957731</v>
      </c>
      <c r="Y44" s="37">
        <f t="shared" si="6"/>
        <v>1249096.9786069724</v>
      </c>
      <c r="Z44" s="37">
        <f t="shared" si="6"/>
        <v>365350</v>
      </c>
    </row>
    <row r="45" spans="1:27" x14ac:dyDescent="0.25">
      <c r="B45" s="32"/>
      <c r="C45" s="32"/>
      <c r="D45" s="32"/>
      <c r="E45" s="32"/>
      <c r="F45" s="32"/>
      <c r="G45" s="32"/>
      <c r="H45" s="32"/>
      <c r="I45" s="32"/>
      <c r="J45" s="32"/>
      <c r="K45" s="32"/>
      <c r="L45" s="32"/>
    </row>
    <row r="46" spans="1:27" x14ac:dyDescent="0.25">
      <c r="A46" s="23" t="str">
        <f>A17</f>
        <v>Net Resource Flow ($)</v>
      </c>
      <c r="B46" s="34">
        <f t="shared" ref="B46:Z46" si="7">B37-B44</f>
        <v>0</v>
      </c>
      <c r="C46" s="34">
        <f t="shared" si="7"/>
        <v>-1279277.1536931815</v>
      </c>
      <c r="D46" s="34">
        <f t="shared" si="7"/>
        <v>-2368950.154857954</v>
      </c>
      <c r="E46" s="34">
        <f t="shared" si="7"/>
        <v>-3203787.1877584253</v>
      </c>
      <c r="F46" s="34">
        <f t="shared" si="7"/>
        <v>1371082.7848852575</v>
      </c>
      <c r="G46" s="34">
        <f t="shared" si="7"/>
        <v>2297785.4715857543</v>
      </c>
      <c r="H46" s="34">
        <f t="shared" si="7"/>
        <v>895747.17889741622</v>
      </c>
      <c r="I46" s="34">
        <f t="shared" si="7"/>
        <v>3127955.5843373546</v>
      </c>
      <c r="J46" s="34">
        <f t="shared" si="7"/>
        <v>3235380.7992716394</v>
      </c>
      <c r="K46" s="34">
        <f t="shared" si="7"/>
        <v>1185137.0258589145</v>
      </c>
      <c r="L46" s="34">
        <f t="shared" si="7"/>
        <v>3453464.7281097285</v>
      </c>
      <c r="M46" s="34">
        <f t="shared" si="7"/>
        <v>3564145.0344817322</v>
      </c>
      <c r="N46" s="34">
        <f t="shared" si="7"/>
        <v>1457744.2097731922</v>
      </c>
      <c r="O46" s="34">
        <f t="shared" si="7"/>
        <v>3788837.1244475432</v>
      </c>
      <c r="P46" s="34">
        <f t="shared" si="7"/>
        <v>3902871.1547829285</v>
      </c>
      <c r="Q46" s="34">
        <f t="shared" si="7"/>
        <v>1738611.6639672555</v>
      </c>
      <c r="R46" s="34">
        <f t="shared" si="7"/>
        <v>4134371.6397667928</v>
      </c>
      <c r="S46" s="34">
        <f t="shared" si="7"/>
        <v>4251861.0152553711</v>
      </c>
      <c r="T46" s="34">
        <f t="shared" si="7"/>
        <v>2027989.6828908585</v>
      </c>
      <c r="U46" s="34">
        <f t="shared" si="7"/>
        <v>4490376.1964347288</v>
      </c>
      <c r="V46" s="34">
        <f t="shared" si="7"/>
        <v>4611425.6174899861</v>
      </c>
      <c r="W46" s="34">
        <f t="shared" si="7"/>
        <v>2051681.8574931715</v>
      </c>
      <c r="X46" s="34">
        <f t="shared" si="7"/>
        <v>2433146.5235871323</v>
      </c>
      <c r="Y46" s="34">
        <f t="shared" si="7"/>
        <v>723924.41223604744</v>
      </c>
      <c r="Z46" s="34">
        <f t="shared" si="7"/>
        <v>181136.97255664889</v>
      </c>
    </row>
    <row r="47" spans="1:27" x14ac:dyDescent="0.25">
      <c r="A47" s="23"/>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12"/>
    </row>
    <row r="48" spans="1:27" x14ac:dyDescent="0.25">
      <c r="A48" s="10" t="str">
        <f>A19</f>
        <v>Economic Benefits in Present Value</v>
      </c>
      <c r="B48" s="345">
        <f>B37/(1+Assumption_Hatchery!$C76)^'BaU_CRAB Value'!B31</f>
        <v>0</v>
      </c>
      <c r="C48" s="345">
        <f>C37/(1+Assumption_Hatchery!$C76)^'BaU_CRAB Value'!C31</f>
        <v>1465100.5925707549</v>
      </c>
      <c r="D48" s="345">
        <f>D37/(1+Assumption_Hatchery!$C76)^'BaU_CRAB Value'!D31</f>
        <v>4653043.6228973838</v>
      </c>
      <c r="E48" s="345">
        <f>E37/(1+Assumption_Hatchery!$C76)^'BaU_CRAB Value'!E31</f>
        <v>6218024.7921734126</v>
      </c>
      <c r="F48" s="345">
        <f>F37/(1+Assumption_Hatchery!$C76)^'BaU_CRAB Value'!F31</f>
        <v>8026324.5338585544</v>
      </c>
      <c r="G48" s="345">
        <f>G37/(1+Assumption_Hatchery!$C76)^'BaU_CRAB Value'!G31</f>
        <v>8050230.2269063201</v>
      </c>
      <c r="H48" s="345">
        <f>H37/(1+Assumption_Hatchery!$C76)^'BaU_CRAB Value'!H31</f>
        <v>6328179.1624832386</v>
      </c>
      <c r="I48" s="345">
        <f>I37/(1+Assumption_Hatchery!$C76)^'BaU_CRAB Value'!I31</f>
        <v>7308684.5647748094</v>
      </c>
      <c r="J48" s="345">
        <f>J37/(1+Assumption_Hatchery!$C76)^'BaU_CRAB Value'!J31</f>
        <v>6963934.5085860081</v>
      </c>
      <c r="K48" s="345">
        <f>K37/(1+Assumption_Hatchery!$C76)^'BaU_CRAB Value'!K31</f>
        <v>5474256.1385904774</v>
      </c>
      <c r="L48" s="345">
        <f>L37/(1+Assumption_Hatchery!$C76)^'BaU_CRAB Value'!L31</f>
        <v>6322452.8442817759</v>
      </c>
      <c r="M48" s="345">
        <f>M37/(1+Assumption_Hatchery!$C76)^'BaU_CRAB Value'!M31</f>
        <v>6024223.2780482266</v>
      </c>
      <c r="N48" s="345">
        <f>N37/(1+Assumption_Hatchery!$C76)^'BaU_CRAB Value'!N31</f>
        <v>4735561.3459067615</v>
      </c>
      <c r="O48" s="345">
        <f>O37/(1+Assumption_Hatchery!$C76)^'BaU_CRAB Value'!O31</f>
        <v>5469302.9925092012</v>
      </c>
      <c r="P48" s="345">
        <f>P37/(1+Assumption_Hatchery!$C76)^'BaU_CRAB Value'!P31</f>
        <v>5211316.4494202975</v>
      </c>
      <c r="Q48" s="345">
        <f>Q37/(1+Assumption_Hatchery!$C76)^'BaU_CRAB Value'!Q31</f>
        <v>4096545.8968775352</v>
      </c>
      <c r="R48" s="345">
        <f>R37/(1+Assumption_Hatchery!$C76)^'BaU_CRAB Value'!R31</f>
        <v>4731276.9657996371</v>
      </c>
      <c r="S48" s="345">
        <f>S37/(1+Assumption_Hatchery!$C76)^'BaU_CRAB Value'!S31</f>
        <v>4508103.0598111125</v>
      </c>
      <c r="T48" s="345">
        <f>T37/(1+Assumption_Hatchery!$C76)^'BaU_CRAB Value'!T31</f>
        <v>3543759.0709572732</v>
      </c>
      <c r="U48" s="345">
        <f>U37/(1+Assumption_Hatchery!$C76)^'BaU_CRAB Value'!U31</f>
        <v>4092839.9770916807</v>
      </c>
      <c r="V48" s="345">
        <f>V37/(1+Assumption_Hatchery!$C76)^'BaU_CRAB Value'!V31</f>
        <v>3899781.0978503157</v>
      </c>
      <c r="W48" s="345">
        <f>W37/(1+Assumption_Hatchery!$C76)^'BaU_CRAB Value'!W31</f>
        <v>2611324.8776117763</v>
      </c>
      <c r="X48" s="345">
        <f>X37/(1+Assumption_Hatchery!$C76)^'BaU_CRAB Value'!X31</f>
        <v>1778619.2478247404</v>
      </c>
      <c r="Y48" s="345">
        <f>Y37/(1+Assumption_Hatchery!$C76)^'BaU_CRAB Value'!Y31</f>
        <v>516531.59647914866</v>
      </c>
      <c r="Z48" s="345">
        <f>Z37/(1+Assumption_Hatchery!$C76)^'BaU_CRAB Value'!Z31</f>
        <v>134970.55916555412</v>
      </c>
      <c r="AA48" s="343">
        <f>SUM(B48:Z48)</f>
        <v>112164387.40247601</v>
      </c>
    </row>
    <row r="49" spans="1:27" s="12" customFormat="1" x14ac:dyDescent="0.25">
      <c r="A49" s="10" t="str">
        <f>A20</f>
        <v>Economic Costs in Present Value</v>
      </c>
      <c r="B49" s="346">
        <f>B44/(1+Assumption_Hatchery!$C76)^'BaU_CRAB Value'!B31</f>
        <v>0</v>
      </c>
      <c r="C49" s="346">
        <f>C44/(1+Assumption_Hatchery!$C76)^'BaU_CRAB Value'!C31</f>
        <v>2671965.8319039447</v>
      </c>
      <c r="D49" s="346">
        <f>D44/(1+Assumption_Hatchery!$C76)^'BaU_CRAB Value'!D31</f>
        <v>6761400.8272921443</v>
      </c>
      <c r="E49" s="346">
        <f>E44/(1+Assumption_Hatchery!$C76)^'BaU_CRAB Value'!E31</f>
        <v>8907986.2937472146</v>
      </c>
      <c r="F49" s="346">
        <f>F44/(1+Assumption_Hatchery!$C76)^'BaU_CRAB Value'!F31</f>
        <v>6940298.5481762039</v>
      </c>
      <c r="G49" s="346">
        <f>G44/(1+Assumption_Hatchery!$C76)^'BaU_CRAB Value'!G31</f>
        <v>6333191.2537709782</v>
      </c>
      <c r="H49" s="346">
        <f>H44/(1+Assumption_Hatchery!$C76)^'BaU_CRAB Value'!H31</f>
        <v>5696712.7471504007</v>
      </c>
      <c r="I49" s="346">
        <f>I44/(1+Assumption_Hatchery!$C76)^'BaU_CRAB Value'!I31</f>
        <v>5228415.4523165412</v>
      </c>
      <c r="J49" s="346">
        <f>J44/(1+Assumption_Hatchery!$C76)^'BaU_CRAB Value'!J31</f>
        <v>4934016.5691211745</v>
      </c>
      <c r="K49" s="346">
        <f>K44/(1+Assumption_Hatchery!$C76)^'BaU_CRAB Value'!K31</f>
        <v>4772775.3539120425</v>
      </c>
      <c r="L49" s="346">
        <f>L44/(1+Assumption_Hatchery!$C76)^'BaU_CRAB Value'!L31</f>
        <v>4394056.1778447162</v>
      </c>
      <c r="M49" s="346">
        <f>M44/(1+Assumption_Hatchery!$C76)^'BaU_CRAB Value'!M31</f>
        <v>4146676.1351967631</v>
      </c>
      <c r="N49" s="346">
        <f>N44/(1+Assumption_Hatchery!$C76)^'BaU_CRAB Value'!N31</f>
        <v>4011107.1337177204</v>
      </c>
      <c r="O49" s="346">
        <f>O44/(1+Assumption_Hatchery!$C76)^'BaU_CRAB Value'!O31</f>
        <v>3692948.2996473066</v>
      </c>
      <c r="P49" s="346">
        <f>P44/(1+Assumption_Hatchery!$C76)^'BaU_CRAB Value'!P31</f>
        <v>3485072.7738102009</v>
      </c>
      <c r="Q49" s="346">
        <f>Q44/(1+Assumption_Hatchery!$C76)^'BaU_CRAB Value'!Q31</f>
        <v>3371083.9953167192</v>
      </c>
      <c r="R49" s="346">
        <f>R44/(1+Assumption_Hatchery!$C76)^'BaU_CRAB Value'!R31</f>
        <v>3103796.934317952</v>
      </c>
      <c r="S49" s="346">
        <f>S44/(1+Assumption_Hatchery!$C76)^'BaU_CRAB Value'!S31</f>
        <v>2929113.1659257356</v>
      </c>
      <c r="T49" s="346">
        <f>T44/(1+Assumption_Hatchery!$C76)^'BaU_CRAB Value'!T31</f>
        <v>2833265.4770823773</v>
      </c>
      <c r="U49" s="346">
        <f>U44/(1+Assumption_Hatchery!$C76)^'BaU_CRAB Value'!U31</f>
        <v>2608712.2221338698</v>
      </c>
      <c r="V49" s="346">
        <f>V44/(1+Assumption_Hatchery!$C76)^'BaU_CRAB Value'!V31</f>
        <v>2461916.7926333584</v>
      </c>
      <c r="W49" s="346">
        <f>W44/(1+Assumption_Hatchery!$C76)^'BaU_CRAB Value'!W31</f>
        <v>2007811.5745619724</v>
      </c>
      <c r="X49" s="346">
        <f>X44/(1+Assumption_Hatchery!$C76)^'BaU_CRAB Value'!X31</f>
        <v>1103408.686004777</v>
      </c>
      <c r="Y49" s="346">
        <f>Y44/(1+Assumption_Hatchery!$C76)^'BaU_CRAB Value'!Y31</f>
        <v>327010.16801519034</v>
      </c>
      <c r="Z49" s="346">
        <f>Z44/(1+Assumption_Hatchery!$C76)^'BaU_CRAB Value'!Z31</f>
        <v>90233.612633874014</v>
      </c>
      <c r="AA49" s="343">
        <f>SUM(B49:Z49)</f>
        <v>92812976.026233166</v>
      </c>
    </row>
    <row r="50" spans="1:27" x14ac:dyDescent="0.25">
      <c r="B50" s="32"/>
      <c r="C50" s="32"/>
      <c r="D50" s="32"/>
      <c r="E50" s="32"/>
      <c r="F50" s="32"/>
      <c r="G50" s="32"/>
      <c r="H50" s="32"/>
      <c r="I50" s="32"/>
      <c r="J50" s="32"/>
      <c r="K50" s="32"/>
      <c r="L50" s="32"/>
    </row>
    <row r="51" spans="1:27" s="12" customFormat="1" x14ac:dyDescent="0.25">
      <c r="A51" s="25" t="s">
        <v>318</v>
      </c>
      <c r="B51" s="35">
        <f>NPV(Assumption_Hatchery!C76,C46:Z46)+B46</f>
        <v>19351411.376242824</v>
      </c>
      <c r="C51" s="40"/>
      <c r="D51" s="40"/>
      <c r="E51" s="40"/>
      <c r="F51" s="40"/>
      <c r="G51" s="40"/>
      <c r="H51" s="40"/>
      <c r="I51" s="40"/>
      <c r="J51" s="40"/>
      <c r="K51" s="40"/>
      <c r="L51" s="40"/>
    </row>
    <row r="53" spans="1:27" s="12" customFormat="1" x14ac:dyDescent="0.25">
      <c r="A53" s="25" t="s">
        <v>238</v>
      </c>
      <c r="B53" s="36">
        <f>IRR(B46:Z46)</f>
        <v>0.26586026915528738</v>
      </c>
      <c r="C53" s="4"/>
      <c r="D53" s="4"/>
      <c r="E53" s="4"/>
      <c r="F53" s="4"/>
      <c r="G53" s="4"/>
      <c r="H53" s="4"/>
      <c r="I53" s="4"/>
      <c r="J53" s="4"/>
      <c r="K53" s="4"/>
      <c r="L53" s="4"/>
    </row>
    <row r="55" spans="1:27" ht="38.25" customHeight="1" x14ac:dyDescent="0.25">
      <c r="A55" s="11"/>
      <c r="B55" s="30"/>
      <c r="C55" s="69"/>
      <c r="D55" s="70"/>
      <c r="E55" s="30"/>
      <c r="F55" s="116"/>
      <c r="G55" s="30"/>
      <c r="H55" s="30"/>
      <c r="I55" s="30"/>
      <c r="J55" s="30"/>
      <c r="K55" s="30"/>
      <c r="L55" s="30"/>
      <c r="M55" s="11"/>
    </row>
    <row r="56" spans="1:27" s="1" customFormat="1" x14ac:dyDescent="0.25">
      <c r="A56" s="24"/>
      <c r="B56" s="42"/>
      <c r="C56" s="42"/>
      <c r="D56" s="42"/>
      <c r="E56" s="42"/>
      <c r="F56" s="42"/>
      <c r="G56" s="42"/>
      <c r="H56" s="42"/>
      <c r="I56" s="42"/>
      <c r="J56" s="42"/>
      <c r="K56" s="42"/>
      <c r="L56" s="42"/>
    </row>
    <row r="58" spans="1:27" ht="26.25" x14ac:dyDescent="0.25">
      <c r="F58" s="19" t="s">
        <v>92</v>
      </c>
    </row>
    <row r="59" spans="1:27" ht="38.25" customHeight="1" x14ac:dyDescent="0.25">
      <c r="A59" s="11" t="str">
        <f>A2</f>
        <v>Aggregate Economic Analysis</v>
      </c>
      <c r="B59" s="30"/>
      <c r="C59" s="69"/>
      <c r="D59" s="70"/>
      <c r="E59" s="30"/>
      <c r="F59" s="30"/>
      <c r="G59" s="30"/>
      <c r="H59" s="30"/>
      <c r="I59" s="30"/>
      <c r="J59" s="30"/>
      <c r="K59" s="30"/>
      <c r="L59" s="30"/>
      <c r="M59" s="11"/>
    </row>
    <row r="61" spans="1:27" x14ac:dyDescent="0.25">
      <c r="A61" s="10" t="s">
        <v>19</v>
      </c>
      <c r="B61" s="26">
        <v>0</v>
      </c>
      <c r="C61" s="26">
        <v>1</v>
      </c>
      <c r="D61" s="26">
        <v>2</v>
      </c>
      <c r="E61" s="26">
        <v>3</v>
      </c>
      <c r="F61" s="26">
        <v>4</v>
      </c>
      <c r="G61" s="26">
        <v>5</v>
      </c>
      <c r="H61" s="26">
        <v>6</v>
      </c>
      <c r="I61" s="26">
        <v>7</v>
      </c>
      <c r="J61" s="26">
        <v>8</v>
      </c>
      <c r="K61" s="26">
        <v>9</v>
      </c>
      <c r="L61" s="26">
        <v>10</v>
      </c>
      <c r="M61" s="26">
        <v>11</v>
      </c>
      <c r="N61" s="26">
        <v>12</v>
      </c>
      <c r="O61" s="26">
        <v>13</v>
      </c>
      <c r="P61" s="26">
        <v>14</v>
      </c>
      <c r="Q61" s="26">
        <v>15</v>
      </c>
      <c r="R61" s="26">
        <v>16</v>
      </c>
      <c r="S61" s="26">
        <v>17</v>
      </c>
      <c r="T61" s="26">
        <v>18</v>
      </c>
      <c r="U61" s="26">
        <v>19</v>
      </c>
      <c r="V61" s="26">
        <v>20</v>
      </c>
      <c r="W61" s="26">
        <v>21</v>
      </c>
      <c r="X61" s="26">
        <v>22</v>
      </c>
      <c r="Y61" s="26">
        <v>23</v>
      </c>
      <c r="Z61" s="26">
        <v>24</v>
      </c>
    </row>
    <row r="62" spans="1:27" x14ac:dyDescent="0.25">
      <c r="A62" s="23" t="s">
        <v>3</v>
      </c>
    </row>
    <row r="63" spans="1:27" x14ac:dyDescent="0.25">
      <c r="A63" s="10" t="s">
        <v>51</v>
      </c>
      <c r="B63" s="31">
        <f t="shared" ref="B63:Z63" si="8">B6</f>
        <v>0</v>
      </c>
      <c r="C63" s="31">
        <f t="shared" si="8"/>
        <v>1552881.6281250003</v>
      </c>
      <c r="D63" s="31">
        <f t="shared" si="8"/>
        <v>5228034.8146875007</v>
      </c>
      <c r="E63" s="31">
        <f t="shared" si="8"/>
        <v>7405642.015875211</v>
      </c>
      <c r="F63" s="31">
        <f t="shared" si="8"/>
        <v>10132924.797479168</v>
      </c>
      <c r="G63" s="31">
        <f t="shared" si="8"/>
        <v>10772898.995214693</v>
      </c>
      <c r="H63" s="31">
        <f t="shared" si="8"/>
        <v>8976518.0877626445</v>
      </c>
      <c r="I63" s="31">
        <f t="shared" si="8"/>
        <v>10989434.265018508</v>
      </c>
      <c r="J63" s="31">
        <f t="shared" si="8"/>
        <v>11099328.607668696</v>
      </c>
      <c r="K63" s="31">
        <f t="shared" si="8"/>
        <v>9248515.562339941</v>
      </c>
      <c r="L63" s="31">
        <f t="shared" si="8"/>
        <v>11322425.112682838</v>
      </c>
      <c r="M63" s="31">
        <f t="shared" si="8"/>
        <v>11435649.363809664</v>
      </c>
      <c r="N63" s="31">
        <f t="shared" si="8"/>
        <v>9528754.8323944025</v>
      </c>
      <c r="O63" s="31">
        <f t="shared" si="8"/>
        <v>11665505.916022239</v>
      </c>
      <c r="P63" s="31">
        <f t="shared" si="8"/>
        <v>11782160.975182462</v>
      </c>
      <c r="Q63" s="31">
        <f t="shared" si="8"/>
        <v>9817485.6325707845</v>
      </c>
      <c r="R63" s="31">
        <f t="shared" si="8"/>
        <v>12018982.41078363</v>
      </c>
      <c r="S63" s="31">
        <f t="shared" si="8"/>
        <v>12139172.234891467</v>
      </c>
      <c r="T63" s="31">
        <f t="shared" si="8"/>
        <v>10114965.264723316</v>
      </c>
      <c r="U63" s="31">
        <f t="shared" si="8"/>
        <v>12383169.596812783</v>
      </c>
      <c r="V63" s="31">
        <f t="shared" si="8"/>
        <v>12507001.292780912</v>
      </c>
      <c r="W63" s="31">
        <f t="shared" si="8"/>
        <v>8858240.0031282399</v>
      </c>
      <c r="X63" s="31">
        <f t="shared" si="8"/>
        <v>6379196.0093829054</v>
      </c>
      <c r="Y63" s="31">
        <f t="shared" si="8"/>
        <v>1932896.3908430198</v>
      </c>
      <c r="Z63" s="31">
        <f t="shared" si="8"/>
        <v>536861.97255664889</v>
      </c>
    </row>
    <row r="64" spans="1:27" x14ac:dyDescent="0.25">
      <c r="A64" s="10" t="s">
        <v>52</v>
      </c>
      <c r="B64" s="31">
        <f t="shared" ref="B64:Z64" si="9">B7</f>
        <v>0</v>
      </c>
      <c r="C64" s="31">
        <f t="shared" si="9"/>
        <v>0</v>
      </c>
      <c r="D64" s="31">
        <f t="shared" si="9"/>
        <v>0</v>
      </c>
      <c r="E64" s="31">
        <f t="shared" si="9"/>
        <v>0</v>
      </c>
      <c r="F64" s="31">
        <f t="shared" si="9"/>
        <v>0</v>
      </c>
      <c r="G64" s="31">
        <f t="shared" si="9"/>
        <v>0</v>
      </c>
      <c r="H64" s="31">
        <f t="shared" si="9"/>
        <v>0</v>
      </c>
      <c r="I64" s="31">
        <f t="shared" si="9"/>
        <v>0</v>
      </c>
      <c r="J64" s="31">
        <f t="shared" si="9"/>
        <v>0</v>
      </c>
      <c r="K64" s="31">
        <f t="shared" si="9"/>
        <v>0</v>
      </c>
      <c r="L64" s="31">
        <f t="shared" si="9"/>
        <v>0</v>
      </c>
      <c r="M64" s="31">
        <f t="shared" si="9"/>
        <v>0</v>
      </c>
      <c r="N64" s="31">
        <f t="shared" si="9"/>
        <v>0</v>
      </c>
      <c r="O64" s="31">
        <f t="shared" si="9"/>
        <v>0</v>
      </c>
      <c r="P64" s="31">
        <f t="shared" si="9"/>
        <v>0</v>
      </c>
      <c r="Q64" s="31">
        <f t="shared" si="9"/>
        <v>0</v>
      </c>
      <c r="R64" s="31">
        <f t="shared" si="9"/>
        <v>0</v>
      </c>
      <c r="S64" s="31">
        <f t="shared" si="9"/>
        <v>0</v>
      </c>
      <c r="T64" s="31">
        <f t="shared" si="9"/>
        <v>0</v>
      </c>
      <c r="U64" s="31">
        <f t="shared" si="9"/>
        <v>0</v>
      </c>
      <c r="V64" s="31">
        <f t="shared" si="9"/>
        <v>0</v>
      </c>
      <c r="W64" s="31">
        <f t="shared" si="9"/>
        <v>19000</v>
      </c>
      <c r="X64" s="31">
        <f t="shared" si="9"/>
        <v>30000</v>
      </c>
      <c r="Y64" s="31">
        <f t="shared" si="9"/>
        <v>40000</v>
      </c>
      <c r="Z64" s="31">
        <f t="shared" si="9"/>
        <v>9500</v>
      </c>
    </row>
    <row r="65" spans="1:27" s="377" customFormat="1" x14ac:dyDescent="0.25">
      <c r="A65" s="376" t="str">
        <f>A35</f>
        <v>Biodiversity/Ecosystem services</v>
      </c>
      <c r="B65" s="136">
        <f>B35</f>
        <v>0</v>
      </c>
      <c r="C65" s="136">
        <f t="shared" ref="C65:Z65" si="10">C35</f>
        <v>100</v>
      </c>
      <c r="D65" s="136">
        <f t="shared" si="10"/>
        <v>100</v>
      </c>
      <c r="E65" s="136">
        <f t="shared" si="10"/>
        <v>100</v>
      </c>
      <c r="F65" s="136">
        <f t="shared" si="10"/>
        <v>100</v>
      </c>
      <c r="G65" s="136">
        <f t="shared" si="10"/>
        <v>100</v>
      </c>
      <c r="H65" s="136">
        <f t="shared" si="10"/>
        <v>100</v>
      </c>
      <c r="I65" s="136">
        <f t="shared" si="10"/>
        <v>100</v>
      </c>
      <c r="J65" s="136">
        <f t="shared" si="10"/>
        <v>100</v>
      </c>
      <c r="K65" s="136">
        <f t="shared" si="10"/>
        <v>100</v>
      </c>
      <c r="L65" s="136">
        <f t="shared" si="10"/>
        <v>100</v>
      </c>
      <c r="M65" s="136">
        <f t="shared" si="10"/>
        <v>100</v>
      </c>
      <c r="N65" s="136">
        <f t="shared" si="10"/>
        <v>100</v>
      </c>
      <c r="O65" s="136">
        <f t="shared" si="10"/>
        <v>100</v>
      </c>
      <c r="P65" s="136">
        <f t="shared" si="10"/>
        <v>100</v>
      </c>
      <c r="Q65" s="136">
        <f t="shared" si="10"/>
        <v>100</v>
      </c>
      <c r="R65" s="136">
        <f t="shared" si="10"/>
        <v>100</v>
      </c>
      <c r="S65" s="136">
        <f t="shared" si="10"/>
        <v>100</v>
      </c>
      <c r="T65" s="136">
        <f t="shared" si="10"/>
        <v>100</v>
      </c>
      <c r="U65" s="136">
        <f t="shared" si="10"/>
        <v>100</v>
      </c>
      <c r="V65" s="136">
        <f t="shared" si="10"/>
        <v>100</v>
      </c>
      <c r="W65" s="136">
        <f t="shared" si="10"/>
        <v>100</v>
      </c>
      <c r="X65" s="136">
        <f t="shared" si="10"/>
        <v>100</v>
      </c>
      <c r="Y65" s="136">
        <f t="shared" si="10"/>
        <v>100</v>
      </c>
      <c r="Z65" s="136">
        <f t="shared" si="10"/>
        <v>100</v>
      </c>
    </row>
    <row r="66" spans="1:27" s="377" customFormat="1" x14ac:dyDescent="0.25">
      <c r="A66" s="376" t="str">
        <f>A36</f>
        <v>Employment generation in the value chain</v>
      </c>
      <c r="B66" s="136">
        <f>B36</f>
        <v>0</v>
      </c>
      <c r="C66" s="136">
        <f t="shared" ref="C66:Z66" si="11">C36</f>
        <v>25</v>
      </c>
      <c r="D66" s="136">
        <f t="shared" si="11"/>
        <v>25</v>
      </c>
      <c r="E66" s="136">
        <f t="shared" si="11"/>
        <v>25</v>
      </c>
      <c r="F66" s="136">
        <f t="shared" si="11"/>
        <v>25</v>
      </c>
      <c r="G66" s="136">
        <f t="shared" si="11"/>
        <v>25</v>
      </c>
      <c r="H66" s="136">
        <f t="shared" si="11"/>
        <v>25</v>
      </c>
      <c r="I66" s="136">
        <f t="shared" si="11"/>
        <v>25</v>
      </c>
      <c r="J66" s="136">
        <f t="shared" si="11"/>
        <v>25</v>
      </c>
      <c r="K66" s="136">
        <f t="shared" si="11"/>
        <v>25</v>
      </c>
      <c r="L66" s="136">
        <f t="shared" si="11"/>
        <v>25</v>
      </c>
      <c r="M66" s="136">
        <f t="shared" si="11"/>
        <v>25</v>
      </c>
      <c r="N66" s="136">
        <f t="shared" si="11"/>
        <v>25</v>
      </c>
      <c r="O66" s="136">
        <f t="shared" si="11"/>
        <v>25</v>
      </c>
      <c r="P66" s="136">
        <f t="shared" si="11"/>
        <v>25</v>
      </c>
      <c r="Q66" s="136">
        <f t="shared" si="11"/>
        <v>25</v>
      </c>
      <c r="R66" s="136">
        <f t="shared" si="11"/>
        <v>25</v>
      </c>
      <c r="S66" s="136">
        <f t="shared" si="11"/>
        <v>25</v>
      </c>
      <c r="T66" s="136">
        <f t="shared" si="11"/>
        <v>25</v>
      </c>
      <c r="U66" s="136">
        <f t="shared" si="11"/>
        <v>25</v>
      </c>
      <c r="V66" s="136">
        <f t="shared" si="11"/>
        <v>25</v>
      </c>
      <c r="W66" s="136">
        <f t="shared" si="11"/>
        <v>25</v>
      </c>
      <c r="X66" s="136">
        <f t="shared" si="11"/>
        <v>25</v>
      </c>
      <c r="Y66" s="136">
        <f t="shared" si="11"/>
        <v>25</v>
      </c>
      <c r="Z66" s="136">
        <f t="shared" si="11"/>
        <v>25</v>
      </c>
    </row>
    <row r="67" spans="1:27" s="12" customFormat="1" x14ac:dyDescent="0.25">
      <c r="A67" s="23" t="s">
        <v>53</v>
      </c>
      <c r="B67" s="38">
        <f>SUM(B63:B66)</f>
        <v>0</v>
      </c>
      <c r="C67" s="38">
        <f t="shared" ref="C67:Z67" si="12">SUM(C63:C66)</f>
        <v>1553006.6281250003</v>
      </c>
      <c r="D67" s="38">
        <f t="shared" si="12"/>
        <v>5228159.8146875007</v>
      </c>
      <c r="E67" s="38">
        <f t="shared" si="12"/>
        <v>7405767.015875211</v>
      </c>
      <c r="F67" s="38">
        <f t="shared" si="12"/>
        <v>10133049.797479168</v>
      </c>
      <c r="G67" s="38">
        <f t="shared" si="12"/>
        <v>10773023.995214693</v>
      </c>
      <c r="H67" s="38">
        <f t="shared" si="12"/>
        <v>8976643.0877626445</v>
      </c>
      <c r="I67" s="38">
        <f t="shared" si="12"/>
        <v>10989559.265018508</v>
      </c>
      <c r="J67" s="38">
        <f t="shared" si="12"/>
        <v>11099453.607668696</v>
      </c>
      <c r="K67" s="38">
        <f t="shared" si="12"/>
        <v>9248640.562339941</v>
      </c>
      <c r="L67" s="38">
        <f t="shared" si="12"/>
        <v>11322550.112682838</v>
      </c>
      <c r="M67" s="38">
        <f t="shared" si="12"/>
        <v>11435774.363809664</v>
      </c>
      <c r="N67" s="38">
        <f t="shared" si="12"/>
        <v>9528879.8323944025</v>
      </c>
      <c r="O67" s="38">
        <f t="shared" si="12"/>
        <v>11665630.916022239</v>
      </c>
      <c r="P67" s="38">
        <f t="shared" si="12"/>
        <v>11782285.975182462</v>
      </c>
      <c r="Q67" s="38">
        <f t="shared" si="12"/>
        <v>9817610.6325707845</v>
      </c>
      <c r="R67" s="38">
        <f t="shared" si="12"/>
        <v>12019107.41078363</v>
      </c>
      <c r="S67" s="38">
        <f t="shared" si="12"/>
        <v>12139297.234891467</v>
      </c>
      <c r="T67" s="38">
        <f t="shared" si="12"/>
        <v>10115090.264723316</v>
      </c>
      <c r="U67" s="38">
        <f t="shared" si="12"/>
        <v>12383294.596812783</v>
      </c>
      <c r="V67" s="38">
        <f t="shared" si="12"/>
        <v>12507126.292780912</v>
      </c>
      <c r="W67" s="38">
        <f t="shared" si="12"/>
        <v>8877365.0031282399</v>
      </c>
      <c r="X67" s="38">
        <f t="shared" si="12"/>
        <v>6409321.0093829054</v>
      </c>
      <c r="Y67" s="38">
        <f t="shared" si="12"/>
        <v>1973021.3908430198</v>
      </c>
      <c r="Z67" s="38">
        <f t="shared" si="12"/>
        <v>546486.97255664889</v>
      </c>
    </row>
    <row r="68" spans="1:27" x14ac:dyDescent="0.25">
      <c r="A68" s="23"/>
      <c r="B68" s="41"/>
      <c r="C68" s="41"/>
      <c r="D68" s="41"/>
      <c r="E68" s="41"/>
      <c r="F68" s="41"/>
      <c r="G68" s="41"/>
      <c r="H68" s="41"/>
      <c r="I68" s="41"/>
      <c r="J68" s="41"/>
      <c r="K68" s="41"/>
    </row>
    <row r="69" spans="1:27" x14ac:dyDescent="0.25">
      <c r="A69" s="23" t="s">
        <v>20</v>
      </c>
    </row>
    <row r="70" spans="1:27" x14ac:dyDescent="0.25">
      <c r="A70" s="9" t="str">
        <f>A40</f>
        <v>Crab Hatchery</v>
      </c>
      <c r="B70" s="33">
        <f>BaU_Hatchery!B85</f>
        <v>0</v>
      </c>
      <c r="C70" s="33">
        <f>BaU_Hatchery!C85</f>
        <v>165338.78181818183</v>
      </c>
      <c r="D70" s="33">
        <f>BaU_Hatchery!D85</f>
        <v>318449.46954545454</v>
      </c>
      <c r="E70" s="33">
        <f>BaU_Hatchery!E85</f>
        <v>515588.63563363638</v>
      </c>
      <c r="F70" s="33">
        <f>BaU_Hatchery!F85</f>
        <v>412315.17049390904</v>
      </c>
      <c r="G70" s="33">
        <f>BaU_Hatchery!G85</f>
        <v>375026.41310793906</v>
      </c>
      <c r="H70" s="33">
        <f>BaU_Hatchery!H85</f>
        <v>382301.67723901849</v>
      </c>
      <c r="I70" s="33">
        <f>BaU_Hatchery!I85</f>
        <v>377955.25673868135</v>
      </c>
      <c r="J70" s="33">
        <f>BaU_Hatchery!J85</f>
        <v>378172.90021515911</v>
      </c>
      <c r="K70" s="33">
        <f>BaU_Hatchery!K85</f>
        <v>382954.62921731069</v>
      </c>
      <c r="L70" s="33">
        <f>BaU_Hatchery!L85</f>
        <v>378614.73823675653</v>
      </c>
      <c r="M70" s="33">
        <f>BaU_Hatchery!M85</f>
        <v>378838.97652821499</v>
      </c>
      <c r="N70" s="33">
        <f>BaU_Hatchery!N85</f>
        <v>383627.36629349715</v>
      </c>
      <c r="O70" s="33">
        <f>BaU_Hatchery!O85</f>
        <v>379294.20268370485</v>
      </c>
      <c r="P70" s="33">
        <f>BaU_Hatchery!P85</f>
        <v>379525.23561963282</v>
      </c>
      <c r="Q70" s="33">
        <f>BaU_Hatchery!Q85</f>
        <v>384320.48797582916</v>
      </c>
      <c r="R70" s="33">
        <f>BaU_Hatchery!R85</f>
        <v>379994.25558286015</v>
      </c>
      <c r="S70" s="33">
        <f>BaU_Hatchery!S85</f>
        <v>380232.28904777963</v>
      </c>
      <c r="T70" s="33">
        <f>BaU_Hatchery!T85</f>
        <v>385034.61193825747</v>
      </c>
      <c r="U70" s="33">
        <f>BaU_Hatchery!U85</f>
        <v>380715.52078491275</v>
      </c>
      <c r="V70" s="33">
        <f>BaU_Hatchery!V85</f>
        <v>380960.7669018528</v>
      </c>
      <c r="W70" s="33">
        <f>BaU_Hatchery!W85</f>
        <v>318766.29965669703</v>
      </c>
      <c r="X70" s="33">
        <f>BaU_Hatchery!X85</f>
        <v>215729.32052192639</v>
      </c>
      <c r="Y70" s="33">
        <f>BaU_Hatchery!Y85</f>
        <v>73171.131836338231</v>
      </c>
      <c r="Z70" s="33">
        <f>BaU_Hatchery!Z85</f>
        <v>25374.999999999996</v>
      </c>
    </row>
    <row r="71" spans="1:27" x14ac:dyDescent="0.25">
      <c r="A71" s="9" t="str">
        <f t="shared" ref="A71:A72" si="13">A41</f>
        <v>Crab Nursery</v>
      </c>
      <c r="B71" s="33">
        <f>BaU_Nursery!B73</f>
        <v>0</v>
      </c>
      <c r="C71" s="33">
        <f>BaU_Nursery!C73</f>
        <v>176420</v>
      </c>
      <c r="D71" s="33">
        <f>BaU_Nursery!D73</f>
        <v>442110.5</v>
      </c>
      <c r="E71" s="33">
        <f>BaU_Nursery!E73</f>
        <v>709390.56799999997</v>
      </c>
      <c r="F71" s="33">
        <f>BaU_Nursery!F73</f>
        <v>888526.84210000001</v>
      </c>
      <c r="G71" s="33">
        <f>BaU_Nursery!G73</f>
        <v>890712.110521</v>
      </c>
      <c r="H71" s="33">
        <f>BaU_Nursery!H73</f>
        <v>893294.23162621004</v>
      </c>
      <c r="I71" s="33">
        <f>BaU_Nursery!I73</f>
        <v>895148.42394247209</v>
      </c>
      <c r="J71" s="33">
        <f>BaU_Nursery!J73</f>
        <v>897399.9081818969</v>
      </c>
      <c r="K71" s="33">
        <f>BaU_Nursery!K73</f>
        <v>900048.90726371575</v>
      </c>
      <c r="L71" s="33">
        <f>BaU_Nursery!L73</f>
        <v>901970.64633635292</v>
      </c>
      <c r="M71" s="33">
        <f>BaU_Nursery!M73</f>
        <v>904290.35279971652</v>
      </c>
      <c r="N71" s="33">
        <f>BaU_Nursery!N73</f>
        <v>907008.25632771361</v>
      </c>
      <c r="O71" s="33">
        <f>BaU_Nursery!O73</f>
        <v>908999.58889099082</v>
      </c>
      <c r="P71" s="33">
        <f>BaU_Nursery!P73</f>
        <v>911389.58477990073</v>
      </c>
      <c r="Q71" s="33">
        <f>BaU_Nursery!Q73</f>
        <v>914178.48062769976</v>
      </c>
      <c r="R71" s="33">
        <f>BaU_Nursery!R73</f>
        <v>916241.51543397678</v>
      </c>
      <c r="S71" s="33">
        <f>BaU_Nursery!S73</f>
        <v>918703.93058831652</v>
      </c>
      <c r="T71" s="33">
        <f>BaU_Nursery!T73</f>
        <v>921565.96989419963</v>
      </c>
      <c r="U71" s="33">
        <f>BaU_Nursery!U73</f>
        <v>923702.87959314161</v>
      </c>
      <c r="V71" s="33">
        <f>BaU_Nursery!V73</f>
        <v>926239.9083890731</v>
      </c>
      <c r="W71" s="33">
        <f>BaU_Nursery!W73</f>
        <v>743341.84597837098</v>
      </c>
      <c r="X71" s="33">
        <f>BaU_Nursery!X73</f>
        <v>465695.16527384677</v>
      </c>
      <c r="Y71" s="33">
        <f>BaU_Nursery!Y73</f>
        <v>186800.84677063406</v>
      </c>
      <c r="Z71" s="33">
        <f>BaU_Nursery!Z73</f>
        <v>0</v>
      </c>
    </row>
    <row r="72" spans="1:27" x14ac:dyDescent="0.25">
      <c r="A72" s="9" t="str">
        <f t="shared" si="13"/>
        <v>Crab Fattening</v>
      </c>
      <c r="B72" s="33">
        <f>BaU_Fattening!B70</f>
        <v>0</v>
      </c>
      <c r="C72" s="33">
        <f>BaU_Fattening!C70</f>
        <v>1888125</v>
      </c>
      <c r="D72" s="33">
        <f>BaU_Fattening!D70</f>
        <v>5393750</v>
      </c>
      <c r="E72" s="33">
        <f>BaU_Fattening!E70</f>
        <v>7862575</v>
      </c>
      <c r="F72" s="33">
        <f>BaU_Fattening!F70</f>
        <v>6858125</v>
      </c>
      <c r="G72" s="33">
        <f>BaU_Fattening!G70</f>
        <v>6887500</v>
      </c>
      <c r="H72" s="33">
        <f>BaU_Fattening!H70</f>
        <v>6779500</v>
      </c>
      <c r="I72" s="33">
        <f>BaU_Fattening!I70</f>
        <v>6587500</v>
      </c>
      <c r="J72" s="33">
        <f>BaU_Fattening!J70</f>
        <v>6587500</v>
      </c>
      <c r="K72" s="33">
        <f>BaU_Fattening!K70</f>
        <v>6779500</v>
      </c>
      <c r="L72" s="33">
        <f>BaU_Fattening!L70</f>
        <v>6587500</v>
      </c>
      <c r="M72" s="33">
        <f>BaU_Fattening!M70</f>
        <v>6587500</v>
      </c>
      <c r="N72" s="33">
        <f>BaU_Fattening!N70</f>
        <v>6779500</v>
      </c>
      <c r="O72" s="33">
        <f>BaU_Fattening!O70</f>
        <v>6587500</v>
      </c>
      <c r="P72" s="33">
        <f>BaU_Fattening!P70</f>
        <v>6587500</v>
      </c>
      <c r="Q72" s="33">
        <f>BaU_Fattening!Q70</f>
        <v>6779500</v>
      </c>
      <c r="R72" s="33">
        <f>BaU_Fattening!R70</f>
        <v>6587500</v>
      </c>
      <c r="S72" s="33">
        <f>BaU_Fattening!S70</f>
        <v>6587500</v>
      </c>
      <c r="T72" s="33">
        <f>BaU_Fattening!T70</f>
        <v>6779500</v>
      </c>
      <c r="U72" s="33">
        <f>BaU_Fattening!U70</f>
        <v>6587500</v>
      </c>
      <c r="V72" s="33">
        <f>BaU_Fattening!V70</f>
        <v>6587500</v>
      </c>
      <c r="W72" s="33">
        <f>BaU_Fattening!W70</f>
        <v>5762575</v>
      </c>
      <c r="X72" s="33">
        <f>BaU_Fattening!X70</f>
        <v>3293750</v>
      </c>
      <c r="Y72" s="33">
        <f>BaU_Fattening!Y70</f>
        <v>988125</v>
      </c>
      <c r="Z72" s="33">
        <f>BaU_Fattening!Z70</f>
        <v>338975</v>
      </c>
    </row>
    <row r="73" spans="1:27" s="377" customFormat="1" ht="30" x14ac:dyDescent="0.25">
      <c r="A73" s="121" t="str">
        <f>A43</f>
        <v>Opportubity cost for using the crab ponds/farm for fish farming</v>
      </c>
      <c r="B73" s="397">
        <f>B43</f>
        <v>0</v>
      </c>
      <c r="C73" s="397">
        <f t="shared" ref="C73:Z73" si="14">C43</f>
        <v>1000</v>
      </c>
      <c r="D73" s="397">
        <f t="shared" si="14"/>
        <v>1000</v>
      </c>
      <c r="E73" s="397">
        <f t="shared" si="14"/>
        <v>1000</v>
      </c>
      <c r="F73" s="397">
        <f t="shared" si="14"/>
        <v>1000</v>
      </c>
      <c r="G73" s="397">
        <f t="shared" si="14"/>
        <v>1000</v>
      </c>
      <c r="H73" s="397">
        <f t="shared" si="14"/>
        <v>1000</v>
      </c>
      <c r="I73" s="397">
        <f t="shared" si="14"/>
        <v>1000</v>
      </c>
      <c r="J73" s="397">
        <f t="shared" si="14"/>
        <v>1000</v>
      </c>
      <c r="K73" s="397">
        <f t="shared" si="14"/>
        <v>1000</v>
      </c>
      <c r="L73" s="397">
        <f t="shared" si="14"/>
        <v>1000</v>
      </c>
      <c r="M73" s="397">
        <f t="shared" si="14"/>
        <v>1000</v>
      </c>
      <c r="N73" s="397">
        <f t="shared" si="14"/>
        <v>1000</v>
      </c>
      <c r="O73" s="397">
        <f t="shared" si="14"/>
        <v>1000</v>
      </c>
      <c r="P73" s="397">
        <f t="shared" si="14"/>
        <v>1000</v>
      </c>
      <c r="Q73" s="397">
        <f t="shared" si="14"/>
        <v>1000</v>
      </c>
      <c r="R73" s="397">
        <f t="shared" si="14"/>
        <v>1000</v>
      </c>
      <c r="S73" s="397">
        <f t="shared" si="14"/>
        <v>1000</v>
      </c>
      <c r="T73" s="397">
        <f t="shared" si="14"/>
        <v>1000</v>
      </c>
      <c r="U73" s="397">
        <f t="shared" si="14"/>
        <v>1000</v>
      </c>
      <c r="V73" s="397">
        <f t="shared" si="14"/>
        <v>1000</v>
      </c>
      <c r="W73" s="397">
        <f t="shared" si="14"/>
        <v>1000</v>
      </c>
      <c r="X73" s="397">
        <f t="shared" si="14"/>
        <v>1000</v>
      </c>
      <c r="Y73" s="397">
        <f t="shared" si="14"/>
        <v>1000</v>
      </c>
      <c r="Z73" s="397">
        <f t="shared" si="14"/>
        <v>1000</v>
      </c>
    </row>
    <row r="74" spans="1:27" x14ac:dyDescent="0.25">
      <c r="A74" s="117" t="s">
        <v>54</v>
      </c>
      <c r="B74" s="37">
        <f>SUM(B70:B73)</f>
        <v>0</v>
      </c>
      <c r="C74" s="37">
        <f t="shared" ref="C74:Z74" si="15">SUM(C70:C73)</f>
        <v>2230883.7818181817</v>
      </c>
      <c r="D74" s="37">
        <f t="shared" si="15"/>
        <v>6155309.9695454547</v>
      </c>
      <c r="E74" s="37">
        <f t="shared" si="15"/>
        <v>9088554.2036336362</v>
      </c>
      <c r="F74" s="37">
        <f t="shared" si="15"/>
        <v>8159967.0125939092</v>
      </c>
      <c r="G74" s="37">
        <f t="shared" si="15"/>
        <v>8154238.5236289389</v>
      </c>
      <c r="H74" s="37">
        <f t="shared" si="15"/>
        <v>8056095.9088652283</v>
      </c>
      <c r="I74" s="37">
        <f t="shared" si="15"/>
        <v>7861603.6806811532</v>
      </c>
      <c r="J74" s="37">
        <f t="shared" si="15"/>
        <v>7864072.8083970565</v>
      </c>
      <c r="K74" s="37">
        <f t="shared" si="15"/>
        <v>8063503.5364810266</v>
      </c>
      <c r="L74" s="37">
        <f t="shared" si="15"/>
        <v>7869085.3845731094</v>
      </c>
      <c r="M74" s="37">
        <f t="shared" si="15"/>
        <v>7871629.3293279316</v>
      </c>
      <c r="N74" s="37">
        <f t="shared" si="15"/>
        <v>8071135.6226212103</v>
      </c>
      <c r="O74" s="37">
        <f t="shared" si="15"/>
        <v>7876793.7915746961</v>
      </c>
      <c r="P74" s="37">
        <f t="shared" si="15"/>
        <v>7879414.820399534</v>
      </c>
      <c r="Q74" s="37">
        <f t="shared" si="15"/>
        <v>8078998.968603529</v>
      </c>
      <c r="R74" s="37">
        <f t="shared" si="15"/>
        <v>7884735.7710168371</v>
      </c>
      <c r="S74" s="37">
        <f t="shared" si="15"/>
        <v>7887436.2196360957</v>
      </c>
      <c r="T74" s="37">
        <f t="shared" si="15"/>
        <v>8087100.5818324573</v>
      </c>
      <c r="U74" s="37">
        <f t="shared" si="15"/>
        <v>7892918.400378054</v>
      </c>
      <c r="V74" s="37">
        <f t="shared" si="15"/>
        <v>7895700.6752909254</v>
      </c>
      <c r="W74" s="37">
        <f t="shared" si="15"/>
        <v>6825683.1456350684</v>
      </c>
      <c r="X74" s="37">
        <f t="shared" si="15"/>
        <v>3976174.4857957731</v>
      </c>
      <c r="Y74" s="37">
        <f t="shared" si="15"/>
        <v>1249096.9786069724</v>
      </c>
      <c r="Z74" s="37">
        <f t="shared" si="15"/>
        <v>365350</v>
      </c>
    </row>
    <row r="75" spans="1:27" x14ac:dyDescent="0.25">
      <c r="B75" s="32"/>
      <c r="C75" s="32"/>
      <c r="D75" s="32"/>
      <c r="E75" s="32"/>
      <c r="F75" s="32"/>
      <c r="G75" s="32"/>
      <c r="H75" s="32"/>
      <c r="I75" s="32"/>
      <c r="J75" s="32"/>
      <c r="K75" s="32"/>
      <c r="L75" s="32"/>
    </row>
    <row r="76" spans="1:27" x14ac:dyDescent="0.25">
      <c r="A76" s="23" t="str">
        <f>A17</f>
        <v>Net Resource Flow ($)</v>
      </c>
      <c r="B76" s="34">
        <f t="shared" ref="B76:Z76" si="16">B67-B74</f>
        <v>0</v>
      </c>
      <c r="C76" s="34">
        <f t="shared" si="16"/>
        <v>-677877.15369318146</v>
      </c>
      <c r="D76" s="34">
        <f t="shared" si="16"/>
        <v>-927150.15485795401</v>
      </c>
      <c r="E76" s="34">
        <f t="shared" si="16"/>
        <v>-1682787.1877584253</v>
      </c>
      <c r="F76" s="34">
        <f t="shared" si="16"/>
        <v>1973082.7848852584</v>
      </c>
      <c r="G76" s="34">
        <f t="shared" si="16"/>
        <v>2618785.4715857543</v>
      </c>
      <c r="H76" s="34">
        <f t="shared" si="16"/>
        <v>920547.17889741622</v>
      </c>
      <c r="I76" s="34">
        <f t="shared" si="16"/>
        <v>3127955.5843373546</v>
      </c>
      <c r="J76" s="34">
        <f t="shared" si="16"/>
        <v>3235380.7992716394</v>
      </c>
      <c r="K76" s="34">
        <f t="shared" si="16"/>
        <v>1185137.0258589145</v>
      </c>
      <c r="L76" s="34">
        <f t="shared" si="16"/>
        <v>3453464.7281097285</v>
      </c>
      <c r="M76" s="34">
        <f t="shared" si="16"/>
        <v>3564145.0344817322</v>
      </c>
      <c r="N76" s="34">
        <f t="shared" si="16"/>
        <v>1457744.2097731922</v>
      </c>
      <c r="O76" s="34">
        <f t="shared" si="16"/>
        <v>3788837.1244475432</v>
      </c>
      <c r="P76" s="34">
        <f t="shared" si="16"/>
        <v>3902871.1547829285</v>
      </c>
      <c r="Q76" s="34">
        <f t="shared" si="16"/>
        <v>1738611.6639672555</v>
      </c>
      <c r="R76" s="34">
        <f t="shared" si="16"/>
        <v>4134371.6397667928</v>
      </c>
      <c r="S76" s="34">
        <f t="shared" si="16"/>
        <v>4251861.0152553711</v>
      </c>
      <c r="T76" s="34">
        <f t="shared" si="16"/>
        <v>2027989.6828908585</v>
      </c>
      <c r="U76" s="34">
        <f t="shared" si="16"/>
        <v>4490376.1964347288</v>
      </c>
      <c r="V76" s="34">
        <f t="shared" si="16"/>
        <v>4611425.6174899861</v>
      </c>
      <c r="W76" s="34">
        <f t="shared" si="16"/>
        <v>2051681.8574931715</v>
      </c>
      <c r="X76" s="34">
        <f t="shared" si="16"/>
        <v>2433146.5235871323</v>
      </c>
      <c r="Y76" s="34">
        <f t="shared" si="16"/>
        <v>723924.41223604744</v>
      </c>
      <c r="Z76" s="34">
        <f t="shared" si="16"/>
        <v>181136.97255664889</v>
      </c>
    </row>
    <row r="77" spans="1:27" x14ac:dyDescent="0.25">
      <c r="A77" s="23"/>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12"/>
    </row>
    <row r="78" spans="1:27" x14ac:dyDescent="0.25">
      <c r="A78" s="10" t="str">
        <f>A19</f>
        <v>Economic Benefits in Present Value</v>
      </c>
      <c r="B78" s="345">
        <f>B67/(1+Assumption_Hatchery!$C76)^'BaU_CRAB Value'!B61</f>
        <v>0</v>
      </c>
      <c r="C78" s="345">
        <f>C67/(1+Assumption_Hatchery!$C76)^'BaU_CRAB Value'!C61</f>
        <v>1465100.5925707549</v>
      </c>
      <c r="D78" s="345">
        <f>D67/(1+Assumption_Hatchery!$C76)^'BaU_CRAB Value'!D61</f>
        <v>4653043.6228973838</v>
      </c>
      <c r="E78" s="345">
        <f>E67/(1+Assumption_Hatchery!$C76)^'BaU_CRAB Value'!E61</f>
        <v>6218024.7921734126</v>
      </c>
      <c r="F78" s="345">
        <f>F67/(1+Assumption_Hatchery!$C76)^'BaU_CRAB Value'!F61</f>
        <v>8026324.5338585544</v>
      </c>
      <c r="G78" s="345">
        <f>G67/(1+Assumption_Hatchery!$C76)^'BaU_CRAB Value'!G61</f>
        <v>8050230.2269063201</v>
      </c>
      <c r="H78" s="345">
        <f>H67/(1+Assumption_Hatchery!$C76)^'BaU_CRAB Value'!H61</f>
        <v>6328179.1624832386</v>
      </c>
      <c r="I78" s="345">
        <f>I67/(1+Assumption_Hatchery!$C76)^'BaU_CRAB Value'!I61</f>
        <v>7308684.5647748094</v>
      </c>
      <c r="J78" s="345">
        <f>J67/(1+Assumption_Hatchery!$C76)^'BaU_CRAB Value'!J61</f>
        <v>6963934.5085860081</v>
      </c>
      <c r="K78" s="345">
        <f>K67/(1+Assumption_Hatchery!$C76)^'BaU_CRAB Value'!K61</f>
        <v>5474256.1385904774</v>
      </c>
      <c r="L78" s="345">
        <f>L67/(1+Assumption_Hatchery!$C76)^'BaU_CRAB Value'!L61</f>
        <v>6322452.8442817759</v>
      </c>
      <c r="M78" s="345">
        <f>M67/(1+Assumption_Hatchery!$C76)^'BaU_CRAB Value'!M61</f>
        <v>6024223.2780482266</v>
      </c>
      <c r="N78" s="345">
        <f>N67/(1+Assumption_Hatchery!$C76)^'BaU_CRAB Value'!N61</f>
        <v>4735561.3459067615</v>
      </c>
      <c r="O78" s="345">
        <f>O67/(1+Assumption_Hatchery!$C76)^'BaU_CRAB Value'!O61</f>
        <v>5469302.9925092012</v>
      </c>
      <c r="P78" s="345">
        <f>P67/(1+Assumption_Hatchery!$C76)^'BaU_CRAB Value'!P61</f>
        <v>5211316.4494202975</v>
      </c>
      <c r="Q78" s="345">
        <f>Q67/(1+Assumption_Hatchery!$C76)^'BaU_CRAB Value'!Q61</f>
        <v>4096545.8968775352</v>
      </c>
      <c r="R78" s="345">
        <f>R67/(1+Assumption_Hatchery!$C76)^'BaU_CRAB Value'!R61</f>
        <v>4731276.9657996371</v>
      </c>
      <c r="S78" s="345">
        <f>S67/(1+Assumption_Hatchery!$C76)^'BaU_CRAB Value'!S61</f>
        <v>4508103.0598111125</v>
      </c>
      <c r="T78" s="345">
        <f>T67/(1+Assumption_Hatchery!$C76)^'BaU_CRAB Value'!T61</f>
        <v>3543759.0709572732</v>
      </c>
      <c r="U78" s="345">
        <f>U67/(1+Assumption_Hatchery!$C76)^'BaU_CRAB Value'!U61</f>
        <v>4092839.9770916807</v>
      </c>
      <c r="V78" s="345">
        <f>V67/(1+Assumption_Hatchery!$C76)^'BaU_CRAB Value'!V61</f>
        <v>3899781.0978503157</v>
      </c>
      <c r="W78" s="345">
        <f>W67/(1+Assumption_Hatchery!$C76)^'BaU_CRAB Value'!W61</f>
        <v>2611324.8776117763</v>
      </c>
      <c r="X78" s="345">
        <f>X67/(1+Assumption_Hatchery!$C76)^'BaU_CRAB Value'!X61</f>
        <v>1778619.2478247404</v>
      </c>
      <c r="Y78" s="345">
        <f>Y67/(1+Assumption_Hatchery!$C76)^'BaU_CRAB Value'!Y61</f>
        <v>516531.59647914866</v>
      </c>
      <c r="Z78" s="345">
        <f>Z67/(1+Assumption_Hatchery!$C76)^'BaU_CRAB Value'!Z61</f>
        <v>134970.55916555412</v>
      </c>
      <c r="AA78" s="343">
        <f>SUM(B78:Z78)</f>
        <v>112164387.40247601</v>
      </c>
    </row>
    <row r="79" spans="1:27" s="12" customFormat="1" x14ac:dyDescent="0.25">
      <c r="A79" s="10" t="str">
        <f>A20</f>
        <v>Economic Costs in Present Value</v>
      </c>
      <c r="B79" s="346">
        <f>B74/(1+Assumption_Hatchery!$C76)^'BaU_CRAB Value'!B61</f>
        <v>0</v>
      </c>
      <c r="C79" s="346">
        <f>C74/(1+Assumption_Hatchery!$C76)^'BaU_CRAB Value'!C61</f>
        <v>2104607.3413379071</v>
      </c>
      <c r="D79" s="346">
        <f>D74/(1+Assumption_Hatchery!$C76)^'BaU_CRAB Value'!D61</f>
        <v>5478203.9600796141</v>
      </c>
      <c r="E79" s="346">
        <f>E74/(1+Assumption_Hatchery!$C76)^'BaU_CRAB Value'!E61</f>
        <v>7630925.3642550847</v>
      </c>
      <c r="F79" s="346">
        <f>F74/(1+Assumption_Hatchery!$C76)^'BaU_CRAB Value'!F61</f>
        <v>6463458.1629069149</v>
      </c>
      <c r="G79" s="346">
        <f>G74/(1+Assumption_Hatchery!$C76)^'BaU_CRAB Value'!G61</f>
        <v>6093321.3802809743</v>
      </c>
      <c r="H79" s="346">
        <f>H74/(1+Assumption_Hatchery!$C76)^'BaU_CRAB Value'!H61</f>
        <v>5679229.7257474968</v>
      </c>
      <c r="I79" s="346">
        <f>I74/(1+Assumption_Hatchery!$C76)^'BaU_CRAB Value'!I61</f>
        <v>5228415.4523165412</v>
      </c>
      <c r="J79" s="346">
        <f>J74/(1+Assumption_Hatchery!$C76)^'BaU_CRAB Value'!J61</f>
        <v>4934016.5691211745</v>
      </c>
      <c r="K79" s="346">
        <f>K74/(1+Assumption_Hatchery!$C76)^'BaU_CRAB Value'!K61</f>
        <v>4772775.3539120425</v>
      </c>
      <c r="L79" s="346">
        <f>L74/(1+Assumption_Hatchery!$C76)^'BaU_CRAB Value'!L61</f>
        <v>4394056.1778447162</v>
      </c>
      <c r="M79" s="346">
        <f>M74/(1+Assumption_Hatchery!$C76)^'BaU_CRAB Value'!M61</f>
        <v>4146676.1351967631</v>
      </c>
      <c r="N79" s="346">
        <f>N74/(1+Assumption_Hatchery!$C76)^'BaU_CRAB Value'!N61</f>
        <v>4011107.1337177204</v>
      </c>
      <c r="O79" s="346">
        <f>O74/(1+Assumption_Hatchery!$C76)^'BaU_CRAB Value'!O61</f>
        <v>3692948.2996473066</v>
      </c>
      <c r="P79" s="346">
        <f>P74/(1+Assumption_Hatchery!$C76)^'BaU_CRAB Value'!P61</f>
        <v>3485072.7738102009</v>
      </c>
      <c r="Q79" s="346">
        <f>Q74/(1+Assumption_Hatchery!$C76)^'BaU_CRAB Value'!Q61</f>
        <v>3371083.9953167192</v>
      </c>
      <c r="R79" s="346">
        <f>R74/(1+Assumption_Hatchery!$C76)^'BaU_CRAB Value'!R61</f>
        <v>3103796.934317952</v>
      </c>
      <c r="S79" s="346">
        <f>S74/(1+Assumption_Hatchery!$C76)^'BaU_CRAB Value'!S61</f>
        <v>2929113.1659257356</v>
      </c>
      <c r="T79" s="346">
        <f>T74/(1+Assumption_Hatchery!$C76)^'BaU_CRAB Value'!T61</f>
        <v>2833265.4770823773</v>
      </c>
      <c r="U79" s="346">
        <f>U74/(1+Assumption_Hatchery!$C76)^'BaU_CRAB Value'!U61</f>
        <v>2608712.2221338698</v>
      </c>
      <c r="V79" s="346">
        <f>V74/(1+Assumption_Hatchery!$C76)^'BaU_CRAB Value'!V61</f>
        <v>2461916.7926333584</v>
      </c>
      <c r="W79" s="346">
        <f>W74/(1+Assumption_Hatchery!$C76)^'BaU_CRAB Value'!W61</f>
        <v>2007811.5745619724</v>
      </c>
      <c r="X79" s="346">
        <f>X74/(1+Assumption_Hatchery!$C76)^'BaU_CRAB Value'!X61</f>
        <v>1103408.686004777</v>
      </c>
      <c r="Y79" s="346">
        <f>Y74/(1+Assumption_Hatchery!$C76)^'BaU_CRAB Value'!Y61</f>
        <v>327010.16801519034</v>
      </c>
      <c r="Z79" s="346">
        <f>Z74/(1+Assumption_Hatchery!$C76)^'BaU_CRAB Value'!Z61</f>
        <v>90233.612633874014</v>
      </c>
      <c r="AA79" s="343">
        <f>SUM(B79:Z79)</f>
        <v>88951166.458800271</v>
      </c>
    </row>
    <row r="80" spans="1:27" x14ac:dyDescent="0.25">
      <c r="B80" s="32"/>
      <c r="C80" s="32"/>
      <c r="D80" s="32"/>
      <c r="E80" s="32"/>
      <c r="F80" s="32"/>
      <c r="G80" s="32"/>
      <c r="H80" s="32"/>
      <c r="I80" s="32"/>
      <c r="J80" s="32"/>
      <c r="K80" s="32"/>
      <c r="L80" s="32"/>
    </row>
    <row r="81" spans="1:12" s="12" customFormat="1" x14ac:dyDescent="0.25">
      <c r="A81" s="25" t="s">
        <v>318</v>
      </c>
      <c r="B81" s="35">
        <f>NPV(Assumption_Hatchery!C76,C76:Z76)+B76</f>
        <v>23213220.943675719</v>
      </c>
      <c r="C81" s="40"/>
      <c r="D81" s="40"/>
      <c r="E81" s="40"/>
      <c r="F81" s="40"/>
      <c r="G81" s="40"/>
      <c r="H81" s="40"/>
      <c r="I81" s="40"/>
      <c r="J81" s="40"/>
      <c r="K81" s="40"/>
      <c r="L81" s="40"/>
    </row>
    <row r="83" spans="1:12" s="12" customFormat="1" x14ac:dyDescent="0.25">
      <c r="A83" s="25" t="s">
        <v>238</v>
      </c>
      <c r="B83" s="36">
        <f>IRR(B76:Z76)</f>
        <v>0.48914499843119619</v>
      </c>
      <c r="C83" s="4"/>
      <c r="D83" s="4"/>
      <c r="E83" s="4"/>
      <c r="F83" s="4"/>
      <c r="G83" s="4"/>
      <c r="H83" s="4"/>
      <c r="I83" s="4"/>
      <c r="J83" s="4"/>
      <c r="K83" s="4"/>
      <c r="L83" s="4"/>
    </row>
  </sheetData>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AA83"/>
  <sheetViews>
    <sheetView showGridLines="0" topLeftCell="K61" zoomScale="85" zoomScaleNormal="85" workbookViewId="0">
      <selection activeCell="B74" sqref="B74:Z74"/>
    </sheetView>
  </sheetViews>
  <sheetFormatPr defaultColWidth="9" defaultRowHeight="15" x14ac:dyDescent="0.25"/>
  <cols>
    <col min="1" max="1" width="40.7109375" style="10" customWidth="1"/>
    <col min="2" max="2" width="21.28515625" style="26" customWidth="1"/>
    <col min="3" max="3" width="13" style="26" customWidth="1"/>
    <col min="4" max="4" width="17" style="26" customWidth="1"/>
    <col min="5" max="5" width="17.140625" style="26" customWidth="1"/>
    <col min="6" max="6" width="15.7109375" style="26" customWidth="1"/>
    <col min="7" max="7" width="14.28515625" style="26" customWidth="1"/>
    <col min="8" max="8" width="16" style="26" customWidth="1"/>
    <col min="9" max="9" width="13.85546875" style="26" customWidth="1"/>
    <col min="10" max="10" width="13" style="26" customWidth="1"/>
    <col min="11" max="11" width="12.7109375" style="26" customWidth="1"/>
    <col min="12" max="12" width="12.28515625" style="26" customWidth="1"/>
    <col min="13" max="23" width="13.7109375" style="3" customWidth="1"/>
    <col min="24" max="24" width="15.7109375" style="3" customWidth="1"/>
    <col min="25" max="25" width="14.140625" style="3" customWidth="1"/>
    <col min="26" max="26" width="13.28515625" style="3" customWidth="1"/>
    <col min="27" max="27" width="16" style="3" customWidth="1"/>
    <col min="28"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51</v>
      </c>
      <c r="B6" s="31">
        <f>'BaU_CRAB Value'!B6</f>
        <v>0</v>
      </c>
      <c r="C6" s="31">
        <f>'BaU_CRAB Value'!C6</f>
        <v>1552881.6281250003</v>
      </c>
      <c r="D6" s="31">
        <f>'BaU_CRAB Value'!D6</f>
        <v>5228034.8146875007</v>
      </c>
      <c r="E6" s="136">
        <f>'BaU_CRAB Value'!E6*(1+'Assumption_CRAB Value chain'!$S110)</f>
        <v>5998570.0328589212</v>
      </c>
      <c r="F6" s="31">
        <f>'BaU_CRAB Value'!F6</f>
        <v>10132924.797479168</v>
      </c>
      <c r="G6" s="31">
        <f>'BaU_CRAB Value'!G6</f>
        <v>10772898.995214693</v>
      </c>
      <c r="H6" s="136">
        <f>'BaU_CRAB Value'!H6*(1+'Assumption_CRAB Value chain'!$S110)</f>
        <v>7270979.6510877423</v>
      </c>
      <c r="I6" s="31">
        <f>'BaU_CRAB Value'!I6</f>
        <v>10989434.265018508</v>
      </c>
      <c r="J6" s="31">
        <f>'BaU_CRAB Value'!J6</f>
        <v>11099328.607668696</v>
      </c>
      <c r="K6" s="136">
        <f>'BaU_CRAB Value'!K6*(1+'Assumption_CRAB Value chain'!$S110)</f>
        <v>7491297.6054953523</v>
      </c>
      <c r="L6" s="31">
        <f>'BaU_CRAB Value'!L6</f>
        <v>11322425.112682838</v>
      </c>
      <c r="M6" s="31">
        <f>'BaU_CRAB Value'!M6</f>
        <v>11435649.363809664</v>
      </c>
      <c r="N6" s="136">
        <f>'BaU_CRAB Value'!N6*(1+'Assumption_CRAB Value chain'!$S110)</f>
        <v>7718291.4142394662</v>
      </c>
      <c r="O6" s="31">
        <f>'BaU_CRAB Value'!O6</f>
        <v>11665505.916022239</v>
      </c>
      <c r="P6" s="31">
        <f>'BaU_CRAB Value'!P6</f>
        <v>11782160.975182462</v>
      </c>
      <c r="Q6" s="136">
        <f>'BaU_CRAB Value'!Q6*(1+'Assumption_CRAB Value chain'!$S110)</f>
        <v>7952163.3623823356</v>
      </c>
      <c r="R6" s="31">
        <f>'BaU_CRAB Value'!R6</f>
        <v>12018982.41078363</v>
      </c>
      <c r="S6" s="31">
        <f>'BaU_CRAB Value'!S6</f>
        <v>12139172.234891467</v>
      </c>
      <c r="T6" s="136">
        <f>'BaU_CRAB Value'!T6*(1+'Assumption_CRAB Value chain'!$S110)</f>
        <v>8193121.8644258864</v>
      </c>
      <c r="U6" s="31">
        <f>'BaU_CRAB Value'!U6</f>
        <v>12383169.596812783</v>
      </c>
      <c r="V6" s="31">
        <f>'BaU_CRAB Value'!V6</f>
        <v>12507001.292780912</v>
      </c>
      <c r="W6" s="136">
        <f>'BaU_CRAB Value'!W6*(1+'Assumption_CRAB Value chain'!$S110)</f>
        <v>7175174.4025338748</v>
      </c>
      <c r="X6" s="31">
        <f>'BaU_CRAB Value'!X6</f>
        <v>6379196.0093829054</v>
      </c>
      <c r="Y6" s="31">
        <f>'BaU_CRAB Value'!Y6</f>
        <v>1932896.3908430198</v>
      </c>
      <c r="Z6" s="136">
        <f>'BaU_CRAB Value'!Z6*(1+'Assumption_CRAB Value chain'!$S110)</f>
        <v>434858.19777088566</v>
      </c>
    </row>
    <row r="7" spans="1:26" x14ac:dyDescent="0.25">
      <c r="A7" s="10" t="s">
        <v>52</v>
      </c>
      <c r="B7" s="31">
        <f>'RCP 4.5_Hatchery'!B7</f>
        <v>0</v>
      </c>
      <c r="C7" s="31">
        <f>'RCP 4.5_Hatchery'!C7</f>
        <v>0</v>
      </c>
      <c r="D7" s="31">
        <f>'RCP 4.5_Hatchery'!D7</f>
        <v>0</v>
      </c>
      <c r="E7" s="31">
        <f>'RCP 4.5_Hatchery'!E7</f>
        <v>0</v>
      </c>
      <c r="F7" s="31">
        <f>'RCP 4.5_Hatchery'!F7</f>
        <v>0</v>
      </c>
      <c r="G7" s="31">
        <f>'RCP 4.5_Hatchery'!G7</f>
        <v>0</v>
      </c>
      <c r="H7" s="31">
        <f>'RCP 4.5_Hatchery'!H7</f>
        <v>0</v>
      </c>
      <c r="I7" s="31">
        <f>'RCP 4.5_Hatchery'!I7</f>
        <v>0</v>
      </c>
      <c r="J7" s="31">
        <f>'RCP 4.5_Hatchery'!J7</f>
        <v>0</v>
      </c>
      <c r="K7" s="31">
        <f>'RCP 4.5_Hatchery'!K7</f>
        <v>0</v>
      </c>
      <c r="L7" s="31">
        <f>'RCP 4.5_Hatchery'!L7</f>
        <v>0</v>
      </c>
      <c r="M7" s="31">
        <f>'RCP 4.5_Hatchery'!M7</f>
        <v>0</v>
      </c>
      <c r="N7" s="31">
        <f>'RCP 4.5_Hatchery'!N7</f>
        <v>0</v>
      </c>
      <c r="O7" s="31">
        <f>'RCP 4.5_Hatchery'!O7</f>
        <v>0</v>
      </c>
      <c r="P7" s="31">
        <f>'RCP 4.5_Hatchery'!P7</f>
        <v>0</v>
      </c>
      <c r="Q7" s="31">
        <f>'RCP 4.5_Hatchery'!Q7</f>
        <v>0</v>
      </c>
      <c r="R7" s="31">
        <f>'RCP 4.5_Hatchery'!R7</f>
        <v>0</v>
      </c>
      <c r="S7" s="31">
        <f>'RCP 4.5_Hatchery'!S7</f>
        <v>0</v>
      </c>
      <c r="T7" s="31">
        <f>'RCP 4.5_Hatchery'!T7</f>
        <v>0</v>
      </c>
      <c r="U7" s="31">
        <f>'RCP 4.5_Hatchery'!U7</f>
        <v>0</v>
      </c>
      <c r="V7" s="31">
        <f>'RCP 4.5_Hatchery'!V7</f>
        <v>0</v>
      </c>
      <c r="W7" s="31">
        <f>'RCP 4.5_Hatchery'!W7</f>
        <v>16625</v>
      </c>
      <c r="X7" s="31">
        <f>'RCP 4.5_Hatchery'!X7</f>
        <v>30000</v>
      </c>
      <c r="Y7" s="31">
        <f>'RCP 4.5_Hatchery'!Y7</f>
        <v>40000</v>
      </c>
      <c r="Z7" s="31">
        <f>'RCP 4.5_Hatchery'!Z7</f>
        <v>8312.5</v>
      </c>
    </row>
    <row r="8" spans="1:26" s="12" customFormat="1" x14ac:dyDescent="0.25">
      <c r="A8" s="23" t="s">
        <v>53</v>
      </c>
      <c r="B8" s="38">
        <f t="shared" ref="B8:Z8" si="0">(B6+B7)</f>
        <v>0</v>
      </c>
      <c r="C8" s="38">
        <f t="shared" si="0"/>
        <v>1552881.6281250003</v>
      </c>
      <c r="D8" s="38">
        <f t="shared" si="0"/>
        <v>5228034.8146875007</v>
      </c>
      <c r="E8" s="38">
        <f t="shared" si="0"/>
        <v>5998570.0328589212</v>
      </c>
      <c r="F8" s="38">
        <f t="shared" si="0"/>
        <v>10132924.797479168</v>
      </c>
      <c r="G8" s="38">
        <f t="shared" si="0"/>
        <v>10772898.995214693</v>
      </c>
      <c r="H8" s="38">
        <f t="shared" si="0"/>
        <v>7270979.6510877423</v>
      </c>
      <c r="I8" s="38">
        <f t="shared" si="0"/>
        <v>10989434.265018508</v>
      </c>
      <c r="J8" s="38">
        <f t="shared" si="0"/>
        <v>11099328.607668696</v>
      </c>
      <c r="K8" s="38">
        <f t="shared" si="0"/>
        <v>7491297.6054953523</v>
      </c>
      <c r="L8" s="38">
        <f t="shared" si="0"/>
        <v>11322425.112682838</v>
      </c>
      <c r="M8" s="38">
        <f t="shared" si="0"/>
        <v>11435649.363809664</v>
      </c>
      <c r="N8" s="38">
        <f t="shared" si="0"/>
        <v>7718291.4142394662</v>
      </c>
      <c r="O8" s="38">
        <f t="shared" si="0"/>
        <v>11665505.916022239</v>
      </c>
      <c r="P8" s="38">
        <f t="shared" si="0"/>
        <v>11782160.975182462</v>
      </c>
      <c r="Q8" s="38">
        <f t="shared" si="0"/>
        <v>7952163.3623823356</v>
      </c>
      <c r="R8" s="38">
        <f t="shared" si="0"/>
        <v>12018982.41078363</v>
      </c>
      <c r="S8" s="38">
        <f t="shared" si="0"/>
        <v>12139172.234891467</v>
      </c>
      <c r="T8" s="38">
        <f t="shared" si="0"/>
        <v>8193121.8644258864</v>
      </c>
      <c r="U8" s="38">
        <f t="shared" si="0"/>
        <v>12383169.596812783</v>
      </c>
      <c r="V8" s="38">
        <f t="shared" si="0"/>
        <v>12507001.292780912</v>
      </c>
      <c r="W8" s="38">
        <f t="shared" si="0"/>
        <v>7191799.4025338748</v>
      </c>
      <c r="X8" s="38">
        <f t="shared" si="0"/>
        <v>6409196.0093829054</v>
      </c>
      <c r="Y8" s="38">
        <f t="shared" si="0"/>
        <v>1972896.3908430198</v>
      </c>
      <c r="Z8" s="38">
        <f t="shared" si="0"/>
        <v>443170.69777088566</v>
      </c>
    </row>
    <row r="9" spans="1:26" x14ac:dyDescent="0.25">
      <c r="A9" s="23"/>
      <c r="B9" s="41"/>
      <c r="C9" s="41"/>
      <c r="D9" s="41"/>
      <c r="E9" s="41"/>
      <c r="F9" s="41"/>
      <c r="G9" s="41"/>
      <c r="H9" s="41"/>
      <c r="I9" s="41"/>
      <c r="J9" s="41"/>
      <c r="K9" s="41"/>
    </row>
    <row r="10" spans="1:26" x14ac:dyDescent="0.25">
      <c r="A10" s="23" t="s">
        <v>348</v>
      </c>
    </row>
    <row r="11" spans="1:26" x14ac:dyDescent="0.25">
      <c r="A11" s="88" t="s">
        <v>345</v>
      </c>
      <c r="B11" s="33">
        <f>'RCP 4.5_Hatchery'!B20</f>
        <v>0</v>
      </c>
      <c r="C11" s="33">
        <f>'RCP 4.5_Hatchery'!C20</f>
        <v>165338.78181818183</v>
      </c>
      <c r="D11" s="33">
        <f>'RCP 4.5_Hatchery'!D20</f>
        <v>451649.46954545454</v>
      </c>
      <c r="E11" s="33">
        <f>'RCP 4.5_Hatchery'!E20</f>
        <v>836312.19904272724</v>
      </c>
      <c r="F11" s="33">
        <f>'RCP 4.5_Hatchery'!F20</f>
        <v>846115.17049390904</v>
      </c>
      <c r="G11" s="33">
        <f>'RCP 4.5_Hatchery'!G20</f>
        <v>664826.41310793906</v>
      </c>
      <c r="H11" s="33">
        <f>'RCP 4.5_Hatchery'!H20</f>
        <v>449447.99769356387</v>
      </c>
      <c r="I11" s="33">
        <f>'RCP 4.5_Hatchery'!I20</f>
        <v>377955.25673868135</v>
      </c>
      <c r="J11" s="33">
        <f>'RCP 4.5_Hatchery'!J20</f>
        <v>378172.90021515911</v>
      </c>
      <c r="K11" s="33">
        <f>'RCP 4.5_Hatchery'!K20</f>
        <v>394300.94967185607</v>
      </c>
      <c r="L11" s="33">
        <f>'RCP 4.5_Hatchery'!L20</f>
        <v>378614.73823675653</v>
      </c>
      <c r="M11" s="33">
        <f>'RCP 4.5_Hatchery'!M20</f>
        <v>378838.97652821499</v>
      </c>
      <c r="N11" s="33">
        <f>'RCP 4.5_Hatchery'!N20</f>
        <v>394973.68674804253</v>
      </c>
      <c r="O11" s="33">
        <f>'RCP 4.5_Hatchery'!O20</f>
        <v>379294.20268370485</v>
      </c>
      <c r="P11" s="33">
        <f>'RCP 4.5_Hatchery'!P20</f>
        <v>379525.23561963282</v>
      </c>
      <c r="Q11" s="33">
        <f>'RCP 4.5_Hatchery'!Q20</f>
        <v>395666.80843037454</v>
      </c>
      <c r="R11" s="33">
        <f>'RCP 4.5_Hatchery'!R20</f>
        <v>379994.25558286015</v>
      </c>
      <c r="S11" s="33">
        <f>'RCP 4.5_Hatchery'!S20</f>
        <v>380232.28904777963</v>
      </c>
      <c r="T11" s="33">
        <f>'RCP 4.5_Hatchery'!T20</f>
        <v>396380.93239280285</v>
      </c>
      <c r="U11" s="33">
        <f>'RCP 4.5_Hatchery'!U20</f>
        <v>380715.52078491275</v>
      </c>
      <c r="V11" s="33">
        <f>'RCP 4.5_Hatchery'!V20</f>
        <v>380960.7669018528</v>
      </c>
      <c r="W11" s="33">
        <f>'RCP 4.5_Hatchery'!W20</f>
        <v>328097.10602033342</v>
      </c>
      <c r="X11" s="33">
        <f>'RCP 4.5_Hatchery'!X20</f>
        <v>215729.32052192639</v>
      </c>
      <c r="Y11" s="33">
        <f>'RCP 4.5_Hatchery'!Y20</f>
        <v>73171.131836338231</v>
      </c>
      <c r="Z11" s="33">
        <f>'RCP 4.5_Hatchery'!Z20</f>
        <v>26009.374999999993</v>
      </c>
    </row>
    <row r="12" spans="1:26" x14ac:dyDescent="0.25">
      <c r="A12" s="88" t="s">
        <v>346</v>
      </c>
      <c r="B12" s="33">
        <f>'RCP 4.5_Nursery'!B16</f>
        <v>0</v>
      </c>
      <c r="C12" s="33">
        <f>'RCP 4.5_Nursery'!C16</f>
        <v>250820</v>
      </c>
      <c r="D12" s="33">
        <f>'RCP 4.5_Nursery'!D16</f>
        <v>553710.5</v>
      </c>
      <c r="E12" s="33">
        <f>'RCP 4.5_Nursery'!E16</f>
        <v>821498.06799999997</v>
      </c>
      <c r="F12" s="33">
        <f>'RCP 4.5_Nursery'!F16</f>
        <v>962926.84210000001</v>
      </c>
      <c r="G12" s="33">
        <f>'RCP 4.5_Nursery'!G16</f>
        <v>890712.110521</v>
      </c>
      <c r="H12" s="33">
        <f>'RCP 4.5_Nursery'!H16</f>
        <v>893928.60662621004</v>
      </c>
      <c r="I12" s="33">
        <f>'RCP 4.5_Nursery'!I16</f>
        <v>895148.42394247209</v>
      </c>
      <c r="J12" s="33">
        <f>'RCP 4.5_Nursery'!J16</f>
        <v>897399.9081818969</v>
      </c>
      <c r="K12" s="33">
        <f>'RCP 4.5_Nursery'!K16</f>
        <v>900683.28226371575</v>
      </c>
      <c r="L12" s="33">
        <f>'RCP 4.5_Nursery'!L16</f>
        <v>901970.64633635292</v>
      </c>
      <c r="M12" s="33">
        <f>'RCP 4.5_Nursery'!M16</f>
        <v>904290.35279971652</v>
      </c>
      <c r="N12" s="33">
        <f>'RCP 4.5_Nursery'!N16</f>
        <v>907642.63132771361</v>
      </c>
      <c r="O12" s="33">
        <f>'RCP 4.5_Nursery'!O16</f>
        <v>908999.58889099082</v>
      </c>
      <c r="P12" s="33">
        <f>'RCP 4.5_Nursery'!P16</f>
        <v>911389.58477990073</v>
      </c>
      <c r="Q12" s="33">
        <f>'RCP 4.5_Nursery'!Q16</f>
        <v>914812.85562769976</v>
      </c>
      <c r="R12" s="33">
        <f>'RCP 4.5_Nursery'!R16</f>
        <v>916241.51543397678</v>
      </c>
      <c r="S12" s="33">
        <f>'RCP 4.5_Nursery'!S16</f>
        <v>918703.93058831652</v>
      </c>
      <c r="T12" s="33">
        <f>'RCP 4.5_Nursery'!T16</f>
        <v>922200.34489419963</v>
      </c>
      <c r="U12" s="33">
        <f>'RCP 4.5_Nursery'!U16</f>
        <v>923702.87959314161</v>
      </c>
      <c r="V12" s="33">
        <f>'RCP 4.5_Nursery'!V16</f>
        <v>926239.9083890731</v>
      </c>
      <c r="W12" s="33">
        <f>'RCP 4.5_Nursery'!W16</f>
        <v>743849.34597837098</v>
      </c>
      <c r="X12" s="33">
        <f>'RCP 4.5_Nursery'!X16</f>
        <v>465695.16527384677</v>
      </c>
      <c r="Y12" s="33">
        <f>'RCP 4.5_Nursery'!Y16</f>
        <v>186800.84677063406</v>
      </c>
      <c r="Z12" s="33">
        <f>'RCP 4.5_Nursery'!Z16</f>
        <v>0</v>
      </c>
    </row>
    <row r="13" spans="1:26" x14ac:dyDescent="0.25">
      <c r="A13" s="88" t="s">
        <v>347</v>
      </c>
      <c r="B13" s="33">
        <f>'RCP 4.5_Fattening'!B15</f>
        <v>0</v>
      </c>
      <c r="C13" s="33">
        <f>'RCP 4.5_Fattening'!C15</f>
        <v>3580725</v>
      </c>
      <c r="D13" s="33">
        <f>'RCP 4.5_Fattening'!D15</f>
        <v>9343150</v>
      </c>
      <c r="E13" s="33">
        <f>'RCP 4.5_Fattening'!E15</f>
        <v>12020939</v>
      </c>
      <c r="F13" s="33">
        <f>'RCP 4.5_Fattening'!F15</f>
        <v>7986525</v>
      </c>
      <c r="G13" s="33">
        <f>'RCP 4.5_Fattening'!G15</f>
        <v>7451700</v>
      </c>
      <c r="H13" s="33">
        <f>'RCP 4.5_Fattening'!H15</f>
        <v>7025340</v>
      </c>
      <c r="I13" s="33">
        <f>'RCP 4.5_Fattening'!I15</f>
        <v>6587500</v>
      </c>
      <c r="J13" s="33">
        <f>'RCP 4.5_Fattening'!J15</f>
        <v>6587500</v>
      </c>
      <c r="K13" s="33">
        <f>'RCP 4.5_Fattening'!K15</f>
        <v>7025340</v>
      </c>
      <c r="L13" s="33">
        <f>'RCP 4.5_Fattening'!L15</f>
        <v>6587500</v>
      </c>
      <c r="M13" s="33">
        <f>'RCP 4.5_Fattening'!M15</f>
        <v>6587500</v>
      </c>
      <c r="N13" s="33">
        <f>'RCP 4.5_Fattening'!N15</f>
        <v>7025340</v>
      </c>
      <c r="O13" s="33">
        <f>'RCP 4.5_Fattening'!O15</f>
        <v>6587500</v>
      </c>
      <c r="P13" s="33">
        <f>'RCP 4.5_Fattening'!P15</f>
        <v>6587500</v>
      </c>
      <c r="Q13" s="33">
        <f>'RCP 4.5_Fattening'!Q15</f>
        <v>7025340</v>
      </c>
      <c r="R13" s="33">
        <f>'RCP 4.5_Fattening'!R15</f>
        <v>6587500</v>
      </c>
      <c r="S13" s="33">
        <f>'RCP 4.5_Fattening'!S15</f>
        <v>6587500</v>
      </c>
      <c r="T13" s="33">
        <f>'RCP 4.5_Fattening'!T15</f>
        <v>7025340</v>
      </c>
      <c r="U13" s="33">
        <f>'RCP 4.5_Fattening'!U15</f>
        <v>6587500</v>
      </c>
      <c r="V13" s="33">
        <f>'RCP 4.5_Fattening'!V15</f>
        <v>6587500</v>
      </c>
      <c r="W13" s="33">
        <f>'RCP 4.5_Fattening'!W15</f>
        <v>5971539</v>
      </c>
      <c r="X13" s="33">
        <f>'RCP 4.5_Fattening'!X15</f>
        <v>3293750</v>
      </c>
      <c r="Y13" s="33">
        <f>'RCP 4.5_Fattening'!Y15</f>
        <v>988125</v>
      </c>
      <c r="Z13" s="33">
        <f>'RCP 4.5_Fattening'!Z15</f>
        <v>351267</v>
      </c>
    </row>
    <row r="14" spans="1:26" x14ac:dyDescent="0.25">
      <c r="A14" s="88"/>
      <c r="B14" s="33"/>
      <c r="C14" s="33"/>
      <c r="D14" s="33"/>
      <c r="E14" s="33"/>
      <c r="F14" s="33"/>
      <c r="G14" s="33"/>
      <c r="H14" s="33"/>
      <c r="I14" s="33"/>
      <c r="J14" s="33"/>
      <c r="K14" s="33"/>
      <c r="L14" s="33"/>
      <c r="M14" s="33"/>
      <c r="N14" s="33"/>
      <c r="O14" s="33"/>
      <c r="P14" s="33"/>
      <c r="Q14" s="33"/>
      <c r="R14" s="33"/>
      <c r="S14" s="33"/>
      <c r="T14" s="33"/>
      <c r="U14" s="33"/>
      <c r="V14" s="33"/>
      <c r="W14" s="33"/>
      <c r="X14" s="33"/>
      <c r="Y14" s="33"/>
      <c r="Z14" s="33"/>
    </row>
    <row r="15" spans="1:26" x14ac:dyDescent="0.25">
      <c r="A15" s="117" t="s">
        <v>54</v>
      </c>
      <c r="B15" s="37">
        <f t="shared" ref="B15:Z15" si="1">SUM(B11:B13)</f>
        <v>0</v>
      </c>
      <c r="C15" s="37">
        <f t="shared" si="1"/>
        <v>3996883.7818181817</v>
      </c>
      <c r="D15" s="37">
        <f t="shared" si="1"/>
        <v>10348509.969545454</v>
      </c>
      <c r="E15" s="37">
        <f t="shared" si="1"/>
        <v>13678749.267042726</v>
      </c>
      <c r="F15" s="37">
        <f t="shared" si="1"/>
        <v>9795567.0125939101</v>
      </c>
      <c r="G15" s="37">
        <f t="shared" si="1"/>
        <v>9007238.5236289389</v>
      </c>
      <c r="H15" s="37">
        <f t="shared" si="1"/>
        <v>8368716.6043197736</v>
      </c>
      <c r="I15" s="37">
        <f t="shared" si="1"/>
        <v>7860603.6806811532</v>
      </c>
      <c r="J15" s="37">
        <f t="shared" si="1"/>
        <v>7863072.8083970565</v>
      </c>
      <c r="K15" s="37">
        <f t="shared" si="1"/>
        <v>8320324.2319355719</v>
      </c>
      <c r="L15" s="37">
        <f t="shared" si="1"/>
        <v>7868085.3845731094</v>
      </c>
      <c r="M15" s="37">
        <f t="shared" si="1"/>
        <v>7870629.3293279316</v>
      </c>
      <c r="N15" s="37">
        <f t="shared" si="1"/>
        <v>8327956.3180757556</v>
      </c>
      <c r="O15" s="37">
        <f t="shared" si="1"/>
        <v>7875793.7915746961</v>
      </c>
      <c r="P15" s="37">
        <f t="shared" si="1"/>
        <v>7878414.820399534</v>
      </c>
      <c r="Q15" s="37">
        <f t="shared" si="1"/>
        <v>8335819.6640580744</v>
      </c>
      <c r="R15" s="37">
        <f t="shared" si="1"/>
        <v>7883735.7710168371</v>
      </c>
      <c r="S15" s="37">
        <f t="shared" si="1"/>
        <v>7886436.2196360957</v>
      </c>
      <c r="T15" s="37">
        <f t="shared" si="1"/>
        <v>8343921.2772870027</v>
      </c>
      <c r="U15" s="37">
        <f t="shared" si="1"/>
        <v>7891918.400378054</v>
      </c>
      <c r="V15" s="37">
        <f t="shared" si="1"/>
        <v>7894700.6752909254</v>
      </c>
      <c r="W15" s="37">
        <f t="shared" si="1"/>
        <v>7043485.4519987041</v>
      </c>
      <c r="X15" s="37">
        <f t="shared" si="1"/>
        <v>3975174.4857957731</v>
      </c>
      <c r="Y15" s="37">
        <f t="shared" si="1"/>
        <v>1248096.9786069724</v>
      </c>
      <c r="Z15" s="37">
        <f t="shared" si="1"/>
        <v>377276.375</v>
      </c>
    </row>
    <row r="16" spans="1:26" x14ac:dyDescent="0.25">
      <c r="B16" s="32"/>
      <c r="C16" s="32"/>
      <c r="D16" s="32"/>
      <c r="E16" s="32"/>
      <c r="F16" s="32"/>
      <c r="G16" s="32"/>
      <c r="H16" s="32"/>
      <c r="I16" s="32"/>
      <c r="J16" s="32"/>
      <c r="K16" s="32"/>
      <c r="L16" s="32"/>
    </row>
    <row r="17" spans="1:27" x14ac:dyDescent="0.25">
      <c r="A17" s="23" t="s">
        <v>317</v>
      </c>
      <c r="B17" s="34">
        <f t="shared" ref="B17:Z17" si="2">B8-B15</f>
        <v>0</v>
      </c>
      <c r="C17" s="34">
        <f t="shared" si="2"/>
        <v>-2444002.1536931815</v>
      </c>
      <c r="D17" s="34">
        <f t="shared" si="2"/>
        <v>-5120475.1548579531</v>
      </c>
      <c r="E17" s="34">
        <f t="shared" si="2"/>
        <v>-7680179.2341838051</v>
      </c>
      <c r="F17" s="34">
        <f t="shared" si="2"/>
        <v>337357.78488525748</v>
      </c>
      <c r="G17" s="34">
        <f t="shared" si="2"/>
        <v>1765660.4715857543</v>
      </c>
      <c r="H17" s="34">
        <f t="shared" si="2"/>
        <v>-1097736.9532320313</v>
      </c>
      <c r="I17" s="34">
        <f t="shared" si="2"/>
        <v>3128830.5843373546</v>
      </c>
      <c r="J17" s="34">
        <f t="shared" si="2"/>
        <v>3236255.7992716394</v>
      </c>
      <c r="K17" s="34">
        <f t="shared" si="2"/>
        <v>-829026.62644021958</v>
      </c>
      <c r="L17" s="34">
        <f t="shared" si="2"/>
        <v>3454339.7281097285</v>
      </c>
      <c r="M17" s="34">
        <f t="shared" si="2"/>
        <v>3565020.0344817322</v>
      </c>
      <c r="N17" s="34">
        <f t="shared" si="2"/>
        <v>-609664.90383628942</v>
      </c>
      <c r="O17" s="34">
        <f t="shared" si="2"/>
        <v>3789712.1244475432</v>
      </c>
      <c r="P17" s="34">
        <f t="shared" si="2"/>
        <v>3903746.1547829285</v>
      </c>
      <c r="Q17" s="34">
        <f t="shared" si="2"/>
        <v>-383656.30167573877</v>
      </c>
      <c r="R17" s="34">
        <f t="shared" si="2"/>
        <v>4135246.6397667928</v>
      </c>
      <c r="S17" s="34">
        <f t="shared" si="2"/>
        <v>4252736.0152553711</v>
      </c>
      <c r="T17" s="34">
        <f t="shared" si="2"/>
        <v>-150799.41286111623</v>
      </c>
      <c r="U17" s="34">
        <f t="shared" si="2"/>
        <v>4491251.1964347288</v>
      </c>
      <c r="V17" s="34">
        <f t="shared" si="2"/>
        <v>4612300.6174899861</v>
      </c>
      <c r="W17" s="34">
        <f t="shared" si="2"/>
        <v>148313.95053517073</v>
      </c>
      <c r="X17" s="34">
        <f t="shared" si="2"/>
        <v>2434021.5235871323</v>
      </c>
      <c r="Y17" s="34">
        <f t="shared" si="2"/>
        <v>724799.41223604744</v>
      </c>
      <c r="Z17" s="34">
        <f t="shared" si="2"/>
        <v>65894.322770885658</v>
      </c>
    </row>
    <row r="18" spans="1:27" x14ac:dyDescent="0.25">
      <c r="A18" s="23"/>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row>
    <row r="19" spans="1:27" x14ac:dyDescent="0.25">
      <c r="A19" s="10" t="s">
        <v>319</v>
      </c>
      <c r="B19" s="345">
        <f>B8/(1+Assumption_Hatchery!$C76)^B4</f>
        <v>0</v>
      </c>
      <c r="C19" s="345">
        <f>C8/(1+Assumption_Hatchery!$C76)^C4</f>
        <v>1464982.668042453</v>
      </c>
      <c r="D19" s="345">
        <f>D8/(1+Assumption_Hatchery!$C76)^D4</f>
        <v>4652932.3733423818</v>
      </c>
      <c r="E19" s="345">
        <f>E8/(1+Assumption_Hatchery!$C76)^E4</f>
        <v>5036515.0702080578</v>
      </c>
      <c r="F19" s="345">
        <f>F8/(1+Assumption_Hatchery!$C76)^F4</f>
        <v>8026225.5221506497</v>
      </c>
      <c r="G19" s="345">
        <f>G8/(1+Assumption_Hatchery!$C76)^G4</f>
        <v>8050136.8196347123</v>
      </c>
      <c r="H19" s="345">
        <f>H8/(1+Assumption_Hatchery!$C76)^H4</f>
        <v>5125753.7443567039</v>
      </c>
      <c r="I19" s="345">
        <f>I8/(1+Assumption_Hatchery!$C76)^I4</f>
        <v>7308601.4326356063</v>
      </c>
      <c r="J19" s="345">
        <f>J8/(1+Assumption_Hatchery!$C76)^J4</f>
        <v>6963856.08203959</v>
      </c>
      <c r="K19" s="345">
        <f>K8/(1+Assumption_Hatchery!$C76)^K4</f>
        <v>4434087.5425388543</v>
      </c>
      <c r="L19" s="345">
        <f>L8/(1+Assumption_Hatchery!$C76)^L4</f>
        <v>6322383.0449346621</v>
      </c>
      <c r="M19" s="345">
        <f>M8/(1+Assumption_Hatchery!$C76)^M4</f>
        <v>6024157.4296075525</v>
      </c>
      <c r="N19" s="345">
        <f>N8/(1+Assumption_Hatchery!$C76)^N4</f>
        <v>3835754.3720364147</v>
      </c>
      <c r="O19" s="345">
        <f>O8/(1+Assumption_Hatchery!$C76)^O4</f>
        <v>5469244.387631421</v>
      </c>
      <c r="P19" s="345">
        <f>P8/(1+Assumption_Hatchery!$C76)^P4</f>
        <v>5211261.1617997503</v>
      </c>
      <c r="Q19" s="345">
        <f>Q8/(1+Assumption_Hatchery!$C76)^Q4</f>
        <v>3318159.9283834039</v>
      </c>
      <c r="R19" s="345">
        <f>R8/(1+Assumption_Hatchery!$C76)^R4</f>
        <v>4731227.7600141736</v>
      </c>
      <c r="S19" s="345">
        <f>S8/(1+Assumption_Hatchery!$C76)^S4</f>
        <v>4508056.639258788</v>
      </c>
      <c r="T19" s="345">
        <f>T8/(1+Assumption_Hatchery!$C76)^T4</f>
        <v>2870409.37516654</v>
      </c>
      <c r="U19" s="345">
        <f>U8/(1+Assumption_Hatchery!$C76)^U4</f>
        <v>4092798.6629653685</v>
      </c>
      <c r="V19" s="345">
        <f>V8/(1+Assumption_Hatchery!$C76)^V4</f>
        <v>3899742.1222594553</v>
      </c>
      <c r="W19" s="345">
        <f>W8/(1+Assumption_Hatchery!$C76)^W4</f>
        <v>2115506.6495533758</v>
      </c>
      <c r="X19" s="345">
        <f>X8/(1+Assumption_Hatchery!$C76)^X4</f>
        <v>1778584.5596876268</v>
      </c>
      <c r="Y19" s="345">
        <f>Y8/(1+Assumption_Hatchery!$C76)^Y4</f>
        <v>516498.87182149437</v>
      </c>
      <c r="Z19" s="345">
        <f>Z8/(1+Assumption_Hatchery!$C76)^Z4</f>
        <v>109453.65559967635</v>
      </c>
      <c r="AA19" s="343">
        <f>SUM(B19:Z19)</f>
        <v>105866329.8756687</v>
      </c>
    </row>
    <row r="20" spans="1:27" s="12" customFormat="1" x14ac:dyDescent="0.25">
      <c r="A20" s="10" t="s">
        <v>320</v>
      </c>
      <c r="B20" s="346">
        <f>B15/(1+Assumption_Hatchery!$C76)^'RCP 4.5_CRAB Value'!B4</f>
        <v>0</v>
      </c>
      <c r="C20" s="346">
        <f>C15/(1+Assumption_Hatchery!$C76)^'RCP 4.5_CRAB Value'!C4</f>
        <v>3770645.0771869635</v>
      </c>
      <c r="D20" s="346">
        <f>D15/(1+Assumption_Hatchery!$C76)^'RCP 4.5_CRAB Value'!D4</f>
        <v>9210137.0323473234</v>
      </c>
      <c r="E20" s="346">
        <f>E15/(1+Assumption_Hatchery!$C76)^'RCP 4.5_CRAB Value'!E4</f>
        <v>11484941.652373035</v>
      </c>
      <c r="F20" s="346">
        <f>F15/(1+Assumption_Hatchery!$C76)^'RCP 4.5_CRAB Value'!F4</f>
        <v>7759006.5584990224</v>
      </c>
      <c r="G20" s="346">
        <f>G15/(1+Assumption_Hatchery!$C76)^'RCP 4.5_CRAB Value'!G4</f>
        <v>6730732.6017357204</v>
      </c>
      <c r="H20" s="346">
        <f>H15/(1+Assumption_Hatchery!$C76)^'RCP 4.5_CRAB Value'!H4</f>
        <v>5899614.9801677605</v>
      </c>
      <c r="I20" s="346">
        <f>I15/(1+Assumption_Hatchery!$C76)^'RCP 4.5_CRAB Value'!I4</f>
        <v>5227750.3952029189</v>
      </c>
      <c r="J20" s="346">
        <f>J15/(1+Assumption_Hatchery!$C76)^'RCP 4.5_CRAB Value'!J4</f>
        <v>4933389.1567498324</v>
      </c>
      <c r="K20" s="346">
        <f>K15/(1+Assumption_Hatchery!$C76)^'RCP 4.5_CRAB Value'!K4</f>
        <v>4924787.1289543007</v>
      </c>
      <c r="L20" s="346">
        <f>L15/(1+Assumption_Hatchery!$C76)^'RCP 4.5_CRAB Value'!L4</f>
        <v>4393497.783067801</v>
      </c>
      <c r="M20" s="346">
        <f>M15/(1+Assumption_Hatchery!$C76)^'RCP 4.5_CRAB Value'!M4</f>
        <v>4146149.3476713714</v>
      </c>
      <c r="N20" s="346">
        <f>N15/(1+Assumption_Hatchery!$C76)^'RCP 4.5_CRAB Value'!N4</f>
        <v>4138739.1512911688</v>
      </c>
      <c r="O20" s="346">
        <f>O15/(1+Assumption_Hatchery!$C76)^'RCP 4.5_CRAB Value'!O4</f>
        <v>3692479.4606250641</v>
      </c>
      <c r="P20" s="346">
        <f>P15/(1+Assumption_Hatchery!$C76)^'RCP 4.5_CRAB Value'!P4</f>
        <v>3484630.4728458212</v>
      </c>
      <c r="Q20" s="346">
        <f>Q15/(1+Assumption_Hatchery!$C76)^'RCP 4.5_CRAB Value'!Q4</f>
        <v>3478246.2984037041</v>
      </c>
      <c r="R20" s="346">
        <f>R15/(1+Assumption_Hatchery!$C76)^'RCP 4.5_CRAB Value'!R4</f>
        <v>3103403.2880342393</v>
      </c>
      <c r="S20" s="346">
        <f>S15/(1+Assumption_Hatchery!$C76)^'RCP 4.5_CRAB Value'!S4</f>
        <v>2928741.8015071386</v>
      </c>
      <c r="T20" s="346">
        <f>T15/(1+Assumption_Hatchery!$C76)^'RCP 4.5_CRAB Value'!T4</f>
        <v>2923241.0131683615</v>
      </c>
      <c r="U20" s="346">
        <f>U15/(1+Assumption_Hatchery!$C76)^'RCP 4.5_CRAB Value'!U4</f>
        <v>2608381.7091233707</v>
      </c>
      <c r="V20" s="346">
        <f>V15/(1+Assumption_Hatchery!$C76)^'RCP 4.5_CRAB Value'!V4</f>
        <v>2461604.9879064723</v>
      </c>
      <c r="W20" s="346">
        <f>W15/(1+Assumption_Hatchery!$C76)^'RCP 4.5_CRAB Value'!W4</f>
        <v>2071879.2997043051</v>
      </c>
      <c r="X20" s="346">
        <f>X15/(1+Assumption_Hatchery!$C76)^'RCP 4.5_CRAB Value'!X4</f>
        <v>1103131.1809078685</v>
      </c>
      <c r="Y20" s="346">
        <f>Y15/(1+Assumption_Hatchery!$C76)^'RCP 4.5_CRAB Value'!Y4</f>
        <v>326748.37075395614</v>
      </c>
      <c r="Z20" s="346">
        <f>Z15/(1+Assumption_Hatchery!$C76)^'RCP 4.5_CRAB Value'!Z4</f>
        <v>93179.171418262471</v>
      </c>
      <c r="AA20" s="343">
        <f>SUM(B20:Z20)</f>
        <v>100895057.9196458</v>
      </c>
    </row>
    <row r="21" spans="1:27" x14ac:dyDescent="0.25">
      <c r="B21" s="32"/>
      <c r="C21" s="32"/>
      <c r="D21" s="32"/>
      <c r="E21" s="32"/>
      <c r="F21" s="32"/>
      <c r="G21" s="32"/>
      <c r="H21" s="32"/>
      <c r="I21" s="32"/>
      <c r="J21" s="32"/>
      <c r="K21" s="32"/>
      <c r="L21" s="32"/>
    </row>
    <row r="22" spans="1:27" s="12" customFormat="1" x14ac:dyDescent="0.25">
      <c r="A22" s="25" t="s">
        <v>318</v>
      </c>
      <c r="B22" s="35">
        <f>NPV(Assumption_Hatchery!C76,C17:Z17)+B17</f>
        <v>4971271.9560229313</v>
      </c>
      <c r="C22" s="40"/>
      <c r="D22" s="40"/>
      <c r="E22" s="40"/>
      <c r="F22" s="40"/>
      <c r="G22" s="40"/>
      <c r="H22" s="40"/>
      <c r="I22" s="40"/>
      <c r="J22" s="40"/>
      <c r="K22" s="40"/>
      <c r="L22" s="40"/>
    </row>
    <row r="24" spans="1:27" s="12" customFormat="1" x14ac:dyDescent="0.25">
      <c r="A24" s="25" t="s">
        <v>238</v>
      </c>
      <c r="B24" s="36">
        <f>IRR(B17:Z17)</f>
        <v>9.2672646360118627E-2</v>
      </c>
      <c r="C24" s="4"/>
      <c r="D24" s="4"/>
      <c r="E24" s="4"/>
      <c r="F24" s="4"/>
      <c r="G24" s="4"/>
      <c r="H24" s="4"/>
      <c r="I24" s="4"/>
      <c r="J24" s="4"/>
      <c r="K24" s="4"/>
      <c r="L24" s="4"/>
    </row>
    <row r="27" spans="1:27" s="1" customFormat="1" x14ac:dyDescent="0.25">
      <c r="A27" s="24"/>
      <c r="B27" s="42"/>
      <c r="C27" s="42"/>
      <c r="D27" s="42"/>
      <c r="E27" s="42"/>
      <c r="F27" s="42"/>
      <c r="G27" s="42"/>
      <c r="H27" s="42"/>
      <c r="I27" s="42"/>
      <c r="J27" s="42"/>
      <c r="K27" s="42"/>
      <c r="L27" s="42"/>
    </row>
    <row r="29" spans="1:27" ht="38.25" customHeight="1" x14ac:dyDescent="0.25">
      <c r="A29" s="11" t="str">
        <f>A2</f>
        <v>Aggregate Economic Analysis</v>
      </c>
      <c r="B29" s="30"/>
      <c r="C29" s="69"/>
      <c r="D29" s="70"/>
      <c r="E29" s="30"/>
      <c r="F29" s="116" t="s">
        <v>90</v>
      </c>
      <c r="G29" s="30"/>
      <c r="H29" s="30"/>
      <c r="I29" s="30"/>
      <c r="J29" s="30"/>
      <c r="K29" s="30"/>
      <c r="L29" s="30"/>
      <c r="M29" s="11"/>
    </row>
    <row r="30" spans="1:27" ht="38.25" customHeight="1" x14ac:dyDescent="0.25">
      <c r="A30" s="11"/>
      <c r="B30" s="30"/>
      <c r="C30" s="69"/>
      <c r="D30" s="70"/>
      <c r="E30" s="30"/>
      <c r="F30" s="116"/>
      <c r="G30" s="30"/>
      <c r="H30" s="30"/>
      <c r="I30" s="30"/>
      <c r="J30" s="30"/>
      <c r="K30" s="30"/>
      <c r="L30" s="30"/>
      <c r="M30" s="11"/>
    </row>
    <row r="31" spans="1:27" x14ac:dyDescent="0.25">
      <c r="A31" s="10" t="s">
        <v>19</v>
      </c>
      <c r="B31" s="26">
        <v>0</v>
      </c>
      <c r="C31" s="26">
        <v>1</v>
      </c>
      <c r="D31" s="26">
        <v>2</v>
      </c>
      <c r="E31" s="26">
        <v>3</v>
      </c>
      <c r="F31" s="26">
        <v>4</v>
      </c>
      <c r="G31" s="26">
        <v>5</v>
      </c>
      <c r="H31" s="26">
        <v>6</v>
      </c>
      <c r="I31" s="26">
        <v>7</v>
      </c>
      <c r="J31" s="26">
        <v>8</v>
      </c>
      <c r="K31" s="26">
        <v>9</v>
      </c>
      <c r="L31" s="26">
        <v>10</v>
      </c>
      <c r="M31" s="26">
        <v>11</v>
      </c>
      <c r="N31" s="26">
        <v>12</v>
      </c>
      <c r="O31" s="26">
        <v>13</v>
      </c>
      <c r="P31" s="26">
        <v>14</v>
      </c>
      <c r="Q31" s="26">
        <v>15</v>
      </c>
      <c r="R31" s="26">
        <v>16</v>
      </c>
      <c r="S31" s="26">
        <v>17</v>
      </c>
      <c r="T31" s="26">
        <v>18</v>
      </c>
      <c r="U31" s="26">
        <v>19</v>
      </c>
      <c r="V31" s="26">
        <v>20</v>
      </c>
      <c r="W31" s="26">
        <v>21</v>
      </c>
      <c r="X31" s="26">
        <v>22</v>
      </c>
      <c r="Y31" s="26">
        <v>23</v>
      </c>
      <c r="Z31" s="26">
        <v>24</v>
      </c>
    </row>
    <row r="32" spans="1:27" x14ac:dyDescent="0.25">
      <c r="A32" s="23" t="s">
        <v>3</v>
      </c>
    </row>
    <row r="33" spans="1:27" x14ac:dyDescent="0.25">
      <c r="A33" s="10" t="s">
        <v>51</v>
      </c>
      <c r="B33" s="31">
        <f t="shared" ref="B33:Z33" si="3">B6</f>
        <v>0</v>
      </c>
      <c r="C33" s="31">
        <f t="shared" si="3"/>
        <v>1552881.6281250003</v>
      </c>
      <c r="D33" s="31">
        <f t="shared" si="3"/>
        <v>5228034.8146875007</v>
      </c>
      <c r="E33" s="31">
        <f t="shared" si="3"/>
        <v>5998570.0328589212</v>
      </c>
      <c r="F33" s="31">
        <f t="shared" si="3"/>
        <v>10132924.797479168</v>
      </c>
      <c r="G33" s="31">
        <f t="shared" si="3"/>
        <v>10772898.995214693</v>
      </c>
      <c r="H33" s="31">
        <f t="shared" si="3"/>
        <v>7270979.6510877423</v>
      </c>
      <c r="I33" s="31">
        <f t="shared" si="3"/>
        <v>10989434.265018508</v>
      </c>
      <c r="J33" s="31">
        <f t="shared" si="3"/>
        <v>11099328.607668696</v>
      </c>
      <c r="K33" s="31">
        <f t="shared" si="3"/>
        <v>7491297.6054953523</v>
      </c>
      <c r="L33" s="31">
        <f t="shared" si="3"/>
        <v>11322425.112682838</v>
      </c>
      <c r="M33" s="31">
        <f t="shared" si="3"/>
        <v>11435649.363809664</v>
      </c>
      <c r="N33" s="31">
        <f t="shared" si="3"/>
        <v>7718291.4142394662</v>
      </c>
      <c r="O33" s="31">
        <f t="shared" si="3"/>
        <v>11665505.916022239</v>
      </c>
      <c r="P33" s="31">
        <f t="shared" si="3"/>
        <v>11782160.975182462</v>
      </c>
      <c r="Q33" s="31">
        <f t="shared" si="3"/>
        <v>7952163.3623823356</v>
      </c>
      <c r="R33" s="31">
        <f t="shared" si="3"/>
        <v>12018982.41078363</v>
      </c>
      <c r="S33" s="31">
        <f t="shared" si="3"/>
        <v>12139172.234891467</v>
      </c>
      <c r="T33" s="31">
        <f t="shared" si="3"/>
        <v>8193121.8644258864</v>
      </c>
      <c r="U33" s="31">
        <f t="shared" si="3"/>
        <v>12383169.596812783</v>
      </c>
      <c r="V33" s="31">
        <f t="shared" si="3"/>
        <v>12507001.292780912</v>
      </c>
      <c r="W33" s="31">
        <f t="shared" si="3"/>
        <v>7175174.4025338748</v>
      </c>
      <c r="X33" s="31">
        <f t="shared" si="3"/>
        <v>6379196.0093829054</v>
      </c>
      <c r="Y33" s="31">
        <f t="shared" si="3"/>
        <v>1932896.3908430198</v>
      </c>
      <c r="Z33" s="31">
        <f t="shared" si="3"/>
        <v>434858.19777088566</v>
      </c>
    </row>
    <row r="34" spans="1:27" x14ac:dyDescent="0.25">
      <c r="A34" s="10" t="s">
        <v>52</v>
      </c>
      <c r="B34" s="31">
        <f t="shared" ref="B34:Z34" si="4">B7</f>
        <v>0</v>
      </c>
      <c r="C34" s="31">
        <f t="shared" si="4"/>
        <v>0</v>
      </c>
      <c r="D34" s="31">
        <f t="shared" si="4"/>
        <v>0</v>
      </c>
      <c r="E34" s="31">
        <f t="shared" si="4"/>
        <v>0</v>
      </c>
      <c r="F34" s="31">
        <f t="shared" si="4"/>
        <v>0</v>
      </c>
      <c r="G34" s="31">
        <f t="shared" si="4"/>
        <v>0</v>
      </c>
      <c r="H34" s="31">
        <f t="shared" si="4"/>
        <v>0</v>
      </c>
      <c r="I34" s="31">
        <f t="shared" si="4"/>
        <v>0</v>
      </c>
      <c r="J34" s="31">
        <f t="shared" si="4"/>
        <v>0</v>
      </c>
      <c r="K34" s="31">
        <f t="shared" si="4"/>
        <v>0</v>
      </c>
      <c r="L34" s="31">
        <f t="shared" si="4"/>
        <v>0</v>
      </c>
      <c r="M34" s="31">
        <f t="shared" si="4"/>
        <v>0</v>
      </c>
      <c r="N34" s="31">
        <f t="shared" si="4"/>
        <v>0</v>
      </c>
      <c r="O34" s="31">
        <f t="shared" si="4"/>
        <v>0</v>
      </c>
      <c r="P34" s="31">
        <f t="shared" si="4"/>
        <v>0</v>
      </c>
      <c r="Q34" s="31">
        <f t="shared" si="4"/>
        <v>0</v>
      </c>
      <c r="R34" s="31">
        <f t="shared" si="4"/>
        <v>0</v>
      </c>
      <c r="S34" s="31">
        <f t="shared" si="4"/>
        <v>0</v>
      </c>
      <c r="T34" s="31">
        <f t="shared" si="4"/>
        <v>0</v>
      </c>
      <c r="U34" s="31">
        <f t="shared" si="4"/>
        <v>0</v>
      </c>
      <c r="V34" s="31">
        <f t="shared" si="4"/>
        <v>0</v>
      </c>
      <c r="W34" s="31">
        <f t="shared" si="4"/>
        <v>16625</v>
      </c>
      <c r="X34" s="31">
        <f t="shared" si="4"/>
        <v>30000</v>
      </c>
      <c r="Y34" s="31">
        <f t="shared" si="4"/>
        <v>40000</v>
      </c>
      <c r="Z34" s="31">
        <f t="shared" si="4"/>
        <v>8312.5</v>
      </c>
    </row>
    <row r="35" spans="1:27" s="377" customFormat="1" x14ac:dyDescent="0.25">
      <c r="A35" s="376" t="str">
        <f>'BaU_CRAB Value'!A35</f>
        <v>Biodiversity/Ecosystem services</v>
      </c>
      <c r="B35" s="136">
        <f>'BaU_CRAB Value'!B35</f>
        <v>0</v>
      </c>
      <c r="C35" s="136">
        <f>'BaU_CRAB Value'!C35</f>
        <v>100</v>
      </c>
      <c r="D35" s="136">
        <f>'BaU_CRAB Value'!D35</f>
        <v>100</v>
      </c>
      <c r="E35" s="136">
        <f>'BaU_CRAB Value'!E35</f>
        <v>100</v>
      </c>
      <c r="F35" s="136">
        <f>'BaU_CRAB Value'!F35</f>
        <v>100</v>
      </c>
      <c r="G35" s="136">
        <f>'BaU_CRAB Value'!G35</f>
        <v>100</v>
      </c>
      <c r="H35" s="136">
        <f>'BaU_CRAB Value'!H35</f>
        <v>100</v>
      </c>
      <c r="I35" s="136">
        <f>'BaU_CRAB Value'!I35</f>
        <v>100</v>
      </c>
      <c r="J35" s="136">
        <f>'BaU_CRAB Value'!J35</f>
        <v>100</v>
      </c>
      <c r="K35" s="136">
        <f>'BaU_CRAB Value'!K35</f>
        <v>100</v>
      </c>
      <c r="L35" s="136">
        <f>'BaU_CRAB Value'!L35</f>
        <v>100</v>
      </c>
      <c r="M35" s="136">
        <f>'BaU_CRAB Value'!M35</f>
        <v>100</v>
      </c>
      <c r="N35" s="136">
        <f>'BaU_CRAB Value'!N35</f>
        <v>100</v>
      </c>
      <c r="O35" s="136">
        <f>'BaU_CRAB Value'!O35</f>
        <v>100</v>
      </c>
      <c r="P35" s="136">
        <f>'BaU_CRAB Value'!P35</f>
        <v>100</v>
      </c>
      <c r="Q35" s="136">
        <f>'BaU_CRAB Value'!Q35</f>
        <v>100</v>
      </c>
      <c r="R35" s="136">
        <f>'BaU_CRAB Value'!R35</f>
        <v>100</v>
      </c>
      <c r="S35" s="136">
        <f>'BaU_CRAB Value'!S35</f>
        <v>100</v>
      </c>
      <c r="T35" s="136">
        <f>'BaU_CRAB Value'!T35</f>
        <v>100</v>
      </c>
      <c r="U35" s="136">
        <f>'BaU_CRAB Value'!U35</f>
        <v>100</v>
      </c>
      <c r="V35" s="136">
        <f>'BaU_CRAB Value'!V35</f>
        <v>100</v>
      </c>
      <c r="W35" s="136">
        <f>'BaU_CRAB Value'!W35</f>
        <v>100</v>
      </c>
      <c r="X35" s="136">
        <f>'BaU_CRAB Value'!X35</f>
        <v>100</v>
      </c>
      <c r="Y35" s="136">
        <f>'BaU_CRAB Value'!Y35</f>
        <v>100</v>
      </c>
      <c r="Z35" s="136">
        <f>'BaU_CRAB Value'!Z35</f>
        <v>100</v>
      </c>
    </row>
    <row r="36" spans="1:27" s="377" customFormat="1" x14ac:dyDescent="0.25">
      <c r="A36" s="376" t="str">
        <f>'BaU_CRAB Value'!A36</f>
        <v>Employment generation in the value chain</v>
      </c>
      <c r="B36" s="136">
        <f>'BaU_CRAB Value'!B36</f>
        <v>0</v>
      </c>
      <c r="C36" s="136">
        <f>'BaU_CRAB Value'!C36</f>
        <v>25</v>
      </c>
      <c r="D36" s="136">
        <f>'BaU_CRAB Value'!D36</f>
        <v>25</v>
      </c>
      <c r="E36" s="136">
        <f>'BaU_CRAB Value'!E36</f>
        <v>25</v>
      </c>
      <c r="F36" s="136">
        <f>'BaU_CRAB Value'!F36</f>
        <v>25</v>
      </c>
      <c r="G36" s="136">
        <f>'BaU_CRAB Value'!G36</f>
        <v>25</v>
      </c>
      <c r="H36" s="136">
        <f>'BaU_CRAB Value'!H36</f>
        <v>25</v>
      </c>
      <c r="I36" s="136">
        <f>'BaU_CRAB Value'!I36</f>
        <v>25</v>
      </c>
      <c r="J36" s="136">
        <f>'BaU_CRAB Value'!J36</f>
        <v>25</v>
      </c>
      <c r="K36" s="136">
        <f>'BaU_CRAB Value'!K36</f>
        <v>25</v>
      </c>
      <c r="L36" s="136">
        <f>'BaU_CRAB Value'!L36</f>
        <v>25</v>
      </c>
      <c r="M36" s="136">
        <f>'BaU_CRAB Value'!M36</f>
        <v>25</v>
      </c>
      <c r="N36" s="136">
        <f>'BaU_CRAB Value'!N36</f>
        <v>25</v>
      </c>
      <c r="O36" s="136">
        <f>'BaU_CRAB Value'!O36</f>
        <v>25</v>
      </c>
      <c r="P36" s="136">
        <f>'BaU_CRAB Value'!P36</f>
        <v>25</v>
      </c>
      <c r="Q36" s="136">
        <f>'BaU_CRAB Value'!Q36</f>
        <v>25</v>
      </c>
      <c r="R36" s="136">
        <f>'BaU_CRAB Value'!R36</f>
        <v>25</v>
      </c>
      <c r="S36" s="136">
        <f>'BaU_CRAB Value'!S36</f>
        <v>25</v>
      </c>
      <c r="T36" s="136">
        <f>'BaU_CRAB Value'!T36</f>
        <v>25</v>
      </c>
      <c r="U36" s="136">
        <f>'BaU_CRAB Value'!U36</f>
        <v>25</v>
      </c>
      <c r="V36" s="136">
        <f>'BaU_CRAB Value'!V36</f>
        <v>25</v>
      </c>
      <c r="W36" s="136">
        <f>'BaU_CRAB Value'!W36</f>
        <v>25</v>
      </c>
      <c r="X36" s="136">
        <f>'BaU_CRAB Value'!X36</f>
        <v>25</v>
      </c>
      <c r="Y36" s="136">
        <f>'BaU_CRAB Value'!Y36</f>
        <v>25</v>
      </c>
      <c r="Z36" s="136">
        <f>'BaU_CRAB Value'!Z36</f>
        <v>25</v>
      </c>
    </row>
    <row r="37" spans="1:27" s="12" customFormat="1" x14ac:dyDescent="0.25">
      <c r="A37" s="23" t="s">
        <v>53</v>
      </c>
      <c r="B37" s="38">
        <f>SUM(B33:B36)</f>
        <v>0</v>
      </c>
      <c r="C37" s="38">
        <f t="shared" ref="C37:Z37" si="5">SUM(C33:C36)</f>
        <v>1553006.6281250003</v>
      </c>
      <c r="D37" s="38">
        <f t="shared" si="5"/>
        <v>5228159.8146875007</v>
      </c>
      <c r="E37" s="38">
        <f t="shared" si="5"/>
        <v>5998695.0328589212</v>
      </c>
      <c r="F37" s="38">
        <f t="shared" si="5"/>
        <v>10133049.797479168</v>
      </c>
      <c r="G37" s="38">
        <f t="shared" si="5"/>
        <v>10773023.995214693</v>
      </c>
      <c r="H37" s="38">
        <f t="shared" si="5"/>
        <v>7271104.6510877423</v>
      </c>
      <c r="I37" s="38">
        <f t="shared" si="5"/>
        <v>10989559.265018508</v>
      </c>
      <c r="J37" s="38">
        <f t="shared" si="5"/>
        <v>11099453.607668696</v>
      </c>
      <c r="K37" s="38">
        <f t="shared" si="5"/>
        <v>7491422.6054953523</v>
      </c>
      <c r="L37" s="38">
        <f t="shared" si="5"/>
        <v>11322550.112682838</v>
      </c>
      <c r="M37" s="38">
        <f t="shared" si="5"/>
        <v>11435774.363809664</v>
      </c>
      <c r="N37" s="38">
        <f t="shared" si="5"/>
        <v>7718416.4142394662</v>
      </c>
      <c r="O37" s="38">
        <f t="shared" si="5"/>
        <v>11665630.916022239</v>
      </c>
      <c r="P37" s="38">
        <f t="shared" si="5"/>
        <v>11782285.975182462</v>
      </c>
      <c r="Q37" s="38">
        <f t="shared" si="5"/>
        <v>7952288.3623823356</v>
      </c>
      <c r="R37" s="38">
        <f t="shared" si="5"/>
        <v>12019107.41078363</v>
      </c>
      <c r="S37" s="38">
        <f t="shared" si="5"/>
        <v>12139297.234891467</v>
      </c>
      <c r="T37" s="38">
        <f t="shared" si="5"/>
        <v>8193246.8644258864</v>
      </c>
      <c r="U37" s="38">
        <f t="shared" si="5"/>
        <v>12383294.596812783</v>
      </c>
      <c r="V37" s="38">
        <f t="shared" si="5"/>
        <v>12507126.292780912</v>
      </c>
      <c r="W37" s="38">
        <f t="shared" si="5"/>
        <v>7191924.4025338748</v>
      </c>
      <c r="X37" s="38">
        <f t="shared" si="5"/>
        <v>6409321.0093829054</v>
      </c>
      <c r="Y37" s="38">
        <f t="shared" si="5"/>
        <v>1973021.3908430198</v>
      </c>
      <c r="Z37" s="38">
        <f t="shared" si="5"/>
        <v>443295.69777088566</v>
      </c>
    </row>
    <row r="38" spans="1:27" x14ac:dyDescent="0.25">
      <c r="A38" s="23"/>
      <c r="B38" s="41"/>
      <c r="C38" s="41"/>
      <c r="D38" s="41"/>
      <c r="E38" s="41"/>
      <c r="F38" s="41"/>
      <c r="G38" s="41"/>
      <c r="H38" s="41"/>
      <c r="I38" s="41"/>
      <c r="J38" s="41"/>
      <c r="K38" s="41"/>
    </row>
    <row r="39" spans="1:27" x14ac:dyDescent="0.25">
      <c r="A39" s="23" t="s">
        <v>20</v>
      </c>
    </row>
    <row r="40" spans="1:27" x14ac:dyDescent="0.25">
      <c r="A40" s="9" t="str">
        <f>A11</f>
        <v>Crab Hatchery</v>
      </c>
      <c r="B40" s="33">
        <f>'RCP 4.5_Hatchery'!B52</f>
        <v>0</v>
      </c>
      <c r="C40" s="33">
        <f>'RCP 4.5_Hatchery'!C52</f>
        <v>165338.78181818183</v>
      </c>
      <c r="D40" s="33">
        <f>'RCP 4.5_Hatchery'!D52</f>
        <v>377649.46954545454</v>
      </c>
      <c r="E40" s="33">
        <f>'RCP 4.5_Hatchery'!E52</f>
        <v>663312.19904272724</v>
      </c>
      <c r="F40" s="33">
        <f>'RCP 4.5_Hatchery'!F52</f>
        <v>605115.17049390904</v>
      </c>
      <c r="G40" s="33">
        <f>'RCP 4.5_Hatchery'!G52</f>
        <v>503826.41310793906</v>
      </c>
      <c r="H40" s="33">
        <f>'RCP 4.5_Hatchery'!H52</f>
        <v>418447.99769356387</v>
      </c>
      <c r="I40" s="33">
        <f>'RCP 4.5_Hatchery'!I52</f>
        <v>377955.25673868135</v>
      </c>
      <c r="J40" s="33">
        <f>'RCP 4.5_Hatchery'!J52</f>
        <v>378172.90021515911</v>
      </c>
      <c r="K40" s="33">
        <f>'RCP 4.5_Hatchery'!K52</f>
        <v>394300.94967185607</v>
      </c>
      <c r="L40" s="33">
        <f>'RCP 4.5_Hatchery'!L52</f>
        <v>378614.73823675653</v>
      </c>
      <c r="M40" s="33">
        <f>'RCP 4.5_Hatchery'!M52</f>
        <v>378838.97652821499</v>
      </c>
      <c r="N40" s="33">
        <f>'RCP 4.5_Hatchery'!N52</f>
        <v>394973.68674804253</v>
      </c>
      <c r="O40" s="33">
        <f>'RCP 4.5_Hatchery'!O52</f>
        <v>379294.20268370485</v>
      </c>
      <c r="P40" s="33">
        <f>'RCP 4.5_Hatchery'!P52</f>
        <v>379525.23561963282</v>
      </c>
      <c r="Q40" s="33">
        <f>'RCP 4.5_Hatchery'!Q52</f>
        <v>395666.80843037454</v>
      </c>
      <c r="R40" s="33">
        <f>'RCP 4.5_Hatchery'!R52</f>
        <v>379994.25558286015</v>
      </c>
      <c r="S40" s="33">
        <f>'RCP 4.5_Hatchery'!S52</f>
        <v>380232.28904777963</v>
      </c>
      <c r="T40" s="33">
        <f>'RCP 4.5_Hatchery'!T52</f>
        <v>396380.93239280285</v>
      </c>
      <c r="U40" s="33">
        <f>'RCP 4.5_Hatchery'!U52</f>
        <v>380715.52078491275</v>
      </c>
      <c r="V40" s="33">
        <f>'RCP 4.5_Hatchery'!V52</f>
        <v>380960.7669018528</v>
      </c>
      <c r="W40" s="33">
        <f>'RCP 4.5_Hatchery'!W52</f>
        <v>328097.10602033342</v>
      </c>
      <c r="X40" s="33">
        <f>'RCP 4.5_Hatchery'!X52</f>
        <v>215729.32052192639</v>
      </c>
      <c r="Y40" s="33">
        <f>'RCP 4.5_Hatchery'!Y52</f>
        <v>73171.131836338231</v>
      </c>
      <c r="Z40" s="33">
        <f>'RCP 4.5_Hatchery'!Z52</f>
        <v>26009.374999999993</v>
      </c>
    </row>
    <row r="41" spans="1:27" x14ac:dyDescent="0.25">
      <c r="A41" s="9" t="str">
        <f>A12</f>
        <v>Crab Nursery</v>
      </c>
      <c r="B41" s="33">
        <f>'RCP 4.5_Nursery'!B44</f>
        <v>0</v>
      </c>
      <c r="C41" s="33">
        <f>'RCP 4.5_Nursery'!C44</f>
        <v>201220</v>
      </c>
      <c r="D41" s="33">
        <f>'RCP 4.5_Nursery'!D44</f>
        <v>479310.5</v>
      </c>
      <c r="E41" s="33">
        <f>'RCP 4.5_Nursery'!E44</f>
        <v>747098.06799999997</v>
      </c>
      <c r="F41" s="33">
        <f>'RCP 4.5_Nursery'!F44</f>
        <v>913326.84210000001</v>
      </c>
      <c r="G41" s="33">
        <f>'RCP 4.5_Nursery'!G44</f>
        <v>890712.110521</v>
      </c>
      <c r="H41" s="33">
        <f>'RCP 4.5_Nursery'!H44</f>
        <v>893928.60662621004</v>
      </c>
      <c r="I41" s="33">
        <f>'RCP 4.5_Nursery'!I44</f>
        <v>895148.42394247209</v>
      </c>
      <c r="J41" s="33">
        <f>'RCP 4.5_Nursery'!J44</f>
        <v>897399.9081818969</v>
      </c>
      <c r="K41" s="33">
        <f>'RCP 4.5_Nursery'!K44</f>
        <v>900683.28226371575</v>
      </c>
      <c r="L41" s="33">
        <f>'RCP 4.5_Nursery'!L44</f>
        <v>901970.64633635292</v>
      </c>
      <c r="M41" s="33">
        <f>'RCP 4.5_Nursery'!M44</f>
        <v>904290.35279971652</v>
      </c>
      <c r="N41" s="33">
        <f>'RCP 4.5_Nursery'!N44</f>
        <v>907642.63132771361</v>
      </c>
      <c r="O41" s="33">
        <f>'RCP 4.5_Nursery'!O44</f>
        <v>908999.58889099082</v>
      </c>
      <c r="P41" s="33">
        <f>'RCP 4.5_Nursery'!P44</f>
        <v>911389.58477990073</v>
      </c>
      <c r="Q41" s="33">
        <f>'RCP 4.5_Nursery'!Q44</f>
        <v>914812.85562769976</v>
      </c>
      <c r="R41" s="33">
        <f>'RCP 4.5_Nursery'!R44</f>
        <v>916241.51543397678</v>
      </c>
      <c r="S41" s="33">
        <f>'RCP 4.5_Nursery'!S44</f>
        <v>918703.93058831652</v>
      </c>
      <c r="T41" s="33">
        <f>'RCP 4.5_Nursery'!T44</f>
        <v>922200.34489419963</v>
      </c>
      <c r="U41" s="33">
        <f>'RCP 4.5_Nursery'!U44</f>
        <v>923702.87959314161</v>
      </c>
      <c r="V41" s="33">
        <f>'RCP 4.5_Nursery'!V44</f>
        <v>926239.9083890731</v>
      </c>
      <c r="W41" s="33">
        <f>'RCP 4.5_Nursery'!W44</f>
        <v>743849.34597837098</v>
      </c>
      <c r="X41" s="33">
        <f>'RCP 4.5_Nursery'!X44</f>
        <v>465695.16527384677</v>
      </c>
      <c r="Y41" s="33">
        <f>'RCP 4.5_Nursery'!Y44</f>
        <v>186800.84677063406</v>
      </c>
      <c r="Z41" s="33">
        <f>'RCP 4.5_Nursery'!Z44</f>
        <v>0</v>
      </c>
    </row>
    <row r="42" spans="1:27" x14ac:dyDescent="0.25">
      <c r="A42" s="9" t="str">
        <f>A13</f>
        <v>Crab Fattening</v>
      </c>
      <c r="B42" s="33">
        <f>'RCP 4.5_Fattening'!B42</f>
        <v>0</v>
      </c>
      <c r="C42" s="33">
        <f>'RCP 4.5_Fattening'!C42</f>
        <v>2464725</v>
      </c>
      <c r="D42" s="33">
        <f>'RCP 4.5_Fattening'!D42</f>
        <v>6739150</v>
      </c>
      <c r="E42" s="33">
        <f>'RCP 4.5_Fattening'!E42</f>
        <v>9416939</v>
      </c>
      <c r="F42" s="33">
        <f>'RCP 4.5_Fattening'!F42</f>
        <v>7242525</v>
      </c>
      <c r="G42" s="33">
        <f>'RCP 4.5_Fattening'!G42</f>
        <v>7079700</v>
      </c>
      <c r="H42" s="33">
        <f>'RCP 4.5_Fattening'!H42</f>
        <v>7025340</v>
      </c>
      <c r="I42" s="33">
        <f>'RCP 4.5_Fattening'!I42</f>
        <v>6587500</v>
      </c>
      <c r="J42" s="33">
        <f>'RCP 4.5_Fattening'!J42</f>
        <v>6587500</v>
      </c>
      <c r="K42" s="33">
        <f>'RCP 4.5_Fattening'!K42</f>
        <v>7025340</v>
      </c>
      <c r="L42" s="33">
        <f>'RCP 4.5_Fattening'!L42</f>
        <v>6587500</v>
      </c>
      <c r="M42" s="33">
        <f>'RCP 4.5_Fattening'!M42</f>
        <v>6587500</v>
      </c>
      <c r="N42" s="33">
        <f>'RCP 4.5_Fattening'!N42</f>
        <v>7025340</v>
      </c>
      <c r="O42" s="33">
        <f>'RCP 4.5_Fattening'!O42</f>
        <v>6587500</v>
      </c>
      <c r="P42" s="33">
        <f>'RCP 4.5_Fattening'!P42</f>
        <v>6587500</v>
      </c>
      <c r="Q42" s="33">
        <f>'RCP 4.5_Fattening'!Q42</f>
        <v>7025340</v>
      </c>
      <c r="R42" s="33">
        <f>'RCP 4.5_Fattening'!R42</f>
        <v>6587500</v>
      </c>
      <c r="S42" s="33">
        <f>'RCP 4.5_Fattening'!S42</f>
        <v>6587500</v>
      </c>
      <c r="T42" s="33">
        <f>'RCP 4.5_Fattening'!T42</f>
        <v>7025340</v>
      </c>
      <c r="U42" s="33">
        <f>'RCP 4.5_Fattening'!U42</f>
        <v>6587500</v>
      </c>
      <c r="V42" s="33">
        <f>'RCP 4.5_Fattening'!V42</f>
        <v>6587500</v>
      </c>
      <c r="W42" s="33">
        <f>'RCP 4.5_Fattening'!W42</f>
        <v>5971539</v>
      </c>
      <c r="X42" s="33">
        <f>'RCP 4.5_Fattening'!X42</f>
        <v>3293750</v>
      </c>
      <c r="Y42" s="33">
        <f>'RCP 4.5_Fattening'!Y42</f>
        <v>988125</v>
      </c>
      <c r="Z42" s="33">
        <f>'RCP 4.5_Fattening'!Z42</f>
        <v>351267</v>
      </c>
    </row>
    <row r="43" spans="1:27" s="377" customFormat="1" ht="30" x14ac:dyDescent="0.25">
      <c r="A43" s="121" t="str">
        <f>'BaU_CRAB Value'!A43</f>
        <v>Opportubity cost for using the crab ponds/farm for fish farming</v>
      </c>
      <c r="B43" s="137">
        <f>'BaU_CRAB Value'!B43</f>
        <v>0</v>
      </c>
      <c r="C43" s="137">
        <f>'BaU_CRAB Value'!C43</f>
        <v>1000</v>
      </c>
      <c r="D43" s="137">
        <f>'BaU_CRAB Value'!D43</f>
        <v>1000</v>
      </c>
      <c r="E43" s="137">
        <f>'BaU_CRAB Value'!E43</f>
        <v>1000</v>
      </c>
      <c r="F43" s="137">
        <f>'BaU_CRAB Value'!F43</f>
        <v>1000</v>
      </c>
      <c r="G43" s="137">
        <f>'BaU_CRAB Value'!G43</f>
        <v>1000</v>
      </c>
      <c r="H43" s="137">
        <f>'BaU_CRAB Value'!H43</f>
        <v>1000</v>
      </c>
      <c r="I43" s="137">
        <f>'BaU_CRAB Value'!I43</f>
        <v>1000</v>
      </c>
      <c r="J43" s="137">
        <f>'BaU_CRAB Value'!J43</f>
        <v>1000</v>
      </c>
      <c r="K43" s="137">
        <f>'BaU_CRAB Value'!K43</f>
        <v>1000</v>
      </c>
      <c r="L43" s="137">
        <f>'BaU_CRAB Value'!L43</f>
        <v>1000</v>
      </c>
      <c r="M43" s="137">
        <f>'BaU_CRAB Value'!M43</f>
        <v>1000</v>
      </c>
      <c r="N43" s="137">
        <f>'BaU_CRAB Value'!N43</f>
        <v>1000</v>
      </c>
      <c r="O43" s="137">
        <f>'BaU_CRAB Value'!O43</f>
        <v>1000</v>
      </c>
      <c r="P43" s="137">
        <f>'BaU_CRAB Value'!P43</f>
        <v>1000</v>
      </c>
      <c r="Q43" s="137">
        <f>'BaU_CRAB Value'!Q43</f>
        <v>1000</v>
      </c>
      <c r="R43" s="137">
        <f>'BaU_CRAB Value'!R43</f>
        <v>1000</v>
      </c>
      <c r="S43" s="137">
        <f>'BaU_CRAB Value'!S43</f>
        <v>1000</v>
      </c>
      <c r="T43" s="137">
        <f>'BaU_CRAB Value'!T43</f>
        <v>1000</v>
      </c>
      <c r="U43" s="137">
        <f>'BaU_CRAB Value'!U43</f>
        <v>1000</v>
      </c>
      <c r="V43" s="137">
        <f>'BaU_CRAB Value'!V43</f>
        <v>1000</v>
      </c>
      <c r="W43" s="137">
        <f>'BaU_CRAB Value'!W43</f>
        <v>1000</v>
      </c>
      <c r="X43" s="137">
        <f>'BaU_CRAB Value'!X43</f>
        <v>1000</v>
      </c>
      <c r="Y43" s="137">
        <f>'BaU_CRAB Value'!Y43</f>
        <v>1000</v>
      </c>
      <c r="Z43" s="137">
        <f>'BaU_CRAB Value'!Z43</f>
        <v>1000</v>
      </c>
    </row>
    <row r="44" spans="1:27" x14ac:dyDescent="0.25">
      <c r="A44" s="117" t="s">
        <v>54</v>
      </c>
      <c r="B44" s="37">
        <f>SUM(B40:B43)</f>
        <v>0</v>
      </c>
      <c r="C44" s="37">
        <f t="shared" ref="C44:Z44" si="6">SUM(C40:C43)</f>
        <v>2832283.7818181817</v>
      </c>
      <c r="D44" s="37">
        <f t="shared" si="6"/>
        <v>7597109.9695454547</v>
      </c>
      <c r="E44" s="37">
        <f t="shared" si="6"/>
        <v>10828349.267042726</v>
      </c>
      <c r="F44" s="37">
        <f t="shared" si="6"/>
        <v>8761967.0125939101</v>
      </c>
      <c r="G44" s="37">
        <f t="shared" si="6"/>
        <v>8475238.5236289389</v>
      </c>
      <c r="H44" s="37">
        <f t="shared" si="6"/>
        <v>8338716.6043197736</v>
      </c>
      <c r="I44" s="37">
        <f t="shared" si="6"/>
        <v>7861603.6806811532</v>
      </c>
      <c r="J44" s="37">
        <f t="shared" si="6"/>
        <v>7864072.8083970565</v>
      </c>
      <c r="K44" s="37">
        <f t="shared" si="6"/>
        <v>8321324.2319355719</v>
      </c>
      <c r="L44" s="37">
        <f t="shared" si="6"/>
        <v>7869085.3845731094</v>
      </c>
      <c r="M44" s="37">
        <f t="shared" si="6"/>
        <v>7871629.3293279316</v>
      </c>
      <c r="N44" s="37">
        <f t="shared" si="6"/>
        <v>8328956.3180757556</v>
      </c>
      <c r="O44" s="37">
        <f t="shared" si="6"/>
        <v>7876793.7915746961</v>
      </c>
      <c r="P44" s="37">
        <f t="shared" si="6"/>
        <v>7879414.820399534</v>
      </c>
      <c r="Q44" s="37">
        <f t="shared" si="6"/>
        <v>8336819.6640580744</v>
      </c>
      <c r="R44" s="37">
        <f t="shared" si="6"/>
        <v>7884735.7710168371</v>
      </c>
      <c r="S44" s="37">
        <f t="shared" si="6"/>
        <v>7887436.2196360957</v>
      </c>
      <c r="T44" s="37">
        <f t="shared" si="6"/>
        <v>8344921.2772870027</v>
      </c>
      <c r="U44" s="37">
        <f t="shared" si="6"/>
        <v>7892918.400378054</v>
      </c>
      <c r="V44" s="37">
        <f t="shared" si="6"/>
        <v>7895700.6752909254</v>
      </c>
      <c r="W44" s="37">
        <f t="shared" si="6"/>
        <v>7044485.4519987041</v>
      </c>
      <c r="X44" s="37">
        <f t="shared" si="6"/>
        <v>3976174.4857957731</v>
      </c>
      <c r="Y44" s="37">
        <f t="shared" si="6"/>
        <v>1249096.9786069724</v>
      </c>
      <c r="Z44" s="37">
        <f t="shared" si="6"/>
        <v>378276.375</v>
      </c>
    </row>
    <row r="45" spans="1:27" x14ac:dyDescent="0.25">
      <c r="B45" s="32"/>
      <c r="C45" s="32"/>
      <c r="D45" s="32"/>
      <c r="E45" s="32"/>
      <c r="F45" s="32"/>
      <c r="G45" s="32"/>
      <c r="H45" s="32"/>
      <c r="I45" s="32"/>
      <c r="J45" s="32"/>
      <c r="K45" s="32"/>
      <c r="L45" s="32"/>
    </row>
    <row r="46" spans="1:27" x14ac:dyDescent="0.25">
      <c r="A46" s="23" t="str">
        <f>A17</f>
        <v>Net Resource Flow ($)</v>
      </c>
      <c r="B46" s="34">
        <f t="shared" ref="B46:Z46" si="7">B37-B44</f>
        <v>0</v>
      </c>
      <c r="C46" s="34">
        <f t="shared" si="7"/>
        <v>-1279277.1536931815</v>
      </c>
      <c r="D46" s="34">
        <f t="shared" si="7"/>
        <v>-2368950.154857954</v>
      </c>
      <c r="E46" s="34">
        <f t="shared" si="7"/>
        <v>-4829654.2341838051</v>
      </c>
      <c r="F46" s="34">
        <f t="shared" si="7"/>
        <v>1371082.7848852575</v>
      </c>
      <c r="G46" s="34">
        <f t="shared" si="7"/>
        <v>2297785.4715857543</v>
      </c>
      <c r="H46" s="34">
        <f t="shared" si="7"/>
        <v>-1067611.9532320313</v>
      </c>
      <c r="I46" s="34">
        <f t="shared" si="7"/>
        <v>3127955.5843373546</v>
      </c>
      <c r="J46" s="34">
        <f t="shared" si="7"/>
        <v>3235380.7992716394</v>
      </c>
      <c r="K46" s="34">
        <f t="shared" si="7"/>
        <v>-829901.62644021958</v>
      </c>
      <c r="L46" s="34">
        <f t="shared" si="7"/>
        <v>3453464.7281097285</v>
      </c>
      <c r="M46" s="34">
        <f t="shared" si="7"/>
        <v>3564145.0344817322</v>
      </c>
      <c r="N46" s="34">
        <f t="shared" si="7"/>
        <v>-610539.90383628942</v>
      </c>
      <c r="O46" s="34">
        <f t="shared" si="7"/>
        <v>3788837.1244475432</v>
      </c>
      <c r="P46" s="34">
        <f t="shared" si="7"/>
        <v>3902871.1547829285</v>
      </c>
      <c r="Q46" s="34">
        <f t="shared" si="7"/>
        <v>-384531.30167573877</v>
      </c>
      <c r="R46" s="34">
        <f t="shared" si="7"/>
        <v>4134371.6397667928</v>
      </c>
      <c r="S46" s="34">
        <f t="shared" si="7"/>
        <v>4251861.0152553711</v>
      </c>
      <c r="T46" s="34">
        <f t="shared" si="7"/>
        <v>-151674.41286111623</v>
      </c>
      <c r="U46" s="34">
        <f t="shared" si="7"/>
        <v>4490376.1964347288</v>
      </c>
      <c r="V46" s="34">
        <f t="shared" si="7"/>
        <v>4611425.6174899861</v>
      </c>
      <c r="W46" s="34">
        <f t="shared" si="7"/>
        <v>147438.95053517073</v>
      </c>
      <c r="X46" s="34">
        <f t="shared" si="7"/>
        <v>2433146.5235871323</v>
      </c>
      <c r="Y46" s="34">
        <f t="shared" si="7"/>
        <v>723924.41223604744</v>
      </c>
      <c r="Z46" s="34">
        <f t="shared" si="7"/>
        <v>65019.322770885658</v>
      </c>
    </row>
    <row r="47" spans="1:27" x14ac:dyDescent="0.25">
      <c r="A47" s="23"/>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12"/>
    </row>
    <row r="48" spans="1:27" x14ac:dyDescent="0.25">
      <c r="A48" s="10" t="str">
        <f>A19</f>
        <v>Economic Benefits in Present Value</v>
      </c>
      <c r="B48" s="345">
        <f>B37/(1+Assumption_Hatchery!$C76)^'RCP 4.5_CRAB Value'!B31</f>
        <v>0</v>
      </c>
      <c r="C48" s="345">
        <f>C37/(1+Assumption_Hatchery!$C76)^'RCP 4.5_CRAB Value'!C31</f>
        <v>1465100.5925707549</v>
      </c>
      <c r="D48" s="345">
        <f>D37/(1+Assumption_Hatchery!$C76)^'RCP 4.5_CRAB Value'!D31</f>
        <v>4653043.6228973838</v>
      </c>
      <c r="E48" s="345">
        <f>E37/(1+Assumption_Hatchery!$C76)^'RCP 4.5_CRAB Value'!E31</f>
        <v>5036620.0226184363</v>
      </c>
      <c r="F48" s="345">
        <f>F37/(1+Assumption_Hatchery!$C76)^'RCP 4.5_CRAB Value'!F31</f>
        <v>8026324.5338585544</v>
      </c>
      <c r="G48" s="345">
        <f>G37/(1+Assumption_Hatchery!$C76)^'RCP 4.5_CRAB Value'!G31</f>
        <v>8050230.2269063201</v>
      </c>
      <c r="H48" s="345">
        <f>H37/(1+Assumption_Hatchery!$C76)^'RCP 4.5_CRAB Value'!H31</f>
        <v>5125841.8644242585</v>
      </c>
      <c r="I48" s="345">
        <f>I37/(1+Assumption_Hatchery!$C76)^'RCP 4.5_CRAB Value'!I31</f>
        <v>7308684.5647748094</v>
      </c>
      <c r="J48" s="345">
        <f>J37/(1+Assumption_Hatchery!$C76)^'RCP 4.5_CRAB Value'!J31</f>
        <v>6963934.5085860081</v>
      </c>
      <c r="K48" s="345">
        <f>K37/(1+Assumption_Hatchery!$C76)^'RCP 4.5_CRAB Value'!K31</f>
        <v>4434161.5298467958</v>
      </c>
      <c r="L48" s="345">
        <f>L37/(1+Assumption_Hatchery!$C76)^'RCP 4.5_CRAB Value'!L31</f>
        <v>6322452.8442817759</v>
      </c>
      <c r="M48" s="345">
        <f>M37/(1+Assumption_Hatchery!$C76)^'RCP 4.5_CRAB Value'!M31</f>
        <v>6024223.2780482266</v>
      </c>
      <c r="N48" s="345">
        <f>N37/(1+Assumption_Hatchery!$C76)^'RCP 4.5_CRAB Value'!N31</f>
        <v>3835816.4932068619</v>
      </c>
      <c r="O48" s="345">
        <f>O37/(1+Assumption_Hatchery!$C76)^'RCP 4.5_CRAB Value'!O31</f>
        <v>5469302.9925092012</v>
      </c>
      <c r="P48" s="345">
        <f>P37/(1+Assumption_Hatchery!$C76)^'RCP 4.5_CRAB Value'!P31</f>
        <v>5211316.4494202975</v>
      </c>
      <c r="Q48" s="345">
        <f>Q37/(1+Assumption_Hatchery!$C76)^'RCP 4.5_CRAB Value'!Q31</f>
        <v>3318212.0865159961</v>
      </c>
      <c r="R48" s="345">
        <f>R37/(1+Assumption_Hatchery!$C76)^'RCP 4.5_CRAB Value'!R31</f>
        <v>4731276.9657996371</v>
      </c>
      <c r="S48" s="345">
        <f>S37/(1+Assumption_Hatchery!$C76)^'RCP 4.5_CRAB Value'!S31</f>
        <v>4508103.0598111125</v>
      </c>
      <c r="T48" s="345">
        <f>T37/(1+Assumption_Hatchery!$C76)^'RCP 4.5_CRAB Value'!T31</f>
        <v>2870453.1681404309</v>
      </c>
      <c r="U48" s="345">
        <f>U37/(1+Assumption_Hatchery!$C76)^'RCP 4.5_CRAB Value'!U31</f>
        <v>4092839.9770916807</v>
      </c>
      <c r="V48" s="345">
        <f>V37/(1+Assumption_Hatchery!$C76)^'RCP 4.5_CRAB Value'!V31</f>
        <v>3899781.0978503157</v>
      </c>
      <c r="W48" s="345">
        <f>W37/(1+Assumption_Hatchery!$C76)^'RCP 4.5_CRAB Value'!W31</f>
        <v>2115543.4189787162</v>
      </c>
      <c r="X48" s="345">
        <f>X37/(1+Assumption_Hatchery!$C76)^'RCP 4.5_CRAB Value'!X31</f>
        <v>1778619.2478247404</v>
      </c>
      <c r="Y48" s="345">
        <f>Y37/(1+Assumption_Hatchery!$C76)^'RCP 4.5_CRAB Value'!Y31</f>
        <v>516531.59647914866</v>
      </c>
      <c r="Z48" s="345">
        <f>Z37/(1+Assumption_Hatchery!$C76)^'RCP 4.5_CRAB Value'!Z31</f>
        <v>109484.52791821811</v>
      </c>
      <c r="AA48" s="343">
        <f>SUM(B48:Z48)</f>
        <v>105867898.67035969</v>
      </c>
    </row>
    <row r="49" spans="1:27" s="12" customFormat="1" x14ac:dyDescent="0.25">
      <c r="A49" s="10" t="str">
        <f>A20</f>
        <v>Economic Costs in Present Value</v>
      </c>
      <c r="B49" s="346">
        <f>B44/(1+Assumption_Hatchery!$C76)^'RCP 4.5_CRAB Value'!B31</f>
        <v>0</v>
      </c>
      <c r="C49" s="346">
        <f>C44/(1+Assumption_Hatchery!$C76)^'RCP 4.5_CRAB Value'!C31</f>
        <v>2671965.8319039447</v>
      </c>
      <c r="D49" s="346">
        <f>D44/(1+Assumption_Hatchery!$C76)^'RCP 4.5_CRAB Value'!D31</f>
        <v>6761400.8272921443</v>
      </c>
      <c r="E49" s="346">
        <f>E44/(1+Assumption_Hatchery!$C76)^'RCP 4.5_CRAB Value'!E31</f>
        <v>9091690.8480177633</v>
      </c>
      <c r="F49" s="346">
        <f>F44/(1+Assumption_Hatchery!$C76)^'RCP 4.5_CRAB Value'!F31</f>
        <v>6940298.5481762039</v>
      </c>
      <c r="G49" s="346">
        <f>G44/(1+Assumption_Hatchery!$C76)^'RCP 4.5_CRAB Value'!G31</f>
        <v>6333191.2537709782</v>
      </c>
      <c r="H49" s="346">
        <f>H44/(1+Assumption_Hatchery!$C76)^'RCP 4.5_CRAB Value'!H31</f>
        <v>5878466.16395457</v>
      </c>
      <c r="I49" s="346">
        <f>I44/(1+Assumption_Hatchery!$C76)^'RCP 4.5_CRAB Value'!I31</f>
        <v>5228415.4523165412</v>
      </c>
      <c r="J49" s="346">
        <f>J44/(1+Assumption_Hatchery!$C76)^'RCP 4.5_CRAB Value'!J31</f>
        <v>4934016.5691211745</v>
      </c>
      <c r="K49" s="346">
        <f>K44/(1+Assumption_Hatchery!$C76)^'RCP 4.5_CRAB Value'!K31</f>
        <v>4925379.0274178302</v>
      </c>
      <c r="L49" s="346">
        <f>L44/(1+Assumption_Hatchery!$C76)^'RCP 4.5_CRAB Value'!L31</f>
        <v>4394056.1778447162</v>
      </c>
      <c r="M49" s="346">
        <f>M44/(1+Assumption_Hatchery!$C76)^'RCP 4.5_CRAB Value'!M31</f>
        <v>4146676.1351967631</v>
      </c>
      <c r="N49" s="346">
        <f>N44/(1+Assumption_Hatchery!$C76)^'RCP 4.5_CRAB Value'!N31</f>
        <v>4139236.1206547455</v>
      </c>
      <c r="O49" s="346">
        <f>O44/(1+Assumption_Hatchery!$C76)^'RCP 4.5_CRAB Value'!O31</f>
        <v>3692948.2996473066</v>
      </c>
      <c r="P49" s="346">
        <f>P44/(1+Assumption_Hatchery!$C76)^'RCP 4.5_CRAB Value'!P31</f>
        <v>3485072.7738102009</v>
      </c>
      <c r="Q49" s="346">
        <f>Q44/(1+Assumption_Hatchery!$C76)^'RCP 4.5_CRAB Value'!Q31</f>
        <v>3478663.5634644395</v>
      </c>
      <c r="R49" s="346">
        <f>R44/(1+Assumption_Hatchery!$C76)^'RCP 4.5_CRAB Value'!R31</f>
        <v>3103796.934317952</v>
      </c>
      <c r="S49" s="346">
        <f>S44/(1+Assumption_Hatchery!$C76)^'RCP 4.5_CRAB Value'!S31</f>
        <v>2929113.1659257356</v>
      </c>
      <c r="T49" s="346">
        <f>T44/(1+Assumption_Hatchery!$C76)^'RCP 4.5_CRAB Value'!T31</f>
        <v>2923591.3569594906</v>
      </c>
      <c r="U49" s="346">
        <f>U44/(1+Assumption_Hatchery!$C76)^'RCP 4.5_CRAB Value'!U31</f>
        <v>2608712.2221338698</v>
      </c>
      <c r="V49" s="346">
        <f>V44/(1+Assumption_Hatchery!$C76)^'RCP 4.5_CRAB Value'!V31</f>
        <v>2461916.7926333584</v>
      </c>
      <c r="W49" s="346">
        <f>W44/(1+Assumption_Hatchery!$C76)^'RCP 4.5_CRAB Value'!W31</f>
        <v>2072173.4551070277</v>
      </c>
      <c r="X49" s="346">
        <f>X44/(1+Assumption_Hatchery!$C76)^'RCP 4.5_CRAB Value'!X31</f>
        <v>1103408.686004777</v>
      </c>
      <c r="Y49" s="346">
        <f>Y44/(1+Assumption_Hatchery!$C76)^'RCP 4.5_CRAB Value'!Y31</f>
        <v>327010.16801519034</v>
      </c>
      <c r="Z49" s="346">
        <f>Z44/(1+Assumption_Hatchery!$C76)^'RCP 4.5_CRAB Value'!Z31</f>
        <v>93426.149966596597</v>
      </c>
      <c r="AA49" s="343">
        <f>SUM(B49:Z49)</f>
        <v>93724626.523653328</v>
      </c>
    </row>
    <row r="50" spans="1:27" x14ac:dyDescent="0.25">
      <c r="B50" s="32"/>
      <c r="C50" s="32"/>
      <c r="D50" s="32"/>
      <c r="E50" s="32"/>
      <c r="F50" s="32"/>
      <c r="G50" s="32"/>
      <c r="H50" s="32"/>
      <c r="I50" s="32"/>
      <c r="J50" s="32"/>
      <c r="K50" s="32"/>
      <c r="L50" s="32"/>
    </row>
    <row r="51" spans="1:27" s="12" customFormat="1" x14ac:dyDescent="0.25">
      <c r="A51" s="25" t="s">
        <v>318</v>
      </c>
      <c r="B51" s="35">
        <f>NPV(Assumption_Hatchery!C76,C46:Z46)+B46</f>
        <v>12143272.146706358</v>
      </c>
      <c r="C51" s="40"/>
      <c r="D51" s="40"/>
      <c r="E51" s="40"/>
      <c r="F51" s="40"/>
      <c r="G51" s="40"/>
      <c r="H51" s="40"/>
      <c r="I51" s="40"/>
      <c r="J51" s="40"/>
      <c r="K51" s="40"/>
      <c r="L51" s="40"/>
    </row>
    <row r="53" spans="1:27" s="12" customFormat="1" x14ac:dyDescent="0.25">
      <c r="A53" s="25" t="s">
        <v>238</v>
      </c>
      <c r="B53" s="36">
        <f>IRR(B46:Z46)</f>
        <v>0.18492771533181274</v>
      </c>
      <c r="C53" s="4"/>
      <c r="D53" s="4"/>
      <c r="E53" s="4"/>
      <c r="F53" s="4"/>
      <c r="G53" s="4"/>
      <c r="H53" s="4"/>
      <c r="I53" s="4"/>
      <c r="J53" s="4"/>
      <c r="K53" s="4"/>
      <c r="L53" s="4"/>
    </row>
    <row r="55" spans="1:27" ht="38.25" customHeight="1" x14ac:dyDescent="0.25">
      <c r="A55" s="11"/>
      <c r="B55" s="30"/>
      <c r="C55" s="69"/>
      <c r="D55" s="70"/>
      <c r="E55" s="30"/>
      <c r="F55" s="116"/>
      <c r="G55" s="30"/>
      <c r="H55" s="30"/>
      <c r="I55" s="30"/>
      <c r="J55" s="30"/>
      <c r="K55" s="30"/>
      <c r="L55" s="30"/>
      <c r="M55" s="11"/>
    </row>
    <row r="56" spans="1:27" s="1" customFormat="1" x14ac:dyDescent="0.25">
      <c r="A56" s="24"/>
      <c r="B56" s="42"/>
      <c r="C56" s="42"/>
      <c r="D56" s="42"/>
      <c r="E56" s="42"/>
      <c r="F56" s="42"/>
      <c r="G56" s="42"/>
      <c r="H56" s="42"/>
      <c r="I56" s="42"/>
      <c r="J56" s="42"/>
      <c r="K56" s="42"/>
      <c r="L56" s="42"/>
    </row>
    <row r="58" spans="1:27" ht="26.25" x14ac:dyDescent="0.25">
      <c r="F58" s="19" t="s">
        <v>92</v>
      </c>
    </row>
    <row r="59" spans="1:27" ht="38.25" customHeight="1" x14ac:dyDescent="0.25">
      <c r="A59" s="11" t="str">
        <f>A2</f>
        <v>Aggregate Economic Analysis</v>
      </c>
      <c r="B59" s="30"/>
      <c r="C59" s="69"/>
      <c r="D59" s="70"/>
      <c r="E59" s="30"/>
      <c r="F59" s="30"/>
      <c r="G59" s="30"/>
      <c r="H59" s="30"/>
      <c r="I59" s="30"/>
      <c r="J59" s="30"/>
      <c r="K59" s="30"/>
      <c r="L59" s="30"/>
      <c r="M59" s="11"/>
    </row>
    <row r="61" spans="1:27" x14ac:dyDescent="0.25">
      <c r="A61" s="10" t="s">
        <v>19</v>
      </c>
      <c r="B61" s="26">
        <v>0</v>
      </c>
      <c r="C61" s="26">
        <v>1</v>
      </c>
      <c r="D61" s="26">
        <v>2</v>
      </c>
      <c r="E61" s="26">
        <v>3</v>
      </c>
      <c r="F61" s="26">
        <v>4</v>
      </c>
      <c r="G61" s="26">
        <v>5</v>
      </c>
      <c r="H61" s="26">
        <v>6</v>
      </c>
      <c r="I61" s="26">
        <v>7</v>
      </c>
      <c r="J61" s="26">
        <v>8</v>
      </c>
      <c r="K61" s="26">
        <v>9</v>
      </c>
      <c r="L61" s="26">
        <v>10</v>
      </c>
      <c r="M61" s="26">
        <v>11</v>
      </c>
      <c r="N61" s="26">
        <v>12</v>
      </c>
      <c r="O61" s="26">
        <v>13</v>
      </c>
      <c r="P61" s="26">
        <v>14</v>
      </c>
      <c r="Q61" s="26">
        <v>15</v>
      </c>
      <c r="R61" s="26">
        <v>16</v>
      </c>
      <c r="S61" s="26">
        <v>17</v>
      </c>
      <c r="T61" s="26">
        <v>18</v>
      </c>
      <c r="U61" s="26">
        <v>19</v>
      </c>
      <c r="V61" s="26">
        <v>20</v>
      </c>
      <c r="W61" s="26">
        <v>21</v>
      </c>
      <c r="X61" s="26">
        <v>22</v>
      </c>
      <c r="Y61" s="26">
        <v>23</v>
      </c>
      <c r="Z61" s="26">
        <v>24</v>
      </c>
    </row>
    <row r="62" spans="1:27" x14ac:dyDescent="0.25">
      <c r="A62" s="23" t="s">
        <v>3</v>
      </c>
    </row>
    <row r="63" spans="1:27" x14ac:dyDescent="0.25">
      <c r="A63" s="10" t="s">
        <v>51</v>
      </c>
      <c r="B63" s="31">
        <f t="shared" ref="B63:Z63" si="8">B6</f>
        <v>0</v>
      </c>
      <c r="C63" s="31">
        <f t="shared" si="8"/>
        <v>1552881.6281250003</v>
      </c>
      <c r="D63" s="31">
        <f t="shared" si="8"/>
        <v>5228034.8146875007</v>
      </c>
      <c r="E63" s="31">
        <f t="shared" si="8"/>
        <v>5998570.0328589212</v>
      </c>
      <c r="F63" s="31">
        <f t="shared" si="8"/>
        <v>10132924.797479168</v>
      </c>
      <c r="G63" s="31">
        <f t="shared" si="8"/>
        <v>10772898.995214693</v>
      </c>
      <c r="H63" s="31">
        <f t="shared" si="8"/>
        <v>7270979.6510877423</v>
      </c>
      <c r="I63" s="31">
        <f t="shared" si="8"/>
        <v>10989434.265018508</v>
      </c>
      <c r="J63" s="31">
        <f t="shared" si="8"/>
        <v>11099328.607668696</v>
      </c>
      <c r="K63" s="31">
        <f t="shared" si="8"/>
        <v>7491297.6054953523</v>
      </c>
      <c r="L63" s="31">
        <f t="shared" si="8"/>
        <v>11322425.112682838</v>
      </c>
      <c r="M63" s="31">
        <f t="shared" si="8"/>
        <v>11435649.363809664</v>
      </c>
      <c r="N63" s="31">
        <f t="shared" si="8"/>
        <v>7718291.4142394662</v>
      </c>
      <c r="O63" s="31">
        <f t="shared" si="8"/>
        <v>11665505.916022239</v>
      </c>
      <c r="P63" s="31">
        <f t="shared" si="8"/>
        <v>11782160.975182462</v>
      </c>
      <c r="Q63" s="31">
        <f t="shared" si="8"/>
        <v>7952163.3623823356</v>
      </c>
      <c r="R63" s="31">
        <f t="shared" si="8"/>
        <v>12018982.41078363</v>
      </c>
      <c r="S63" s="31">
        <f t="shared" si="8"/>
        <v>12139172.234891467</v>
      </c>
      <c r="T63" s="31">
        <f t="shared" si="8"/>
        <v>8193121.8644258864</v>
      </c>
      <c r="U63" s="31">
        <f t="shared" si="8"/>
        <v>12383169.596812783</v>
      </c>
      <c r="V63" s="31">
        <f t="shared" si="8"/>
        <v>12507001.292780912</v>
      </c>
      <c r="W63" s="31">
        <f t="shared" si="8"/>
        <v>7175174.4025338748</v>
      </c>
      <c r="X63" s="31">
        <f t="shared" si="8"/>
        <v>6379196.0093829054</v>
      </c>
      <c r="Y63" s="31">
        <f t="shared" si="8"/>
        <v>1932896.3908430198</v>
      </c>
      <c r="Z63" s="31">
        <f t="shared" si="8"/>
        <v>434858.19777088566</v>
      </c>
    </row>
    <row r="64" spans="1:27" x14ac:dyDescent="0.25">
      <c r="A64" s="10" t="s">
        <v>52</v>
      </c>
      <c r="B64" s="31">
        <f t="shared" ref="B64:Z64" si="9">B7</f>
        <v>0</v>
      </c>
      <c r="C64" s="31">
        <f t="shared" si="9"/>
        <v>0</v>
      </c>
      <c r="D64" s="31">
        <f t="shared" si="9"/>
        <v>0</v>
      </c>
      <c r="E64" s="31">
        <f t="shared" si="9"/>
        <v>0</v>
      </c>
      <c r="F64" s="31">
        <f t="shared" si="9"/>
        <v>0</v>
      </c>
      <c r="G64" s="31">
        <f t="shared" si="9"/>
        <v>0</v>
      </c>
      <c r="H64" s="31">
        <f t="shared" si="9"/>
        <v>0</v>
      </c>
      <c r="I64" s="31">
        <f t="shared" si="9"/>
        <v>0</v>
      </c>
      <c r="J64" s="31">
        <f t="shared" si="9"/>
        <v>0</v>
      </c>
      <c r="K64" s="31">
        <f t="shared" si="9"/>
        <v>0</v>
      </c>
      <c r="L64" s="31">
        <f t="shared" si="9"/>
        <v>0</v>
      </c>
      <c r="M64" s="31">
        <f t="shared" si="9"/>
        <v>0</v>
      </c>
      <c r="N64" s="31">
        <f t="shared" si="9"/>
        <v>0</v>
      </c>
      <c r="O64" s="31">
        <f t="shared" si="9"/>
        <v>0</v>
      </c>
      <c r="P64" s="31">
        <f t="shared" si="9"/>
        <v>0</v>
      </c>
      <c r="Q64" s="31">
        <f t="shared" si="9"/>
        <v>0</v>
      </c>
      <c r="R64" s="31">
        <f t="shared" si="9"/>
        <v>0</v>
      </c>
      <c r="S64" s="31">
        <f t="shared" si="9"/>
        <v>0</v>
      </c>
      <c r="T64" s="31">
        <f t="shared" si="9"/>
        <v>0</v>
      </c>
      <c r="U64" s="31">
        <f t="shared" si="9"/>
        <v>0</v>
      </c>
      <c r="V64" s="31">
        <f t="shared" si="9"/>
        <v>0</v>
      </c>
      <c r="W64" s="31">
        <f t="shared" si="9"/>
        <v>16625</v>
      </c>
      <c r="X64" s="31">
        <f t="shared" si="9"/>
        <v>30000</v>
      </c>
      <c r="Y64" s="31">
        <f t="shared" si="9"/>
        <v>40000</v>
      </c>
      <c r="Z64" s="31">
        <f t="shared" si="9"/>
        <v>8312.5</v>
      </c>
    </row>
    <row r="65" spans="1:27" s="377" customFormat="1" x14ac:dyDescent="0.25">
      <c r="A65" s="376" t="str">
        <f>A35</f>
        <v>Biodiversity/Ecosystem services</v>
      </c>
      <c r="B65" s="136">
        <f>B35</f>
        <v>0</v>
      </c>
      <c r="C65" s="136">
        <f t="shared" ref="C65:Z65" si="10">C35</f>
        <v>100</v>
      </c>
      <c r="D65" s="136">
        <f t="shared" si="10"/>
        <v>100</v>
      </c>
      <c r="E65" s="136">
        <f t="shared" si="10"/>
        <v>100</v>
      </c>
      <c r="F65" s="136">
        <f t="shared" si="10"/>
        <v>100</v>
      </c>
      <c r="G65" s="136">
        <f t="shared" si="10"/>
        <v>100</v>
      </c>
      <c r="H65" s="136">
        <f t="shared" si="10"/>
        <v>100</v>
      </c>
      <c r="I65" s="136">
        <f t="shared" si="10"/>
        <v>100</v>
      </c>
      <c r="J65" s="136">
        <f t="shared" si="10"/>
        <v>100</v>
      </c>
      <c r="K65" s="136">
        <f t="shared" si="10"/>
        <v>100</v>
      </c>
      <c r="L65" s="136">
        <f t="shared" si="10"/>
        <v>100</v>
      </c>
      <c r="M65" s="136">
        <f t="shared" si="10"/>
        <v>100</v>
      </c>
      <c r="N65" s="136">
        <f t="shared" si="10"/>
        <v>100</v>
      </c>
      <c r="O65" s="136">
        <f t="shared" si="10"/>
        <v>100</v>
      </c>
      <c r="P65" s="136">
        <f t="shared" si="10"/>
        <v>100</v>
      </c>
      <c r="Q65" s="136">
        <f t="shared" si="10"/>
        <v>100</v>
      </c>
      <c r="R65" s="136">
        <f t="shared" si="10"/>
        <v>100</v>
      </c>
      <c r="S65" s="136">
        <f t="shared" si="10"/>
        <v>100</v>
      </c>
      <c r="T65" s="136">
        <f t="shared" si="10"/>
        <v>100</v>
      </c>
      <c r="U65" s="136">
        <f t="shared" si="10"/>
        <v>100</v>
      </c>
      <c r="V65" s="136">
        <f t="shared" si="10"/>
        <v>100</v>
      </c>
      <c r="W65" s="136">
        <f t="shared" si="10"/>
        <v>100</v>
      </c>
      <c r="X65" s="136">
        <f t="shared" si="10"/>
        <v>100</v>
      </c>
      <c r="Y65" s="136">
        <f t="shared" si="10"/>
        <v>100</v>
      </c>
      <c r="Z65" s="136">
        <f t="shared" si="10"/>
        <v>100</v>
      </c>
    </row>
    <row r="66" spans="1:27" s="377" customFormat="1" x14ac:dyDescent="0.25">
      <c r="A66" s="376" t="str">
        <f>A36</f>
        <v>Employment generation in the value chain</v>
      </c>
      <c r="B66" s="136">
        <f>B36</f>
        <v>0</v>
      </c>
      <c r="C66" s="136">
        <f t="shared" ref="C66:Z66" si="11">C36</f>
        <v>25</v>
      </c>
      <c r="D66" s="136">
        <f t="shared" si="11"/>
        <v>25</v>
      </c>
      <c r="E66" s="136">
        <f t="shared" si="11"/>
        <v>25</v>
      </c>
      <c r="F66" s="136">
        <f t="shared" si="11"/>
        <v>25</v>
      </c>
      <c r="G66" s="136">
        <f t="shared" si="11"/>
        <v>25</v>
      </c>
      <c r="H66" s="136">
        <f t="shared" si="11"/>
        <v>25</v>
      </c>
      <c r="I66" s="136">
        <f t="shared" si="11"/>
        <v>25</v>
      </c>
      <c r="J66" s="136">
        <f t="shared" si="11"/>
        <v>25</v>
      </c>
      <c r="K66" s="136">
        <f t="shared" si="11"/>
        <v>25</v>
      </c>
      <c r="L66" s="136">
        <f t="shared" si="11"/>
        <v>25</v>
      </c>
      <c r="M66" s="136">
        <f t="shared" si="11"/>
        <v>25</v>
      </c>
      <c r="N66" s="136">
        <f t="shared" si="11"/>
        <v>25</v>
      </c>
      <c r="O66" s="136">
        <f t="shared" si="11"/>
        <v>25</v>
      </c>
      <c r="P66" s="136">
        <f t="shared" si="11"/>
        <v>25</v>
      </c>
      <c r="Q66" s="136">
        <f t="shared" si="11"/>
        <v>25</v>
      </c>
      <c r="R66" s="136">
        <f t="shared" si="11"/>
        <v>25</v>
      </c>
      <c r="S66" s="136">
        <f t="shared" si="11"/>
        <v>25</v>
      </c>
      <c r="T66" s="136">
        <f t="shared" si="11"/>
        <v>25</v>
      </c>
      <c r="U66" s="136">
        <f t="shared" si="11"/>
        <v>25</v>
      </c>
      <c r="V66" s="136">
        <f t="shared" si="11"/>
        <v>25</v>
      </c>
      <c r="W66" s="136">
        <f t="shared" si="11"/>
        <v>25</v>
      </c>
      <c r="X66" s="136">
        <f t="shared" si="11"/>
        <v>25</v>
      </c>
      <c r="Y66" s="136">
        <f t="shared" si="11"/>
        <v>25</v>
      </c>
      <c r="Z66" s="136">
        <f t="shared" si="11"/>
        <v>25</v>
      </c>
    </row>
    <row r="67" spans="1:27" s="12" customFormat="1" x14ac:dyDescent="0.25">
      <c r="A67" s="23" t="s">
        <v>53</v>
      </c>
      <c r="B67" s="38">
        <f>SUM(B63:B66)</f>
        <v>0</v>
      </c>
      <c r="C67" s="38">
        <f t="shared" ref="C67:Z67" si="12">SUM(C63:C66)</f>
        <v>1553006.6281250003</v>
      </c>
      <c r="D67" s="38">
        <f t="shared" si="12"/>
        <v>5228159.8146875007</v>
      </c>
      <c r="E67" s="38">
        <f t="shared" si="12"/>
        <v>5998695.0328589212</v>
      </c>
      <c r="F67" s="38">
        <f t="shared" si="12"/>
        <v>10133049.797479168</v>
      </c>
      <c r="G67" s="38">
        <f t="shared" si="12"/>
        <v>10773023.995214693</v>
      </c>
      <c r="H67" s="38">
        <f t="shared" si="12"/>
        <v>7271104.6510877423</v>
      </c>
      <c r="I67" s="38">
        <f t="shared" si="12"/>
        <v>10989559.265018508</v>
      </c>
      <c r="J67" s="38">
        <f t="shared" si="12"/>
        <v>11099453.607668696</v>
      </c>
      <c r="K67" s="38">
        <f t="shared" si="12"/>
        <v>7491422.6054953523</v>
      </c>
      <c r="L67" s="38">
        <f t="shared" si="12"/>
        <v>11322550.112682838</v>
      </c>
      <c r="M67" s="38">
        <f t="shared" si="12"/>
        <v>11435774.363809664</v>
      </c>
      <c r="N67" s="38">
        <f t="shared" si="12"/>
        <v>7718416.4142394662</v>
      </c>
      <c r="O67" s="38">
        <f t="shared" si="12"/>
        <v>11665630.916022239</v>
      </c>
      <c r="P67" s="38">
        <f t="shared" si="12"/>
        <v>11782285.975182462</v>
      </c>
      <c r="Q67" s="38">
        <f t="shared" si="12"/>
        <v>7952288.3623823356</v>
      </c>
      <c r="R67" s="38">
        <f t="shared" si="12"/>
        <v>12019107.41078363</v>
      </c>
      <c r="S67" s="38">
        <f t="shared" si="12"/>
        <v>12139297.234891467</v>
      </c>
      <c r="T67" s="38">
        <f t="shared" si="12"/>
        <v>8193246.8644258864</v>
      </c>
      <c r="U67" s="38">
        <f t="shared" si="12"/>
        <v>12383294.596812783</v>
      </c>
      <c r="V67" s="38">
        <f t="shared" si="12"/>
        <v>12507126.292780912</v>
      </c>
      <c r="W67" s="38">
        <f t="shared" si="12"/>
        <v>7191924.4025338748</v>
      </c>
      <c r="X67" s="38">
        <f t="shared" si="12"/>
        <v>6409321.0093829054</v>
      </c>
      <c r="Y67" s="38">
        <f t="shared" si="12"/>
        <v>1973021.3908430198</v>
      </c>
      <c r="Z67" s="38">
        <f t="shared" si="12"/>
        <v>443295.69777088566</v>
      </c>
    </row>
    <row r="68" spans="1:27" x14ac:dyDescent="0.25">
      <c r="A68" s="23"/>
      <c r="B68" s="41"/>
      <c r="C68" s="41"/>
      <c r="D68" s="41"/>
      <c r="E68" s="41"/>
      <c r="F68" s="41"/>
      <c r="G68" s="41"/>
      <c r="H68" s="41"/>
      <c r="I68" s="41"/>
      <c r="J68" s="41"/>
      <c r="K68" s="41"/>
    </row>
    <row r="69" spans="1:27" x14ac:dyDescent="0.25">
      <c r="A69" s="23" t="s">
        <v>20</v>
      </c>
    </row>
    <row r="70" spans="1:27" x14ac:dyDescent="0.25">
      <c r="A70" s="9" t="str">
        <f>A40</f>
        <v>Crab Hatchery</v>
      </c>
      <c r="B70" s="33">
        <f>'RCP 4.5_Hatchery'!B85</f>
        <v>0</v>
      </c>
      <c r="C70" s="33">
        <f>'RCP 4.5_Hatchery'!C85</f>
        <v>165338.78181818183</v>
      </c>
      <c r="D70" s="33">
        <f>'RCP 4.5_Hatchery'!D85</f>
        <v>318449.46954545454</v>
      </c>
      <c r="E70" s="33">
        <f>'RCP 4.5_Hatchery'!E85</f>
        <v>524912.19904272724</v>
      </c>
      <c r="F70" s="33">
        <f>'RCP 4.5_Hatchery'!F85</f>
        <v>412315.17049390904</v>
      </c>
      <c r="G70" s="33">
        <f>'RCP 4.5_Hatchery'!G85</f>
        <v>375026.41310793906</v>
      </c>
      <c r="H70" s="33">
        <f>'RCP 4.5_Hatchery'!H85</f>
        <v>393647.99769356387</v>
      </c>
      <c r="I70" s="33">
        <f>'RCP 4.5_Hatchery'!I85</f>
        <v>377955.25673868135</v>
      </c>
      <c r="J70" s="33">
        <f>'RCP 4.5_Hatchery'!J85</f>
        <v>378172.90021515911</v>
      </c>
      <c r="K70" s="33">
        <f>'RCP 4.5_Hatchery'!K85</f>
        <v>394300.94967185607</v>
      </c>
      <c r="L70" s="33">
        <f>'RCP 4.5_Hatchery'!L85</f>
        <v>378614.73823675653</v>
      </c>
      <c r="M70" s="33">
        <f>'RCP 4.5_Hatchery'!M85</f>
        <v>378838.97652821499</v>
      </c>
      <c r="N70" s="33">
        <f>'RCP 4.5_Hatchery'!N85</f>
        <v>394973.68674804253</v>
      </c>
      <c r="O70" s="33">
        <f>'RCP 4.5_Hatchery'!O85</f>
        <v>379294.20268370485</v>
      </c>
      <c r="P70" s="33">
        <f>'RCP 4.5_Hatchery'!P85</f>
        <v>379525.23561963282</v>
      </c>
      <c r="Q70" s="33">
        <f>'RCP 4.5_Hatchery'!Q85</f>
        <v>395666.80843037454</v>
      </c>
      <c r="R70" s="33">
        <f>'RCP 4.5_Hatchery'!R85</f>
        <v>379994.25558286015</v>
      </c>
      <c r="S70" s="33">
        <f>'RCP 4.5_Hatchery'!S85</f>
        <v>380232.28904777963</v>
      </c>
      <c r="T70" s="33">
        <f>'RCP 4.5_Hatchery'!T85</f>
        <v>396380.93239280285</v>
      </c>
      <c r="U70" s="33">
        <f>'RCP 4.5_Hatchery'!U85</f>
        <v>380715.52078491275</v>
      </c>
      <c r="V70" s="33">
        <f>'RCP 4.5_Hatchery'!V85</f>
        <v>380960.7669018528</v>
      </c>
      <c r="W70" s="33">
        <f>'RCP 4.5_Hatchery'!W85</f>
        <v>328097.10602033342</v>
      </c>
      <c r="X70" s="33">
        <f>'RCP 4.5_Hatchery'!X85</f>
        <v>215729.32052192639</v>
      </c>
      <c r="Y70" s="33">
        <f>'RCP 4.5_Hatchery'!Y85</f>
        <v>73171.131836338231</v>
      </c>
      <c r="Z70" s="33">
        <f>'RCP 4.5_Hatchery'!Z85</f>
        <v>26009.374999999993</v>
      </c>
    </row>
    <row r="71" spans="1:27" x14ac:dyDescent="0.25">
      <c r="A71" s="9" t="str">
        <f t="shared" ref="A71:A72" si="13">A41</f>
        <v>Crab Nursery</v>
      </c>
      <c r="B71" s="33">
        <f>'RCP 4.5_Nursery'!B73</f>
        <v>0</v>
      </c>
      <c r="C71" s="33">
        <f>'RCP 4.5_Nursery'!C73</f>
        <v>176420</v>
      </c>
      <c r="D71" s="33">
        <f>'RCP 4.5_Nursery'!D73</f>
        <v>442110.5</v>
      </c>
      <c r="E71" s="33">
        <f>'RCP 4.5_Nursery'!E73</f>
        <v>709898.06799999997</v>
      </c>
      <c r="F71" s="33">
        <f>'RCP 4.5_Nursery'!F73</f>
        <v>888526.84210000001</v>
      </c>
      <c r="G71" s="33">
        <f>'RCP 4.5_Nursery'!G73</f>
        <v>890712.110521</v>
      </c>
      <c r="H71" s="33">
        <f>'RCP 4.5_Nursery'!H73</f>
        <v>893928.60662621004</v>
      </c>
      <c r="I71" s="33">
        <f>'RCP 4.5_Nursery'!I73</f>
        <v>895148.42394247209</v>
      </c>
      <c r="J71" s="33">
        <f>'RCP 4.5_Nursery'!J73</f>
        <v>897399.9081818969</v>
      </c>
      <c r="K71" s="33">
        <f>'RCP 4.5_Nursery'!K73</f>
        <v>900683.28226371575</v>
      </c>
      <c r="L71" s="33">
        <f>'RCP 4.5_Nursery'!L73</f>
        <v>901970.64633635292</v>
      </c>
      <c r="M71" s="33">
        <f>'RCP 4.5_Nursery'!M73</f>
        <v>904290.35279971652</v>
      </c>
      <c r="N71" s="33">
        <f>'RCP 4.5_Nursery'!N73</f>
        <v>907642.63132771361</v>
      </c>
      <c r="O71" s="33">
        <f>'RCP 4.5_Nursery'!O73</f>
        <v>908999.58889099082</v>
      </c>
      <c r="P71" s="33">
        <f>'RCP 4.5_Nursery'!P73</f>
        <v>911389.58477990073</v>
      </c>
      <c r="Q71" s="33">
        <f>'RCP 4.5_Nursery'!Q73</f>
        <v>914812.85562769976</v>
      </c>
      <c r="R71" s="33">
        <f>'RCP 4.5_Nursery'!R73</f>
        <v>916241.51543397678</v>
      </c>
      <c r="S71" s="33">
        <f>'RCP 4.5_Nursery'!S73</f>
        <v>918703.93058831652</v>
      </c>
      <c r="T71" s="33">
        <f>'RCP 4.5_Nursery'!T73</f>
        <v>922200.34489419963</v>
      </c>
      <c r="U71" s="33">
        <f>'RCP 4.5_Nursery'!U73</f>
        <v>923702.87959314161</v>
      </c>
      <c r="V71" s="33">
        <f>'RCP 4.5_Nursery'!V73</f>
        <v>926239.9083890731</v>
      </c>
      <c r="W71" s="33">
        <f>'RCP 4.5_Nursery'!W73</f>
        <v>743849.34597837098</v>
      </c>
      <c r="X71" s="33">
        <f>'RCP 4.5_Nursery'!X73</f>
        <v>465695.16527384677</v>
      </c>
      <c r="Y71" s="33">
        <f>'RCP 4.5_Nursery'!Y73</f>
        <v>186800.84677063406</v>
      </c>
      <c r="Z71" s="33">
        <f>'RCP 4.5_Nursery'!Z73</f>
        <v>0</v>
      </c>
    </row>
    <row r="72" spans="1:27" x14ac:dyDescent="0.25">
      <c r="A72" s="9" t="str">
        <f t="shared" si="13"/>
        <v>Crab Fattening</v>
      </c>
      <c r="B72" s="33">
        <f>'RCP 4.5_Fattening'!B70</f>
        <v>0</v>
      </c>
      <c r="C72" s="33">
        <f>'RCP 4.5_Fattening'!C70</f>
        <v>1888125</v>
      </c>
      <c r="D72" s="33">
        <f>'RCP 4.5_Fattening'!D70</f>
        <v>5393750</v>
      </c>
      <c r="E72" s="33">
        <f>'RCP 4.5_Fattening'!E70</f>
        <v>8071539</v>
      </c>
      <c r="F72" s="33">
        <f>'RCP 4.5_Fattening'!F70</f>
        <v>6858125</v>
      </c>
      <c r="G72" s="33">
        <f>'RCP 4.5_Fattening'!G70</f>
        <v>6887500</v>
      </c>
      <c r="H72" s="33">
        <f>'RCP 4.5_Fattening'!H70</f>
        <v>7025340</v>
      </c>
      <c r="I72" s="33">
        <f>'RCP 4.5_Fattening'!I70</f>
        <v>6587500</v>
      </c>
      <c r="J72" s="33">
        <f>'RCP 4.5_Fattening'!J70</f>
        <v>6587500</v>
      </c>
      <c r="K72" s="33">
        <f>'RCP 4.5_Fattening'!K70</f>
        <v>7025340</v>
      </c>
      <c r="L72" s="33">
        <f>'RCP 4.5_Fattening'!L70</f>
        <v>6587500</v>
      </c>
      <c r="M72" s="33">
        <f>'RCP 4.5_Fattening'!M70</f>
        <v>6587500</v>
      </c>
      <c r="N72" s="33">
        <f>'RCP 4.5_Fattening'!N70</f>
        <v>7025340</v>
      </c>
      <c r="O72" s="33">
        <f>'RCP 4.5_Fattening'!O70</f>
        <v>6587500</v>
      </c>
      <c r="P72" s="33">
        <f>'RCP 4.5_Fattening'!P70</f>
        <v>6587500</v>
      </c>
      <c r="Q72" s="33">
        <f>'RCP 4.5_Fattening'!Q70</f>
        <v>7025340</v>
      </c>
      <c r="R72" s="33">
        <f>'RCP 4.5_Fattening'!R70</f>
        <v>6587500</v>
      </c>
      <c r="S72" s="33">
        <f>'RCP 4.5_Fattening'!S70</f>
        <v>6587500</v>
      </c>
      <c r="T72" s="33">
        <f>'RCP 4.5_Fattening'!T70</f>
        <v>7025340</v>
      </c>
      <c r="U72" s="33">
        <f>'RCP 4.5_Fattening'!U70</f>
        <v>6587500</v>
      </c>
      <c r="V72" s="33">
        <f>'RCP 4.5_Fattening'!V70</f>
        <v>6587500</v>
      </c>
      <c r="W72" s="33">
        <f>'RCP 4.5_Fattening'!W70</f>
        <v>5971539</v>
      </c>
      <c r="X72" s="33">
        <f>'RCP 4.5_Fattening'!X70</f>
        <v>3293750</v>
      </c>
      <c r="Y72" s="33">
        <f>'RCP 4.5_Fattening'!Y70</f>
        <v>988125</v>
      </c>
      <c r="Z72" s="33">
        <f>'RCP 4.5_Fattening'!Z70</f>
        <v>351267</v>
      </c>
    </row>
    <row r="73" spans="1:27" s="377" customFormat="1" ht="30" x14ac:dyDescent="0.25">
      <c r="A73" s="121" t="str">
        <f>A43</f>
        <v>Opportubity cost for using the crab ponds/farm for fish farming</v>
      </c>
      <c r="B73" s="137">
        <f>B43</f>
        <v>0</v>
      </c>
      <c r="C73" s="137">
        <f t="shared" ref="C73:Z73" si="14">C43</f>
        <v>1000</v>
      </c>
      <c r="D73" s="137">
        <f t="shared" si="14"/>
        <v>1000</v>
      </c>
      <c r="E73" s="137">
        <f t="shared" si="14"/>
        <v>1000</v>
      </c>
      <c r="F73" s="137">
        <f t="shared" si="14"/>
        <v>1000</v>
      </c>
      <c r="G73" s="137">
        <f t="shared" si="14"/>
        <v>1000</v>
      </c>
      <c r="H73" s="137">
        <f t="shared" si="14"/>
        <v>1000</v>
      </c>
      <c r="I73" s="137">
        <f t="shared" si="14"/>
        <v>1000</v>
      </c>
      <c r="J73" s="137">
        <f t="shared" si="14"/>
        <v>1000</v>
      </c>
      <c r="K73" s="137">
        <f t="shared" si="14"/>
        <v>1000</v>
      </c>
      <c r="L73" s="137">
        <f t="shared" si="14"/>
        <v>1000</v>
      </c>
      <c r="M73" s="137">
        <f t="shared" si="14"/>
        <v>1000</v>
      </c>
      <c r="N73" s="137">
        <f t="shared" si="14"/>
        <v>1000</v>
      </c>
      <c r="O73" s="137">
        <f t="shared" si="14"/>
        <v>1000</v>
      </c>
      <c r="P73" s="137">
        <f t="shared" si="14"/>
        <v>1000</v>
      </c>
      <c r="Q73" s="137">
        <f t="shared" si="14"/>
        <v>1000</v>
      </c>
      <c r="R73" s="137">
        <f t="shared" si="14"/>
        <v>1000</v>
      </c>
      <c r="S73" s="137">
        <f t="shared" si="14"/>
        <v>1000</v>
      </c>
      <c r="T73" s="137">
        <f t="shared" si="14"/>
        <v>1000</v>
      </c>
      <c r="U73" s="137">
        <f t="shared" si="14"/>
        <v>1000</v>
      </c>
      <c r="V73" s="137">
        <f t="shared" si="14"/>
        <v>1000</v>
      </c>
      <c r="W73" s="137">
        <f t="shared" si="14"/>
        <v>1000</v>
      </c>
      <c r="X73" s="137">
        <f t="shared" si="14"/>
        <v>1000</v>
      </c>
      <c r="Y73" s="137">
        <f t="shared" si="14"/>
        <v>1000</v>
      </c>
      <c r="Z73" s="137">
        <f t="shared" si="14"/>
        <v>1000</v>
      </c>
    </row>
    <row r="74" spans="1:27" x14ac:dyDescent="0.25">
      <c r="A74" s="117" t="s">
        <v>54</v>
      </c>
      <c r="B74" s="37">
        <f>SUM(B70:B73)</f>
        <v>0</v>
      </c>
      <c r="C74" s="37">
        <f t="shared" ref="C74:Z74" si="15">SUM(C70:C73)</f>
        <v>2230883.7818181817</v>
      </c>
      <c r="D74" s="37">
        <f t="shared" si="15"/>
        <v>6155309.9695454547</v>
      </c>
      <c r="E74" s="37">
        <f t="shared" si="15"/>
        <v>9307349.2670427263</v>
      </c>
      <c r="F74" s="37">
        <f t="shared" si="15"/>
        <v>8159967.0125939092</v>
      </c>
      <c r="G74" s="37">
        <f t="shared" si="15"/>
        <v>8154238.5236289389</v>
      </c>
      <c r="H74" s="37">
        <f t="shared" si="15"/>
        <v>8313916.6043197736</v>
      </c>
      <c r="I74" s="37">
        <f t="shared" si="15"/>
        <v>7861603.6806811532</v>
      </c>
      <c r="J74" s="37">
        <f t="shared" si="15"/>
        <v>7864072.8083970565</v>
      </c>
      <c r="K74" s="37">
        <f t="shared" si="15"/>
        <v>8321324.2319355719</v>
      </c>
      <c r="L74" s="37">
        <f t="shared" si="15"/>
        <v>7869085.3845731094</v>
      </c>
      <c r="M74" s="37">
        <f t="shared" si="15"/>
        <v>7871629.3293279316</v>
      </c>
      <c r="N74" s="37">
        <f t="shared" si="15"/>
        <v>8328956.3180757556</v>
      </c>
      <c r="O74" s="37">
        <f t="shared" si="15"/>
        <v>7876793.7915746961</v>
      </c>
      <c r="P74" s="37">
        <f t="shared" si="15"/>
        <v>7879414.820399534</v>
      </c>
      <c r="Q74" s="37">
        <f t="shared" si="15"/>
        <v>8336819.6640580744</v>
      </c>
      <c r="R74" s="37">
        <f t="shared" si="15"/>
        <v>7884735.7710168371</v>
      </c>
      <c r="S74" s="37">
        <f t="shared" si="15"/>
        <v>7887436.2196360957</v>
      </c>
      <c r="T74" s="37">
        <f t="shared" si="15"/>
        <v>8344921.2772870027</v>
      </c>
      <c r="U74" s="37">
        <f t="shared" si="15"/>
        <v>7892918.400378054</v>
      </c>
      <c r="V74" s="37">
        <f t="shared" si="15"/>
        <v>7895700.6752909254</v>
      </c>
      <c r="W74" s="37">
        <f t="shared" si="15"/>
        <v>7044485.4519987041</v>
      </c>
      <c r="X74" s="37">
        <f t="shared" si="15"/>
        <v>3976174.4857957731</v>
      </c>
      <c r="Y74" s="37">
        <f t="shared" si="15"/>
        <v>1249096.9786069724</v>
      </c>
      <c r="Z74" s="37">
        <f t="shared" si="15"/>
        <v>378276.375</v>
      </c>
    </row>
    <row r="75" spans="1:27" x14ac:dyDescent="0.25">
      <c r="B75" s="32"/>
      <c r="C75" s="32"/>
      <c r="D75" s="32"/>
      <c r="E75" s="32"/>
      <c r="F75" s="32"/>
      <c r="G75" s="32"/>
      <c r="H75" s="32"/>
      <c r="I75" s="32"/>
      <c r="J75" s="32"/>
      <c r="K75" s="32"/>
      <c r="L75" s="32"/>
    </row>
    <row r="76" spans="1:27" x14ac:dyDescent="0.25">
      <c r="A76" s="23" t="str">
        <f>A17</f>
        <v>Net Resource Flow ($)</v>
      </c>
      <c r="B76" s="34">
        <f t="shared" ref="B76:Z76" si="16">B67-B74</f>
        <v>0</v>
      </c>
      <c r="C76" s="34">
        <f t="shared" si="16"/>
        <v>-677877.15369318146</v>
      </c>
      <c r="D76" s="34">
        <f t="shared" si="16"/>
        <v>-927150.15485795401</v>
      </c>
      <c r="E76" s="34">
        <f t="shared" si="16"/>
        <v>-3308654.2341838051</v>
      </c>
      <c r="F76" s="34">
        <f t="shared" si="16"/>
        <v>1973082.7848852584</v>
      </c>
      <c r="G76" s="34">
        <f t="shared" si="16"/>
        <v>2618785.4715857543</v>
      </c>
      <c r="H76" s="34">
        <f t="shared" si="16"/>
        <v>-1042811.9532320313</v>
      </c>
      <c r="I76" s="34">
        <f t="shared" si="16"/>
        <v>3127955.5843373546</v>
      </c>
      <c r="J76" s="34">
        <f t="shared" si="16"/>
        <v>3235380.7992716394</v>
      </c>
      <c r="K76" s="34">
        <f t="shared" si="16"/>
        <v>-829901.62644021958</v>
      </c>
      <c r="L76" s="34">
        <f t="shared" si="16"/>
        <v>3453464.7281097285</v>
      </c>
      <c r="M76" s="34">
        <f t="shared" si="16"/>
        <v>3564145.0344817322</v>
      </c>
      <c r="N76" s="34">
        <f t="shared" si="16"/>
        <v>-610539.90383628942</v>
      </c>
      <c r="O76" s="34">
        <f t="shared" si="16"/>
        <v>3788837.1244475432</v>
      </c>
      <c r="P76" s="34">
        <f t="shared" si="16"/>
        <v>3902871.1547829285</v>
      </c>
      <c r="Q76" s="34">
        <f t="shared" si="16"/>
        <v>-384531.30167573877</v>
      </c>
      <c r="R76" s="34">
        <f t="shared" si="16"/>
        <v>4134371.6397667928</v>
      </c>
      <c r="S76" s="34">
        <f t="shared" si="16"/>
        <v>4251861.0152553711</v>
      </c>
      <c r="T76" s="34">
        <f t="shared" si="16"/>
        <v>-151674.41286111623</v>
      </c>
      <c r="U76" s="34">
        <f t="shared" si="16"/>
        <v>4490376.1964347288</v>
      </c>
      <c r="V76" s="34">
        <f t="shared" si="16"/>
        <v>4611425.6174899861</v>
      </c>
      <c r="W76" s="34">
        <f t="shared" si="16"/>
        <v>147438.95053517073</v>
      </c>
      <c r="X76" s="34">
        <f t="shared" si="16"/>
        <v>2433146.5235871323</v>
      </c>
      <c r="Y76" s="34">
        <f t="shared" si="16"/>
        <v>723924.41223604744</v>
      </c>
      <c r="Z76" s="34">
        <f t="shared" si="16"/>
        <v>65019.322770885658</v>
      </c>
    </row>
    <row r="77" spans="1:27" x14ac:dyDescent="0.25">
      <c r="A77" s="23"/>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12"/>
    </row>
    <row r="78" spans="1:27" x14ac:dyDescent="0.25">
      <c r="A78" s="10" t="str">
        <f>A19</f>
        <v>Economic Benefits in Present Value</v>
      </c>
      <c r="B78" s="345">
        <f>B67/(1+Assumption_Hatchery!$C76)^'RCP 4.5_CRAB Value'!B61</f>
        <v>0</v>
      </c>
      <c r="C78" s="345">
        <f>C67/(1+Assumption_Hatchery!$C76)^'RCP 4.5_CRAB Value'!C61</f>
        <v>1465100.5925707549</v>
      </c>
      <c r="D78" s="345">
        <f>D67/(1+Assumption_Hatchery!$C76)^'RCP 4.5_CRAB Value'!D61</f>
        <v>4653043.6228973838</v>
      </c>
      <c r="E78" s="345">
        <f>E67/(1+Assumption_Hatchery!$C76)^'RCP 4.5_CRAB Value'!E61</f>
        <v>5036620.0226184363</v>
      </c>
      <c r="F78" s="345">
        <f>F67/(1+Assumption_Hatchery!$C76)^'RCP 4.5_CRAB Value'!F61</f>
        <v>8026324.5338585544</v>
      </c>
      <c r="G78" s="345">
        <f>G67/(1+Assumption_Hatchery!$C76)^'RCP 4.5_CRAB Value'!G61</f>
        <v>8050230.2269063201</v>
      </c>
      <c r="H78" s="345">
        <f>H67/(1+Assumption_Hatchery!$C76)^'RCP 4.5_CRAB Value'!H61</f>
        <v>5125841.8644242585</v>
      </c>
      <c r="I78" s="345">
        <f>I67/(1+Assumption_Hatchery!$C76)^'RCP 4.5_CRAB Value'!I61</f>
        <v>7308684.5647748094</v>
      </c>
      <c r="J78" s="345">
        <f>J67/(1+Assumption_Hatchery!$C76)^'RCP 4.5_CRAB Value'!J61</f>
        <v>6963934.5085860081</v>
      </c>
      <c r="K78" s="345">
        <f>K67/(1+Assumption_Hatchery!$C76)^'RCP 4.5_CRAB Value'!K61</f>
        <v>4434161.5298467958</v>
      </c>
      <c r="L78" s="345">
        <f>L67/(1+Assumption_Hatchery!$C76)^'RCP 4.5_CRAB Value'!L61</f>
        <v>6322452.8442817759</v>
      </c>
      <c r="M78" s="345">
        <f>M67/(1+Assumption_Hatchery!$C76)^'RCP 4.5_CRAB Value'!M61</f>
        <v>6024223.2780482266</v>
      </c>
      <c r="N78" s="345">
        <f>N67/(1+Assumption_Hatchery!$C76)^'RCP 4.5_CRAB Value'!N61</f>
        <v>3835816.4932068619</v>
      </c>
      <c r="O78" s="345">
        <f>O67/(1+Assumption_Hatchery!$C76)^'RCP 4.5_CRAB Value'!O61</f>
        <v>5469302.9925092012</v>
      </c>
      <c r="P78" s="345">
        <f>P67/(1+Assumption_Hatchery!$C76)^'RCP 4.5_CRAB Value'!P61</f>
        <v>5211316.4494202975</v>
      </c>
      <c r="Q78" s="345">
        <f>Q67/(1+Assumption_Hatchery!$C76)^'RCP 4.5_CRAB Value'!Q61</f>
        <v>3318212.0865159961</v>
      </c>
      <c r="R78" s="345">
        <f>R67/(1+Assumption_Hatchery!$C76)^'RCP 4.5_CRAB Value'!R61</f>
        <v>4731276.9657996371</v>
      </c>
      <c r="S78" s="345">
        <f>S67/(1+Assumption_Hatchery!$C76)^'RCP 4.5_CRAB Value'!S61</f>
        <v>4508103.0598111125</v>
      </c>
      <c r="T78" s="345">
        <f>T67/(1+Assumption_Hatchery!$C76)^'RCP 4.5_CRAB Value'!T61</f>
        <v>2870453.1681404309</v>
      </c>
      <c r="U78" s="345">
        <f>U67/(1+Assumption_Hatchery!$C76)^'RCP 4.5_CRAB Value'!U61</f>
        <v>4092839.9770916807</v>
      </c>
      <c r="V78" s="345">
        <f>V67/(1+Assumption_Hatchery!$C76)^'RCP 4.5_CRAB Value'!V61</f>
        <v>3899781.0978503157</v>
      </c>
      <c r="W78" s="345">
        <f>W67/(1+Assumption_Hatchery!$C76)^'RCP 4.5_CRAB Value'!W61</f>
        <v>2115543.4189787162</v>
      </c>
      <c r="X78" s="345">
        <f>X67/(1+Assumption_Hatchery!$C76)^'RCP 4.5_CRAB Value'!X61</f>
        <v>1778619.2478247404</v>
      </c>
      <c r="Y78" s="345">
        <f>Y67/(1+Assumption_Hatchery!$C76)^'RCP 4.5_CRAB Value'!Y61</f>
        <v>516531.59647914866</v>
      </c>
      <c r="Z78" s="345">
        <f>Z67/(1+Assumption_Hatchery!$C76)^'RCP 4.5_CRAB Value'!Z61</f>
        <v>109484.52791821811</v>
      </c>
      <c r="AA78" s="343">
        <f>SUM(B78:Z78)</f>
        <v>105867898.67035969</v>
      </c>
    </row>
    <row r="79" spans="1:27" s="12" customFormat="1" x14ac:dyDescent="0.25">
      <c r="A79" s="10" t="str">
        <f>A20</f>
        <v>Economic Costs in Present Value</v>
      </c>
      <c r="B79" s="346">
        <f>B74/(1+Assumption_Hatchery!$C76)^'RCP 4.5_CRAB Value'!B61</f>
        <v>0</v>
      </c>
      <c r="C79" s="346">
        <f>C74/(1+Assumption_Hatchery!$C76)^'RCP 4.5_CRAB Value'!C61</f>
        <v>2104607.3413379071</v>
      </c>
      <c r="D79" s="346">
        <f>D74/(1+Assumption_Hatchery!$C76)^'RCP 4.5_CRAB Value'!D61</f>
        <v>5478203.9600796141</v>
      </c>
      <c r="E79" s="346">
        <f>E74/(1+Assumption_Hatchery!$C76)^'RCP 4.5_CRAB Value'!E61</f>
        <v>7814629.9185256315</v>
      </c>
      <c r="F79" s="346">
        <f>F74/(1+Assumption_Hatchery!$C76)^'RCP 4.5_CRAB Value'!F61</f>
        <v>6463458.1629069149</v>
      </c>
      <c r="G79" s="346">
        <f>G74/(1+Assumption_Hatchery!$C76)^'RCP 4.5_CRAB Value'!G61</f>
        <v>6093321.3802809743</v>
      </c>
      <c r="H79" s="346">
        <f>H74/(1+Assumption_Hatchery!$C76)^'RCP 4.5_CRAB Value'!H61</f>
        <v>5860983.1425516661</v>
      </c>
      <c r="I79" s="346">
        <f>I74/(1+Assumption_Hatchery!$C76)^'RCP 4.5_CRAB Value'!I61</f>
        <v>5228415.4523165412</v>
      </c>
      <c r="J79" s="346">
        <f>J74/(1+Assumption_Hatchery!$C76)^'RCP 4.5_CRAB Value'!J61</f>
        <v>4934016.5691211745</v>
      </c>
      <c r="K79" s="346">
        <f>K74/(1+Assumption_Hatchery!$C76)^'RCP 4.5_CRAB Value'!K61</f>
        <v>4925379.0274178302</v>
      </c>
      <c r="L79" s="346">
        <f>L74/(1+Assumption_Hatchery!$C76)^'RCP 4.5_CRAB Value'!L61</f>
        <v>4394056.1778447162</v>
      </c>
      <c r="M79" s="346">
        <f>M74/(1+Assumption_Hatchery!$C76)^'RCP 4.5_CRAB Value'!M61</f>
        <v>4146676.1351967631</v>
      </c>
      <c r="N79" s="346">
        <f>N74/(1+Assumption_Hatchery!$C76)^'RCP 4.5_CRAB Value'!N61</f>
        <v>4139236.1206547455</v>
      </c>
      <c r="O79" s="346">
        <f>O74/(1+Assumption_Hatchery!$C76)^'RCP 4.5_CRAB Value'!O61</f>
        <v>3692948.2996473066</v>
      </c>
      <c r="P79" s="346">
        <f>P74/(1+Assumption_Hatchery!$C76)^'RCP 4.5_CRAB Value'!P61</f>
        <v>3485072.7738102009</v>
      </c>
      <c r="Q79" s="346">
        <f>Q74/(1+Assumption_Hatchery!$C76)^'RCP 4.5_CRAB Value'!Q61</f>
        <v>3478663.5634644395</v>
      </c>
      <c r="R79" s="346">
        <f>R74/(1+Assumption_Hatchery!$C76)^'RCP 4.5_CRAB Value'!R61</f>
        <v>3103796.934317952</v>
      </c>
      <c r="S79" s="346">
        <f>S74/(1+Assumption_Hatchery!$C76)^'RCP 4.5_CRAB Value'!S61</f>
        <v>2929113.1659257356</v>
      </c>
      <c r="T79" s="346">
        <f>T74/(1+Assumption_Hatchery!$C76)^'RCP 4.5_CRAB Value'!T61</f>
        <v>2923591.3569594906</v>
      </c>
      <c r="U79" s="346">
        <f>U74/(1+Assumption_Hatchery!$C76)^'RCP 4.5_CRAB Value'!U61</f>
        <v>2608712.2221338698</v>
      </c>
      <c r="V79" s="346">
        <f>V74/(1+Assumption_Hatchery!$C76)^'RCP 4.5_CRAB Value'!V61</f>
        <v>2461916.7926333584</v>
      </c>
      <c r="W79" s="346">
        <f>W74/(1+Assumption_Hatchery!$C76)^'RCP 4.5_CRAB Value'!W61</f>
        <v>2072173.4551070277</v>
      </c>
      <c r="X79" s="346">
        <f>X74/(1+Assumption_Hatchery!$C76)^'RCP 4.5_CRAB Value'!X61</f>
        <v>1103408.686004777</v>
      </c>
      <c r="Y79" s="346">
        <f>Y74/(1+Assumption_Hatchery!$C76)^'RCP 4.5_CRAB Value'!Y61</f>
        <v>327010.16801519034</v>
      </c>
      <c r="Z79" s="346">
        <f>Z74/(1+Assumption_Hatchery!$C76)^'RCP 4.5_CRAB Value'!Z61</f>
        <v>93426.149966596597</v>
      </c>
      <c r="AA79" s="343">
        <f>SUM(B79:Z79)</f>
        <v>89862816.956220433</v>
      </c>
    </row>
    <row r="80" spans="1:27" x14ac:dyDescent="0.25">
      <c r="B80" s="32"/>
      <c r="C80" s="32"/>
      <c r="D80" s="32"/>
      <c r="E80" s="32"/>
      <c r="F80" s="32"/>
      <c r="G80" s="32"/>
      <c r="H80" s="32"/>
      <c r="I80" s="32"/>
      <c r="J80" s="32"/>
      <c r="K80" s="32"/>
      <c r="L80" s="32"/>
    </row>
    <row r="81" spans="1:12" s="12" customFormat="1" x14ac:dyDescent="0.25">
      <c r="A81" s="25" t="s">
        <v>318</v>
      </c>
      <c r="B81" s="35">
        <f>NPV(Assumption_Hatchery!C76,C76:Z76)+B76</f>
        <v>16005081.714139258</v>
      </c>
      <c r="C81" s="40"/>
      <c r="D81" s="40"/>
      <c r="E81" s="40"/>
      <c r="F81" s="40"/>
      <c r="G81" s="40"/>
      <c r="H81" s="40"/>
      <c r="I81" s="40"/>
      <c r="J81" s="40"/>
      <c r="K81" s="40"/>
      <c r="L81" s="40"/>
    </row>
    <row r="83" spans="1:12" s="12" customFormat="1" x14ac:dyDescent="0.25">
      <c r="A83" s="25" t="s">
        <v>238</v>
      </c>
      <c r="B83" s="36">
        <f>IRR(B76:Z76)</f>
        <v>0.32259034603741066</v>
      </c>
      <c r="C83" s="4"/>
      <c r="D83" s="4"/>
      <c r="E83" s="4"/>
      <c r="F83" s="4"/>
      <c r="G83" s="4"/>
      <c r="H83" s="4"/>
      <c r="I83" s="4"/>
      <c r="J83" s="4"/>
      <c r="K83" s="4"/>
      <c r="L83" s="4"/>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AA83"/>
  <sheetViews>
    <sheetView showGridLines="0" topLeftCell="K61" zoomScale="85" zoomScaleNormal="85" workbookViewId="0">
      <selection activeCell="B74" sqref="B74:Z74"/>
    </sheetView>
  </sheetViews>
  <sheetFormatPr defaultColWidth="9" defaultRowHeight="15" x14ac:dyDescent="0.25"/>
  <cols>
    <col min="1" max="1" width="40.7109375" style="10" customWidth="1"/>
    <col min="2" max="2" width="21.28515625" style="26" customWidth="1"/>
    <col min="3" max="3" width="13" style="26" customWidth="1"/>
    <col min="4" max="4" width="17" style="26" customWidth="1"/>
    <col min="5" max="5" width="17.140625" style="26" customWidth="1"/>
    <col min="6" max="6" width="14.85546875" style="26" customWidth="1"/>
    <col min="7" max="7" width="14.28515625" style="26" customWidth="1"/>
    <col min="8" max="8" width="15.42578125" style="26" customWidth="1"/>
    <col min="9" max="9" width="13.85546875" style="26" customWidth="1"/>
    <col min="10" max="10" width="13" style="26" customWidth="1"/>
    <col min="11" max="11" width="12.7109375" style="26" customWidth="1"/>
    <col min="12" max="12" width="13.7109375" style="26" customWidth="1"/>
    <col min="13" max="23" width="13.7109375" style="3" customWidth="1"/>
    <col min="24" max="24" width="15.7109375" style="3" customWidth="1"/>
    <col min="25" max="25" width="14.140625" style="3" customWidth="1"/>
    <col min="26" max="26" width="13.85546875" style="3" customWidth="1"/>
    <col min="27" max="27" width="16" style="3" customWidth="1"/>
    <col min="28"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51</v>
      </c>
      <c r="B6" s="31">
        <f>'BaU_CRAB Value'!B6</f>
        <v>0</v>
      </c>
      <c r="C6" s="31">
        <f>'BaU_CRAB Value'!C6</f>
        <v>1552881.6281250003</v>
      </c>
      <c r="D6" s="31">
        <f>'BaU_CRAB Value'!D6</f>
        <v>5228034.8146875007</v>
      </c>
      <c r="E6" s="136">
        <f>'BaU_CRAB Value'!E6*(1+'Assumption_CRAB Value chain'!$X110)</f>
        <v>5739372.5623032888</v>
      </c>
      <c r="F6" s="31">
        <f>'BaU_CRAB Value'!F6</f>
        <v>10132924.797479168</v>
      </c>
      <c r="G6" s="31">
        <f>'BaU_CRAB Value'!G6</f>
        <v>10772898.995214693</v>
      </c>
      <c r="H6" s="136">
        <f>'BaU_CRAB Value'!H6*(1+'Assumption_CRAB Value chain'!$X110)</f>
        <v>6956801.5180160496</v>
      </c>
      <c r="I6" s="31">
        <f>'BaU_CRAB Value'!I6</f>
        <v>10989434.265018508</v>
      </c>
      <c r="J6" s="31">
        <f>'BaU_CRAB Value'!J6</f>
        <v>11099328.607668696</v>
      </c>
      <c r="K6" s="136">
        <f>'BaU_CRAB Value'!K6*(1+'Assumption_CRAB Value chain'!$X110)</f>
        <v>7167599.5608134549</v>
      </c>
      <c r="L6" s="31">
        <f>'BaU_CRAB Value'!L6</f>
        <v>11322425.112682838</v>
      </c>
      <c r="M6" s="31">
        <f>'BaU_CRAB Value'!M6</f>
        <v>11435649.363809664</v>
      </c>
      <c r="N6" s="136">
        <f>'BaU_CRAB Value'!N6*(1+'Assumption_CRAB Value chain'!$X110)</f>
        <v>7384784.9951056624</v>
      </c>
      <c r="O6" s="31">
        <f>'BaU_CRAB Value'!O6</f>
        <v>11665505.916022239</v>
      </c>
      <c r="P6" s="31">
        <f>'BaU_CRAB Value'!P6</f>
        <v>11782160.975182462</v>
      </c>
      <c r="Q6" s="136">
        <f>'BaU_CRAB Value'!Q6*(1+'Assumption_CRAB Value chain'!$X110)</f>
        <v>7608551.3652423583</v>
      </c>
      <c r="R6" s="31">
        <f>'BaU_CRAB Value'!R6</f>
        <v>12018982.41078363</v>
      </c>
      <c r="S6" s="31">
        <f>'BaU_CRAB Value'!S6</f>
        <v>12139172.234891467</v>
      </c>
      <c r="T6" s="136">
        <f>'BaU_CRAB Value'!T6*(1+'Assumption_CRAB Value chain'!$X110)</f>
        <v>7839098.0801605703</v>
      </c>
      <c r="U6" s="31">
        <f>'BaU_CRAB Value'!U6</f>
        <v>12383169.596812783</v>
      </c>
      <c r="V6" s="31">
        <f>'BaU_CRAB Value'!V6</f>
        <v>12507001.292780912</v>
      </c>
      <c r="W6" s="136">
        <f>'BaU_CRAB Value'!W6*(1+'Assumption_CRAB Value chain'!$X110)</f>
        <v>6865136.0024243863</v>
      </c>
      <c r="X6" s="31">
        <f>'BaU_CRAB Value'!X6</f>
        <v>6379196.0093829054</v>
      </c>
      <c r="Y6" s="31">
        <f>'BaU_CRAB Value'!Y6</f>
        <v>1932896.3908430198</v>
      </c>
      <c r="Z6" s="136">
        <f>'BaU_CRAB Value'!Z6*(1+'Assumption_CRAB Value chain'!$X110)</f>
        <v>416068.02873140288</v>
      </c>
    </row>
    <row r="7" spans="1:26" x14ac:dyDescent="0.25">
      <c r="A7" s="10" t="s">
        <v>52</v>
      </c>
      <c r="B7" s="31">
        <f>'RCP 8.5_Hatchery'!B7</f>
        <v>0</v>
      </c>
      <c r="C7" s="31">
        <f>'RCP 8.5_Hatchery'!C7</f>
        <v>0</v>
      </c>
      <c r="D7" s="31">
        <f>'RCP 8.5_Hatchery'!D7</f>
        <v>0</v>
      </c>
      <c r="E7" s="31">
        <f>'RCP 8.5_Hatchery'!E7</f>
        <v>0</v>
      </c>
      <c r="F7" s="31">
        <f>'RCP 8.5_Hatchery'!F7</f>
        <v>0</v>
      </c>
      <c r="G7" s="31">
        <f>'RCP 8.5_Hatchery'!G7</f>
        <v>0</v>
      </c>
      <c r="H7" s="31">
        <f>'RCP 8.5_Hatchery'!H7</f>
        <v>0</v>
      </c>
      <c r="I7" s="31">
        <f>'RCP 8.5_Hatchery'!I7</f>
        <v>0</v>
      </c>
      <c r="J7" s="31">
        <f>'RCP 8.5_Hatchery'!J7</f>
        <v>0</v>
      </c>
      <c r="K7" s="31">
        <f>'RCP 8.5_Hatchery'!K7</f>
        <v>0</v>
      </c>
      <c r="L7" s="31">
        <f>'RCP 8.5_Hatchery'!L7</f>
        <v>0</v>
      </c>
      <c r="M7" s="31">
        <f>'RCP 8.5_Hatchery'!M7</f>
        <v>0</v>
      </c>
      <c r="N7" s="31">
        <f>'RCP 8.5_Hatchery'!N7</f>
        <v>0</v>
      </c>
      <c r="O7" s="31">
        <f>'RCP 8.5_Hatchery'!O7</f>
        <v>0</v>
      </c>
      <c r="P7" s="31">
        <f>'RCP 8.5_Hatchery'!P7</f>
        <v>0</v>
      </c>
      <c r="Q7" s="31">
        <f>'RCP 8.5_Hatchery'!Q7</f>
        <v>0</v>
      </c>
      <c r="R7" s="31">
        <f>'RCP 8.5_Hatchery'!R7</f>
        <v>0</v>
      </c>
      <c r="S7" s="31">
        <f>'RCP 8.5_Hatchery'!S7</f>
        <v>0</v>
      </c>
      <c r="T7" s="31">
        <f>'RCP 8.5_Hatchery'!T7</f>
        <v>0</v>
      </c>
      <c r="U7" s="31">
        <f>'RCP 8.5_Hatchery'!U7</f>
        <v>0</v>
      </c>
      <c r="V7" s="31">
        <f>'RCP 8.5_Hatchery'!V7</f>
        <v>0</v>
      </c>
      <c r="W7" s="31">
        <f>'RCP 8.5_Hatchery'!W7</f>
        <v>19000</v>
      </c>
      <c r="X7" s="31">
        <f>'RCP 8.5_Hatchery'!X7</f>
        <v>30000</v>
      </c>
      <c r="Y7" s="31">
        <f>'RCP 8.5_Hatchery'!Y7</f>
        <v>40000</v>
      </c>
      <c r="Z7" s="31">
        <f>'RCP 8.5_Hatchery'!Z7</f>
        <v>9500</v>
      </c>
    </row>
    <row r="8" spans="1:26" x14ac:dyDescent="0.25">
      <c r="B8" s="31"/>
      <c r="C8" s="31"/>
      <c r="D8" s="31"/>
      <c r="E8" s="136"/>
      <c r="F8" s="31"/>
      <c r="G8" s="31"/>
      <c r="H8" s="136"/>
      <c r="I8" s="31"/>
      <c r="J8" s="31"/>
      <c r="K8" s="136"/>
      <c r="L8" s="31"/>
      <c r="M8" s="31"/>
      <c r="N8" s="136"/>
      <c r="O8" s="31"/>
      <c r="P8" s="31"/>
      <c r="Q8" s="136"/>
      <c r="R8" s="31"/>
      <c r="S8" s="31"/>
      <c r="T8" s="31"/>
      <c r="U8" s="31"/>
      <c r="V8" s="31"/>
      <c r="W8" s="31"/>
      <c r="X8" s="31"/>
      <c r="Y8" s="31"/>
      <c r="Z8" s="31"/>
    </row>
    <row r="9" spans="1:26" s="12" customFormat="1" x14ac:dyDescent="0.25">
      <c r="A9" s="23" t="s">
        <v>53</v>
      </c>
      <c r="B9" s="38">
        <f t="shared" ref="B9:Z9" si="0">(B6+B7)</f>
        <v>0</v>
      </c>
      <c r="C9" s="38">
        <f t="shared" si="0"/>
        <v>1552881.6281250003</v>
      </c>
      <c r="D9" s="38">
        <f t="shared" si="0"/>
        <v>5228034.8146875007</v>
      </c>
      <c r="E9" s="38">
        <f t="shared" si="0"/>
        <v>5739372.5623032888</v>
      </c>
      <c r="F9" s="38">
        <f t="shared" si="0"/>
        <v>10132924.797479168</v>
      </c>
      <c r="G9" s="38">
        <f t="shared" si="0"/>
        <v>10772898.995214693</v>
      </c>
      <c r="H9" s="38">
        <f t="shared" si="0"/>
        <v>6956801.5180160496</v>
      </c>
      <c r="I9" s="38">
        <f t="shared" si="0"/>
        <v>10989434.265018508</v>
      </c>
      <c r="J9" s="38">
        <f t="shared" si="0"/>
        <v>11099328.607668696</v>
      </c>
      <c r="K9" s="38">
        <f t="shared" si="0"/>
        <v>7167599.5608134549</v>
      </c>
      <c r="L9" s="38">
        <f t="shared" si="0"/>
        <v>11322425.112682838</v>
      </c>
      <c r="M9" s="38">
        <f t="shared" si="0"/>
        <v>11435649.363809664</v>
      </c>
      <c r="N9" s="38">
        <f t="shared" si="0"/>
        <v>7384784.9951056624</v>
      </c>
      <c r="O9" s="38">
        <f t="shared" si="0"/>
        <v>11665505.916022239</v>
      </c>
      <c r="P9" s="38">
        <f t="shared" si="0"/>
        <v>11782160.975182462</v>
      </c>
      <c r="Q9" s="38">
        <f t="shared" si="0"/>
        <v>7608551.3652423583</v>
      </c>
      <c r="R9" s="38">
        <f t="shared" si="0"/>
        <v>12018982.41078363</v>
      </c>
      <c r="S9" s="38">
        <f t="shared" si="0"/>
        <v>12139172.234891467</v>
      </c>
      <c r="T9" s="38">
        <f t="shared" si="0"/>
        <v>7839098.0801605703</v>
      </c>
      <c r="U9" s="38">
        <f t="shared" si="0"/>
        <v>12383169.596812783</v>
      </c>
      <c r="V9" s="38">
        <f t="shared" si="0"/>
        <v>12507001.292780912</v>
      </c>
      <c r="W9" s="38">
        <f t="shared" si="0"/>
        <v>6884136.0024243863</v>
      </c>
      <c r="X9" s="38">
        <f t="shared" si="0"/>
        <v>6409196.0093829054</v>
      </c>
      <c r="Y9" s="38">
        <f t="shared" si="0"/>
        <v>1972896.3908430198</v>
      </c>
      <c r="Z9" s="38">
        <f t="shared" si="0"/>
        <v>425568.02873140288</v>
      </c>
    </row>
    <row r="10" spans="1:26" x14ac:dyDescent="0.25">
      <c r="A10" s="23"/>
      <c r="B10" s="41"/>
      <c r="C10" s="41"/>
      <c r="D10" s="41"/>
      <c r="E10" s="41"/>
      <c r="F10" s="41"/>
      <c r="G10" s="41"/>
      <c r="H10" s="41"/>
      <c r="I10" s="41"/>
      <c r="J10" s="41"/>
      <c r="K10" s="41"/>
    </row>
    <row r="11" spans="1:26" x14ac:dyDescent="0.25">
      <c r="A11" s="23" t="s">
        <v>348</v>
      </c>
    </row>
    <row r="12" spans="1:26" x14ac:dyDescent="0.25">
      <c r="A12" s="88" t="s">
        <v>345</v>
      </c>
      <c r="B12" s="33">
        <f>'RCP 8.5_Hatchery'!B20</f>
        <v>0</v>
      </c>
      <c r="C12" s="33">
        <f>'RCP 8.5_Hatchery'!C20</f>
        <v>165338.78181818183</v>
      </c>
      <c r="D12" s="33">
        <f>'RCP 8.5_Hatchery'!D20</f>
        <v>451649.46954545454</v>
      </c>
      <c r="E12" s="33">
        <f>'RCP 8.5_Hatchery'!E20</f>
        <v>849266.95086090907</v>
      </c>
      <c r="F12" s="33">
        <f>'RCP 8.5_Hatchery'!F20</f>
        <v>846115.17049390904</v>
      </c>
      <c r="G12" s="33">
        <f>'RCP 8.5_Hatchery'!G20</f>
        <v>664826.41310793906</v>
      </c>
      <c r="H12" s="33">
        <f>'RCP 8.5_Hatchery'!H20</f>
        <v>467789.38860265486</v>
      </c>
      <c r="I12" s="33">
        <f>'RCP 8.5_Hatchery'!I20</f>
        <v>377955.25673868135</v>
      </c>
      <c r="J12" s="33">
        <f>'RCP 8.5_Hatchery'!J20</f>
        <v>378172.90021515911</v>
      </c>
      <c r="K12" s="33">
        <f>'RCP 8.5_Hatchery'!K20</f>
        <v>412642.34058094706</v>
      </c>
      <c r="L12" s="33">
        <f>'RCP 8.5_Hatchery'!L20</f>
        <v>378614.73823675653</v>
      </c>
      <c r="M12" s="33">
        <f>'RCP 8.5_Hatchery'!M20</f>
        <v>378838.97652821499</v>
      </c>
      <c r="N12" s="33">
        <f>'RCP 8.5_Hatchery'!N20</f>
        <v>413315.07765713352</v>
      </c>
      <c r="O12" s="33">
        <f>'RCP 8.5_Hatchery'!O20</f>
        <v>379294.20268370485</v>
      </c>
      <c r="P12" s="33">
        <f>'RCP 8.5_Hatchery'!P20</f>
        <v>379525.23561963282</v>
      </c>
      <c r="Q12" s="33">
        <f>'RCP 8.5_Hatchery'!Q20</f>
        <v>414008.19933946553</v>
      </c>
      <c r="R12" s="33">
        <f>'RCP 8.5_Hatchery'!R20</f>
        <v>379994.25558286015</v>
      </c>
      <c r="S12" s="33">
        <f>'RCP 8.5_Hatchery'!S20</f>
        <v>380232.28904777963</v>
      </c>
      <c r="T12" s="33">
        <f>'RCP 8.5_Hatchery'!T20</f>
        <v>414722.32330189383</v>
      </c>
      <c r="U12" s="33">
        <f>'RCP 8.5_Hatchery'!U20</f>
        <v>380715.52078491275</v>
      </c>
      <c r="V12" s="33">
        <f>'RCP 8.5_Hatchery'!V20</f>
        <v>380960.7669018528</v>
      </c>
      <c r="W12" s="33">
        <f>'RCP 8.5_Hatchery'!W20</f>
        <v>343785.21874760615</v>
      </c>
      <c r="X12" s="33">
        <f>'RCP 8.5_Hatchery'!X20</f>
        <v>215729.32052192639</v>
      </c>
      <c r="Y12" s="33">
        <f>'RCP 8.5_Hatchery'!Y20</f>
        <v>73171.131836338231</v>
      </c>
      <c r="Z12" s="33">
        <f>'RCP 8.5_Hatchery'!Z20</f>
        <v>28546.874999999996</v>
      </c>
    </row>
    <row r="13" spans="1:26" x14ac:dyDescent="0.25">
      <c r="A13" s="88" t="s">
        <v>346</v>
      </c>
      <c r="B13" s="33">
        <f>'RCP 8.5_Nursery'!B16</f>
        <v>0</v>
      </c>
      <c r="C13" s="33">
        <f>'RCP 8.5_Nursery'!C16</f>
        <v>250820</v>
      </c>
      <c r="D13" s="33">
        <f>'RCP 8.5_Nursery'!D16</f>
        <v>553710.5</v>
      </c>
      <c r="E13" s="33">
        <f>'RCP 8.5_Nursery'!E16</f>
        <v>822513.06799999997</v>
      </c>
      <c r="F13" s="33">
        <f>'RCP 8.5_Nursery'!F16</f>
        <v>962926.84210000001</v>
      </c>
      <c r="G13" s="33">
        <f>'RCP 8.5_Nursery'!G16</f>
        <v>890712.110521</v>
      </c>
      <c r="H13" s="33">
        <f>'RCP 8.5_Nursery'!H16</f>
        <v>895197.35662621004</v>
      </c>
      <c r="I13" s="33">
        <f>'RCP 8.5_Nursery'!I16</f>
        <v>895148.42394247209</v>
      </c>
      <c r="J13" s="33">
        <f>'RCP 8.5_Nursery'!J16</f>
        <v>897399.9081818969</v>
      </c>
      <c r="K13" s="33">
        <f>'RCP 8.5_Nursery'!K16</f>
        <v>901952.03226371575</v>
      </c>
      <c r="L13" s="33">
        <f>'RCP 8.5_Nursery'!L16</f>
        <v>901970.64633635292</v>
      </c>
      <c r="M13" s="33">
        <f>'RCP 8.5_Nursery'!M16</f>
        <v>904290.35279971652</v>
      </c>
      <c r="N13" s="33">
        <f>'RCP 8.5_Nursery'!N16</f>
        <v>908911.38132771361</v>
      </c>
      <c r="O13" s="33">
        <f>'RCP 8.5_Nursery'!O16</f>
        <v>908999.58889099082</v>
      </c>
      <c r="P13" s="33">
        <f>'RCP 8.5_Nursery'!P16</f>
        <v>911389.58477990073</v>
      </c>
      <c r="Q13" s="33">
        <f>'RCP 8.5_Nursery'!Q16</f>
        <v>916081.60562769976</v>
      </c>
      <c r="R13" s="33">
        <f>'RCP 8.5_Nursery'!R16</f>
        <v>916241.51543397678</v>
      </c>
      <c r="S13" s="33">
        <f>'RCP 8.5_Nursery'!S16</f>
        <v>918703.93058831652</v>
      </c>
      <c r="T13" s="33">
        <f>'RCP 8.5_Nursery'!T16</f>
        <v>923469.09489419963</v>
      </c>
      <c r="U13" s="33">
        <f>'RCP 8.5_Nursery'!U16</f>
        <v>923702.87959314161</v>
      </c>
      <c r="V13" s="33">
        <f>'RCP 8.5_Nursery'!V16</f>
        <v>926239.9083890731</v>
      </c>
      <c r="W13" s="33">
        <f>'RCP 8.5_Nursery'!W16</f>
        <v>744864.34597837098</v>
      </c>
      <c r="X13" s="33">
        <f>'RCP 8.5_Nursery'!X16</f>
        <v>465695.16527384677</v>
      </c>
      <c r="Y13" s="33">
        <f>'RCP 8.5_Nursery'!Y16</f>
        <v>186800.84677063406</v>
      </c>
      <c r="Z13" s="33">
        <f>'RCP 8.5_Nursery'!Z16</f>
        <v>0</v>
      </c>
    </row>
    <row r="14" spans="1:26" x14ac:dyDescent="0.25">
      <c r="A14" s="88" t="s">
        <v>347</v>
      </c>
      <c r="B14" s="33">
        <f>'RCP 8.5_Fattening'!B15</f>
        <v>0</v>
      </c>
      <c r="C14" s="33">
        <f>'RCP 8.5_Fattening'!C15</f>
        <v>3580725</v>
      </c>
      <c r="D14" s="33">
        <f>'RCP 8.5_Fattening'!D15</f>
        <v>9343150</v>
      </c>
      <c r="E14" s="33">
        <f>'RCP 8.5_Fattening'!E15</f>
        <v>12109415.5</v>
      </c>
      <c r="F14" s="33">
        <f>'RCP 8.5_Fattening'!F15</f>
        <v>7986525</v>
      </c>
      <c r="G14" s="33">
        <f>'RCP 8.5_Fattening'!G15</f>
        <v>7451700</v>
      </c>
      <c r="H14" s="33">
        <f>'RCP 8.5_Fattening'!H15</f>
        <v>7129430</v>
      </c>
      <c r="I14" s="33">
        <f>'RCP 8.5_Fattening'!I15</f>
        <v>6587500</v>
      </c>
      <c r="J14" s="33">
        <f>'RCP 8.5_Fattening'!J15</f>
        <v>6587500</v>
      </c>
      <c r="K14" s="33">
        <f>'RCP 8.5_Fattening'!K15</f>
        <v>7129430</v>
      </c>
      <c r="L14" s="33">
        <f>'RCP 8.5_Fattening'!L15</f>
        <v>6587500</v>
      </c>
      <c r="M14" s="33">
        <f>'RCP 8.5_Fattening'!M15</f>
        <v>6587500</v>
      </c>
      <c r="N14" s="33">
        <f>'RCP 8.5_Fattening'!N15</f>
        <v>7129430</v>
      </c>
      <c r="O14" s="33">
        <f>'RCP 8.5_Fattening'!O15</f>
        <v>6587500</v>
      </c>
      <c r="P14" s="33">
        <f>'RCP 8.5_Fattening'!P15</f>
        <v>6587500</v>
      </c>
      <c r="Q14" s="33">
        <f>'RCP 8.5_Fattening'!Q15</f>
        <v>7129430</v>
      </c>
      <c r="R14" s="33">
        <f>'RCP 8.5_Fattening'!R15</f>
        <v>6587500</v>
      </c>
      <c r="S14" s="33">
        <f>'RCP 8.5_Fattening'!S15</f>
        <v>6587500</v>
      </c>
      <c r="T14" s="33">
        <f>'RCP 8.5_Fattening'!T15</f>
        <v>7129430</v>
      </c>
      <c r="U14" s="33">
        <f>'RCP 8.5_Fattening'!U15</f>
        <v>6587500</v>
      </c>
      <c r="V14" s="33">
        <f>'RCP 8.5_Fattening'!V15</f>
        <v>6587500</v>
      </c>
      <c r="W14" s="33">
        <f>'RCP 8.5_Fattening'!W15</f>
        <v>6060015.5</v>
      </c>
      <c r="X14" s="33">
        <f>'RCP 8.5_Fattening'!X15</f>
        <v>3293750</v>
      </c>
      <c r="Y14" s="33">
        <f>'RCP 8.5_Fattening'!Y15</f>
        <v>988125</v>
      </c>
      <c r="Z14" s="33">
        <f>'RCP 8.5_Fattening'!Z15</f>
        <v>356471.5</v>
      </c>
    </row>
    <row r="15" spans="1:26" x14ac:dyDescent="0.25">
      <c r="A15" s="117" t="s">
        <v>54</v>
      </c>
      <c r="B15" s="37">
        <f t="shared" ref="B15:Z15" si="1">SUM(B12:B14)</f>
        <v>0</v>
      </c>
      <c r="C15" s="37">
        <f t="shared" si="1"/>
        <v>3996883.7818181817</v>
      </c>
      <c r="D15" s="37">
        <f t="shared" si="1"/>
        <v>10348509.969545454</v>
      </c>
      <c r="E15" s="37">
        <f t="shared" si="1"/>
        <v>13781195.51886091</v>
      </c>
      <c r="F15" s="37">
        <f t="shared" si="1"/>
        <v>9795567.0125939101</v>
      </c>
      <c r="G15" s="37">
        <f t="shared" si="1"/>
        <v>9007238.5236289389</v>
      </c>
      <c r="H15" s="37">
        <f t="shared" si="1"/>
        <v>8492416.7452288643</v>
      </c>
      <c r="I15" s="37">
        <f t="shared" si="1"/>
        <v>7860603.6806811532</v>
      </c>
      <c r="J15" s="37">
        <f t="shared" si="1"/>
        <v>7863072.8083970565</v>
      </c>
      <c r="K15" s="37">
        <f t="shared" si="1"/>
        <v>8444024.3728446625</v>
      </c>
      <c r="L15" s="37">
        <f t="shared" si="1"/>
        <v>7868085.3845731094</v>
      </c>
      <c r="M15" s="37">
        <f t="shared" si="1"/>
        <v>7870629.3293279316</v>
      </c>
      <c r="N15" s="37">
        <f t="shared" si="1"/>
        <v>8451656.4589848481</v>
      </c>
      <c r="O15" s="37">
        <f t="shared" si="1"/>
        <v>7875793.7915746961</v>
      </c>
      <c r="P15" s="37">
        <f t="shared" si="1"/>
        <v>7878414.820399534</v>
      </c>
      <c r="Q15" s="37">
        <f t="shared" si="1"/>
        <v>8459519.804967165</v>
      </c>
      <c r="R15" s="37">
        <f t="shared" si="1"/>
        <v>7883735.7710168371</v>
      </c>
      <c r="S15" s="37">
        <f t="shared" si="1"/>
        <v>7886436.2196360957</v>
      </c>
      <c r="T15" s="37">
        <f t="shared" si="1"/>
        <v>8467621.4181960933</v>
      </c>
      <c r="U15" s="37">
        <f t="shared" si="1"/>
        <v>7891918.400378054</v>
      </c>
      <c r="V15" s="37">
        <f t="shared" si="1"/>
        <v>7894700.6752909254</v>
      </c>
      <c r="W15" s="37">
        <f t="shared" si="1"/>
        <v>7148665.0647259774</v>
      </c>
      <c r="X15" s="37">
        <f t="shared" si="1"/>
        <v>3975174.4857957731</v>
      </c>
      <c r="Y15" s="37">
        <f t="shared" si="1"/>
        <v>1248096.9786069724</v>
      </c>
      <c r="Z15" s="37">
        <f t="shared" si="1"/>
        <v>385018.375</v>
      </c>
    </row>
    <row r="16" spans="1:26" x14ac:dyDescent="0.25">
      <c r="B16" s="32"/>
      <c r="C16" s="32"/>
      <c r="D16" s="32"/>
      <c r="E16" s="32"/>
      <c r="F16" s="32"/>
      <c r="G16" s="32"/>
      <c r="H16" s="32"/>
      <c r="I16" s="32"/>
      <c r="J16" s="32"/>
      <c r="K16" s="32"/>
      <c r="L16" s="32"/>
    </row>
    <row r="17" spans="1:27" x14ac:dyDescent="0.25">
      <c r="A17" s="23" t="s">
        <v>317</v>
      </c>
      <c r="B17" s="34">
        <f t="shared" ref="B17:Z17" si="2">B9-B15</f>
        <v>0</v>
      </c>
      <c r="C17" s="34">
        <f t="shared" si="2"/>
        <v>-2444002.1536931815</v>
      </c>
      <c r="D17" s="34">
        <f t="shared" si="2"/>
        <v>-5120475.1548579531</v>
      </c>
      <c r="E17" s="34">
        <f t="shared" si="2"/>
        <v>-8041822.9565576212</v>
      </c>
      <c r="F17" s="34">
        <f t="shared" si="2"/>
        <v>337357.78488525748</v>
      </c>
      <c r="G17" s="34">
        <f t="shared" si="2"/>
        <v>1765660.4715857543</v>
      </c>
      <c r="H17" s="34">
        <f t="shared" si="2"/>
        <v>-1535615.2272128146</v>
      </c>
      <c r="I17" s="34">
        <f t="shared" si="2"/>
        <v>3128830.5843373546</v>
      </c>
      <c r="J17" s="34">
        <f t="shared" si="2"/>
        <v>3236255.7992716394</v>
      </c>
      <c r="K17" s="34">
        <f t="shared" si="2"/>
        <v>-1276424.8120312076</v>
      </c>
      <c r="L17" s="34">
        <f t="shared" si="2"/>
        <v>3454339.7281097285</v>
      </c>
      <c r="M17" s="34">
        <f t="shared" si="2"/>
        <v>3565020.0344817322</v>
      </c>
      <c r="N17" s="34">
        <f t="shared" si="2"/>
        <v>-1066871.4638791857</v>
      </c>
      <c r="O17" s="34">
        <f t="shared" si="2"/>
        <v>3789712.1244475432</v>
      </c>
      <c r="P17" s="34">
        <f t="shared" si="2"/>
        <v>3903746.1547829285</v>
      </c>
      <c r="Q17" s="34">
        <f t="shared" si="2"/>
        <v>-850968.4397248067</v>
      </c>
      <c r="R17" s="34">
        <f t="shared" si="2"/>
        <v>4135246.6397667928</v>
      </c>
      <c r="S17" s="34">
        <f t="shared" si="2"/>
        <v>4252736.0152553711</v>
      </c>
      <c r="T17" s="34">
        <f t="shared" si="2"/>
        <v>-628523.33803552296</v>
      </c>
      <c r="U17" s="34">
        <f t="shared" si="2"/>
        <v>4491251.1964347288</v>
      </c>
      <c r="V17" s="34">
        <f t="shared" si="2"/>
        <v>4612300.6174899861</v>
      </c>
      <c r="W17" s="34">
        <f t="shared" si="2"/>
        <v>-264529.06230159104</v>
      </c>
      <c r="X17" s="34">
        <f t="shared" si="2"/>
        <v>2434021.5235871323</v>
      </c>
      <c r="Y17" s="34">
        <f t="shared" si="2"/>
        <v>724799.41223604744</v>
      </c>
      <c r="Z17" s="34">
        <f t="shared" si="2"/>
        <v>40549.653731402883</v>
      </c>
    </row>
    <row r="18" spans="1:27" x14ac:dyDescent="0.25">
      <c r="A18" s="23"/>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row>
    <row r="19" spans="1:27" x14ac:dyDescent="0.25">
      <c r="A19" s="10" t="s">
        <v>319</v>
      </c>
      <c r="B19" s="345">
        <f>B9/(1+Assumption_Hatchery!$C76)^B4</f>
        <v>0</v>
      </c>
      <c r="C19" s="345">
        <f>C9/(1+Assumption_Hatchery!$C76)^C4</f>
        <v>1464982.668042453</v>
      </c>
      <c r="D19" s="345">
        <f>D9/(1+Assumption_Hatchery!$C76)^D4</f>
        <v>4652932.3733423818</v>
      </c>
      <c r="E19" s="345">
        <f>E9/(1+Assumption_Hatchery!$C76)^E4</f>
        <v>4818887.8758163508</v>
      </c>
      <c r="F19" s="345">
        <f>F9/(1+Assumption_Hatchery!$C76)^F4</f>
        <v>8026225.5221506497</v>
      </c>
      <c r="G19" s="345">
        <f>G9/(1+Assumption_Hatchery!$C76)^G4</f>
        <v>8050136.8196347123</v>
      </c>
      <c r="H19" s="345">
        <f>H9/(1+Assumption_Hatchery!$C76)^H4</f>
        <v>4904270.5578721547</v>
      </c>
      <c r="I19" s="345">
        <f>I9/(1+Assumption_Hatchery!$C76)^I4</f>
        <v>7308601.4326356063</v>
      </c>
      <c r="J19" s="345">
        <f>J9/(1+Assumption_Hatchery!$C76)^J4</f>
        <v>6963856.08203959</v>
      </c>
      <c r="K19" s="345">
        <f>K9/(1+Assumption_Hatchery!$C76)^K4</f>
        <v>4242491.1672439659</v>
      </c>
      <c r="L19" s="345">
        <f>L9/(1+Assumption_Hatchery!$C76)^L4</f>
        <v>6322383.0449346621</v>
      </c>
      <c r="M19" s="345">
        <f>M9/(1+Assumption_Hatchery!$C76)^M4</f>
        <v>6024157.4296075525</v>
      </c>
      <c r="N19" s="345">
        <f>N9/(1+Assumption_Hatchery!$C76)^N4</f>
        <v>3670011.8991706436</v>
      </c>
      <c r="O19" s="345">
        <f>O9/(1+Assumption_Hatchery!$C76)^O4</f>
        <v>5469244.387631421</v>
      </c>
      <c r="P19" s="345">
        <f>P9/(1+Assumption_Hatchery!$C76)^P4</f>
        <v>5211261.1617997503</v>
      </c>
      <c r="Q19" s="345">
        <f>Q9/(1+Assumption_Hatchery!$C76)^Q4</f>
        <v>3174782.647527331</v>
      </c>
      <c r="R19" s="345">
        <f>R9/(1+Assumption_Hatchery!$C76)^R4</f>
        <v>4731227.7600141736</v>
      </c>
      <c r="S19" s="345">
        <f>S9/(1+Assumption_Hatchery!$C76)^S4</f>
        <v>4508056.639258788</v>
      </c>
      <c r="T19" s="345">
        <f>T9/(1+Assumption_Hatchery!$C76)^T4</f>
        <v>2746379.3404371217</v>
      </c>
      <c r="U19" s="345">
        <f>U9/(1+Assumption_Hatchery!$C76)^U4</f>
        <v>4092798.6629653685</v>
      </c>
      <c r="V19" s="345">
        <f>V9/(1+Assumption_Hatchery!$C76)^V4</f>
        <v>3899742.1222594553</v>
      </c>
      <c r="W19" s="345">
        <f>W9/(1+Assumption_Hatchery!$C76)^W4</f>
        <v>2025005.7981911276</v>
      </c>
      <c r="X19" s="345">
        <f>X9/(1+Assumption_Hatchery!$C76)^X4</f>
        <v>1778584.5596876268</v>
      </c>
      <c r="Y19" s="345">
        <f>Y9/(1+Assumption_Hatchery!$C76)^Y4</f>
        <v>516498.87182149437</v>
      </c>
      <c r="Z19" s="345">
        <f>Z9/(1+Assumption_Hatchery!$C76)^Z4</f>
        <v>105106.17395349877</v>
      </c>
      <c r="AA19" s="343">
        <f>SUM(B19:Z19)</f>
        <v>104707624.99803789</v>
      </c>
    </row>
    <row r="20" spans="1:27" s="12" customFormat="1" x14ac:dyDescent="0.25">
      <c r="A20" s="10" t="s">
        <v>320</v>
      </c>
      <c r="B20" s="346">
        <f>B15/(1+Assumption_Hatchery!$C76)^'RCP 8.5_CRAB Value'!B4</f>
        <v>0</v>
      </c>
      <c r="C20" s="346">
        <f>C15/(1+Assumption_Hatchery!$C76)^'RCP 8.5_CRAB Value'!C4</f>
        <v>3770645.0771869635</v>
      </c>
      <c r="D20" s="346">
        <f>D15/(1+Assumption_Hatchery!$C76)^'RCP 8.5_CRAB Value'!D4</f>
        <v>9210137.0323473234</v>
      </c>
      <c r="E20" s="346">
        <f>E15/(1+Assumption_Hatchery!$C76)^'RCP 8.5_CRAB Value'!E4</f>
        <v>11570957.500873966</v>
      </c>
      <c r="F20" s="346">
        <f>F15/(1+Assumption_Hatchery!$C76)^'RCP 8.5_CRAB Value'!F4</f>
        <v>7759006.5584990224</v>
      </c>
      <c r="G20" s="346">
        <f>G15/(1+Assumption_Hatchery!$C76)^'RCP 8.5_CRAB Value'!G4</f>
        <v>6730732.6017357204</v>
      </c>
      <c r="H20" s="346">
        <f>H15/(1+Assumption_Hatchery!$C76)^'RCP 8.5_CRAB Value'!H4</f>
        <v>5986818.6983554969</v>
      </c>
      <c r="I20" s="346">
        <f>I15/(1+Assumption_Hatchery!$C76)^'RCP 8.5_CRAB Value'!I4</f>
        <v>5227750.3952029189</v>
      </c>
      <c r="J20" s="346">
        <f>J15/(1+Assumption_Hatchery!$C76)^'RCP 8.5_CRAB Value'!J4</f>
        <v>4933389.1567498324</v>
      </c>
      <c r="K20" s="346">
        <f>K15/(1+Assumption_Hatchery!$C76)^'RCP 8.5_CRAB Value'!K4</f>
        <v>4998005.0522968387</v>
      </c>
      <c r="L20" s="346">
        <f>L15/(1+Assumption_Hatchery!$C76)^'RCP 8.5_CRAB Value'!L4</f>
        <v>4393497.783067801</v>
      </c>
      <c r="M20" s="346">
        <f>M15/(1+Assumption_Hatchery!$C76)^'RCP 8.5_CRAB Value'!M4</f>
        <v>4146149.3476713714</v>
      </c>
      <c r="N20" s="346">
        <f>N15/(1+Assumption_Hatchery!$C76)^'RCP 8.5_CRAB Value'!N4</f>
        <v>4200214.3315931456</v>
      </c>
      <c r="O20" s="346">
        <f>O15/(1+Assumption_Hatchery!$C76)^'RCP 8.5_CRAB Value'!O4</f>
        <v>3692479.4606250641</v>
      </c>
      <c r="P20" s="346">
        <f>P15/(1+Assumption_Hatchery!$C76)^'RCP 8.5_CRAB Value'!P4</f>
        <v>3484630.4728458212</v>
      </c>
      <c r="Q20" s="346">
        <f>Q15/(1+Assumption_Hatchery!$C76)^'RCP 8.5_CRAB Value'!Q4</f>
        <v>3529862.0452131308</v>
      </c>
      <c r="R20" s="346">
        <f>R15/(1+Assumption_Hatchery!$C76)^'RCP 8.5_CRAB Value'!R4</f>
        <v>3103403.2880342393</v>
      </c>
      <c r="S20" s="346">
        <f>S15/(1+Assumption_Hatchery!$C76)^'RCP 8.5_CRAB Value'!S4</f>
        <v>2928741.8015071386</v>
      </c>
      <c r="T20" s="346">
        <f>T15/(1+Assumption_Hatchery!$C76)^'RCP 8.5_CRAB Value'!T4</f>
        <v>2966578.5894976691</v>
      </c>
      <c r="U20" s="346">
        <f>U15/(1+Assumption_Hatchery!$C76)^'RCP 8.5_CRAB Value'!U4</f>
        <v>2608381.7091233707</v>
      </c>
      <c r="V20" s="346">
        <f>V15/(1+Assumption_Hatchery!$C76)^'RCP 8.5_CRAB Value'!V4</f>
        <v>2461604.9879064723</v>
      </c>
      <c r="W20" s="346">
        <f>W15/(1+Assumption_Hatchery!$C76)^'RCP 8.5_CRAB Value'!W4</f>
        <v>2102818.4510443159</v>
      </c>
      <c r="X20" s="346">
        <f>X15/(1+Assumption_Hatchery!$C76)^'RCP 8.5_CRAB Value'!X4</f>
        <v>1103131.1809078685</v>
      </c>
      <c r="Y20" s="346">
        <f>Y15/(1+Assumption_Hatchery!$C76)^'RCP 8.5_CRAB Value'!Y4</f>
        <v>326748.37075395614</v>
      </c>
      <c r="Z20" s="346">
        <f>Z15/(1+Assumption_Hatchery!$C76)^'RCP 8.5_CRAB Value'!Z4</f>
        <v>95091.279339465284</v>
      </c>
      <c r="AA20" s="343">
        <f>SUM(B20:Z20)</f>
        <v>101330775.17237894</v>
      </c>
    </row>
    <row r="21" spans="1:27" x14ac:dyDescent="0.25">
      <c r="B21" s="32"/>
      <c r="C21" s="32"/>
      <c r="D21" s="32"/>
      <c r="E21" s="32"/>
      <c r="F21" s="32"/>
      <c r="G21" s="32"/>
      <c r="H21" s="32"/>
      <c r="I21" s="32"/>
      <c r="J21" s="32"/>
      <c r="K21" s="32"/>
      <c r="L21" s="32"/>
    </row>
    <row r="22" spans="1:27" s="12" customFormat="1" x14ac:dyDescent="0.25">
      <c r="A22" s="25" t="s">
        <v>318</v>
      </c>
      <c r="B22" s="35">
        <f>NPV(Assumption_Hatchery!C76,C17:Z17)+B17</f>
        <v>3376849.8256589686</v>
      </c>
      <c r="C22" s="40"/>
      <c r="D22" s="40"/>
      <c r="E22" s="40"/>
      <c r="F22" s="40"/>
      <c r="G22" s="40"/>
      <c r="H22" s="40"/>
      <c r="I22" s="40"/>
      <c r="J22" s="40"/>
      <c r="K22" s="40"/>
      <c r="L22" s="40"/>
    </row>
    <row r="24" spans="1:27" s="12" customFormat="1" x14ac:dyDescent="0.25">
      <c r="A24" s="25" t="s">
        <v>238</v>
      </c>
      <c r="B24" s="36">
        <f>IRR(B17:Z17)</f>
        <v>8.2322029226221005E-2</v>
      </c>
      <c r="C24" s="4"/>
      <c r="D24" s="4"/>
      <c r="E24" s="4"/>
      <c r="F24" s="4"/>
      <c r="G24" s="4"/>
      <c r="H24" s="4"/>
      <c r="I24" s="4"/>
      <c r="J24" s="4"/>
      <c r="K24" s="4"/>
      <c r="L24" s="4"/>
    </row>
    <row r="27" spans="1:27" s="1" customFormat="1" x14ac:dyDescent="0.25">
      <c r="A27" s="24"/>
      <c r="B27" s="42"/>
      <c r="C27" s="42"/>
      <c r="D27" s="42"/>
      <c r="E27" s="42"/>
      <c r="F27" s="42"/>
      <c r="G27" s="42"/>
      <c r="H27" s="42"/>
      <c r="I27" s="42"/>
      <c r="J27" s="42"/>
      <c r="K27" s="42"/>
      <c r="L27" s="42"/>
    </row>
    <row r="29" spans="1:27" ht="38.25" customHeight="1" x14ac:dyDescent="0.25">
      <c r="A29" s="11" t="str">
        <f>A2</f>
        <v>Aggregate Economic Analysis</v>
      </c>
      <c r="B29" s="30"/>
      <c r="C29" s="69"/>
      <c r="D29" s="70"/>
      <c r="E29" s="30"/>
      <c r="F29" s="116" t="s">
        <v>90</v>
      </c>
      <c r="G29" s="30"/>
      <c r="H29" s="30"/>
      <c r="I29" s="30"/>
      <c r="J29" s="30"/>
      <c r="K29" s="30"/>
      <c r="L29" s="30"/>
      <c r="M29" s="11"/>
    </row>
    <row r="30" spans="1:27" ht="38.25" customHeight="1" x14ac:dyDescent="0.25">
      <c r="A30" s="11"/>
      <c r="B30" s="30"/>
      <c r="C30" s="69"/>
      <c r="D30" s="70"/>
      <c r="E30" s="30"/>
      <c r="F30" s="116"/>
      <c r="G30" s="30"/>
      <c r="H30" s="30"/>
      <c r="I30" s="30"/>
      <c r="J30" s="30"/>
      <c r="K30" s="30"/>
      <c r="L30" s="30"/>
      <c r="M30" s="11"/>
    </row>
    <row r="31" spans="1:27" x14ac:dyDescent="0.25">
      <c r="A31" s="10" t="s">
        <v>19</v>
      </c>
      <c r="B31" s="26">
        <v>0</v>
      </c>
      <c r="C31" s="26">
        <v>1</v>
      </c>
      <c r="D31" s="26">
        <v>2</v>
      </c>
      <c r="E31" s="26">
        <v>3</v>
      </c>
      <c r="F31" s="26">
        <v>4</v>
      </c>
      <c r="G31" s="26">
        <v>5</v>
      </c>
      <c r="H31" s="26">
        <v>6</v>
      </c>
      <c r="I31" s="26">
        <v>7</v>
      </c>
      <c r="J31" s="26">
        <v>8</v>
      </c>
      <c r="K31" s="26">
        <v>9</v>
      </c>
      <c r="L31" s="26">
        <v>10</v>
      </c>
      <c r="M31" s="26">
        <v>11</v>
      </c>
      <c r="N31" s="26">
        <v>12</v>
      </c>
      <c r="O31" s="26">
        <v>13</v>
      </c>
      <c r="P31" s="26">
        <v>14</v>
      </c>
      <c r="Q31" s="26">
        <v>15</v>
      </c>
      <c r="R31" s="26">
        <v>16</v>
      </c>
      <c r="S31" s="26">
        <v>17</v>
      </c>
      <c r="T31" s="26">
        <v>18</v>
      </c>
      <c r="U31" s="26">
        <v>19</v>
      </c>
      <c r="V31" s="26">
        <v>20</v>
      </c>
      <c r="W31" s="26">
        <v>21</v>
      </c>
      <c r="X31" s="26">
        <v>22</v>
      </c>
      <c r="Y31" s="26">
        <v>23</v>
      </c>
      <c r="Z31" s="26">
        <v>24</v>
      </c>
    </row>
    <row r="32" spans="1:27" x14ac:dyDescent="0.25">
      <c r="A32" s="23" t="s">
        <v>3</v>
      </c>
    </row>
    <row r="33" spans="1:27" x14ac:dyDescent="0.25">
      <c r="A33" s="10" t="s">
        <v>51</v>
      </c>
      <c r="B33" s="31">
        <f t="shared" ref="B33:Z33" si="3">B6</f>
        <v>0</v>
      </c>
      <c r="C33" s="31">
        <f t="shared" si="3"/>
        <v>1552881.6281250003</v>
      </c>
      <c r="D33" s="31">
        <f t="shared" si="3"/>
        <v>5228034.8146875007</v>
      </c>
      <c r="E33" s="31">
        <f t="shared" si="3"/>
        <v>5739372.5623032888</v>
      </c>
      <c r="F33" s="31">
        <f t="shared" si="3"/>
        <v>10132924.797479168</v>
      </c>
      <c r="G33" s="31">
        <f t="shared" si="3"/>
        <v>10772898.995214693</v>
      </c>
      <c r="H33" s="31">
        <f t="shared" si="3"/>
        <v>6956801.5180160496</v>
      </c>
      <c r="I33" s="31">
        <f t="shared" si="3"/>
        <v>10989434.265018508</v>
      </c>
      <c r="J33" s="31">
        <f t="shared" si="3"/>
        <v>11099328.607668696</v>
      </c>
      <c r="K33" s="31">
        <f t="shared" si="3"/>
        <v>7167599.5608134549</v>
      </c>
      <c r="L33" s="31">
        <f t="shared" si="3"/>
        <v>11322425.112682838</v>
      </c>
      <c r="M33" s="31">
        <f t="shared" si="3"/>
        <v>11435649.363809664</v>
      </c>
      <c r="N33" s="31">
        <f t="shared" si="3"/>
        <v>7384784.9951056624</v>
      </c>
      <c r="O33" s="31">
        <f t="shared" si="3"/>
        <v>11665505.916022239</v>
      </c>
      <c r="P33" s="31">
        <f t="shared" si="3"/>
        <v>11782160.975182462</v>
      </c>
      <c r="Q33" s="31">
        <f t="shared" si="3"/>
        <v>7608551.3652423583</v>
      </c>
      <c r="R33" s="31">
        <f t="shared" si="3"/>
        <v>12018982.41078363</v>
      </c>
      <c r="S33" s="31">
        <f t="shared" si="3"/>
        <v>12139172.234891467</v>
      </c>
      <c r="T33" s="31">
        <f t="shared" si="3"/>
        <v>7839098.0801605703</v>
      </c>
      <c r="U33" s="31">
        <f t="shared" si="3"/>
        <v>12383169.596812783</v>
      </c>
      <c r="V33" s="31">
        <f t="shared" si="3"/>
        <v>12507001.292780912</v>
      </c>
      <c r="W33" s="31">
        <f t="shared" si="3"/>
        <v>6865136.0024243863</v>
      </c>
      <c r="X33" s="31">
        <f t="shared" si="3"/>
        <v>6379196.0093829054</v>
      </c>
      <c r="Y33" s="31">
        <f t="shared" si="3"/>
        <v>1932896.3908430198</v>
      </c>
      <c r="Z33" s="31">
        <f t="shared" si="3"/>
        <v>416068.02873140288</v>
      </c>
    </row>
    <row r="34" spans="1:27" x14ac:dyDescent="0.25">
      <c r="A34" s="10" t="s">
        <v>52</v>
      </c>
      <c r="B34" s="31">
        <f t="shared" ref="B34:Z34" si="4">B7</f>
        <v>0</v>
      </c>
      <c r="C34" s="31">
        <f t="shared" si="4"/>
        <v>0</v>
      </c>
      <c r="D34" s="31">
        <f t="shared" si="4"/>
        <v>0</v>
      </c>
      <c r="E34" s="31">
        <f t="shared" si="4"/>
        <v>0</v>
      </c>
      <c r="F34" s="31">
        <f t="shared" si="4"/>
        <v>0</v>
      </c>
      <c r="G34" s="31">
        <f t="shared" si="4"/>
        <v>0</v>
      </c>
      <c r="H34" s="31">
        <f t="shared" si="4"/>
        <v>0</v>
      </c>
      <c r="I34" s="31">
        <f t="shared" si="4"/>
        <v>0</v>
      </c>
      <c r="J34" s="31">
        <f t="shared" si="4"/>
        <v>0</v>
      </c>
      <c r="K34" s="31">
        <f t="shared" si="4"/>
        <v>0</v>
      </c>
      <c r="L34" s="31">
        <f t="shared" si="4"/>
        <v>0</v>
      </c>
      <c r="M34" s="31">
        <f t="shared" si="4"/>
        <v>0</v>
      </c>
      <c r="N34" s="31">
        <f t="shared" si="4"/>
        <v>0</v>
      </c>
      <c r="O34" s="31">
        <f t="shared" si="4"/>
        <v>0</v>
      </c>
      <c r="P34" s="31">
        <f t="shared" si="4"/>
        <v>0</v>
      </c>
      <c r="Q34" s="31">
        <f t="shared" si="4"/>
        <v>0</v>
      </c>
      <c r="R34" s="31">
        <f t="shared" si="4"/>
        <v>0</v>
      </c>
      <c r="S34" s="31">
        <f t="shared" si="4"/>
        <v>0</v>
      </c>
      <c r="T34" s="31">
        <f t="shared" si="4"/>
        <v>0</v>
      </c>
      <c r="U34" s="31">
        <f t="shared" si="4"/>
        <v>0</v>
      </c>
      <c r="V34" s="31">
        <f t="shared" si="4"/>
        <v>0</v>
      </c>
      <c r="W34" s="31">
        <f t="shared" si="4"/>
        <v>19000</v>
      </c>
      <c r="X34" s="31">
        <f t="shared" si="4"/>
        <v>30000</v>
      </c>
      <c r="Y34" s="31">
        <f t="shared" si="4"/>
        <v>40000</v>
      </c>
      <c r="Z34" s="31">
        <f t="shared" si="4"/>
        <v>9500</v>
      </c>
    </row>
    <row r="35" spans="1:27" s="377" customFormat="1" x14ac:dyDescent="0.25">
      <c r="A35" s="376" t="str">
        <f>'RCP 4.5_CRAB Value'!A35</f>
        <v>Biodiversity/Ecosystem services</v>
      </c>
      <c r="B35" s="136">
        <f>'RCP 4.5_CRAB Value'!B35</f>
        <v>0</v>
      </c>
      <c r="C35" s="136">
        <f>'RCP 4.5_CRAB Value'!C35</f>
        <v>100</v>
      </c>
      <c r="D35" s="136">
        <f>'RCP 4.5_CRAB Value'!D35</f>
        <v>100</v>
      </c>
      <c r="E35" s="136">
        <f>'RCP 4.5_CRAB Value'!E35</f>
        <v>100</v>
      </c>
      <c r="F35" s="136">
        <f>'RCP 4.5_CRAB Value'!F35</f>
        <v>100</v>
      </c>
      <c r="G35" s="136">
        <f>'RCP 4.5_CRAB Value'!G35</f>
        <v>100</v>
      </c>
      <c r="H35" s="136">
        <f>'RCP 4.5_CRAB Value'!H35</f>
        <v>100</v>
      </c>
      <c r="I35" s="136">
        <f>'RCP 4.5_CRAB Value'!I35</f>
        <v>100</v>
      </c>
      <c r="J35" s="136">
        <f>'RCP 4.5_CRAB Value'!J35</f>
        <v>100</v>
      </c>
      <c r="K35" s="136">
        <f>'RCP 4.5_CRAB Value'!K35</f>
        <v>100</v>
      </c>
      <c r="L35" s="136">
        <f>'RCP 4.5_CRAB Value'!L35</f>
        <v>100</v>
      </c>
      <c r="M35" s="136">
        <f>'RCP 4.5_CRAB Value'!M35</f>
        <v>100</v>
      </c>
      <c r="N35" s="136">
        <f>'RCP 4.5_CRAB Value'!N35</f>
        <v>100</v>
      </c>
      <c r="O35" s="136">
        <f>'RCP 4.5_CRAB Value'!O35</f>
        <v>100</v>
      </c>
      <c r="P35" s="136">
        <f>'RCP 4.5_CRAB Value'!P35</f>
        <v>100</v>
      </c>
      <c r="Q35" s="136">
        <f>'RCP 4.5_CRAB Value'!Q35</f>
        <v>100</v>
      </c>
      <c r="R35" s="136">
        <f>'RCP 4.5_CRAB Value'!R35</f>
        <v>100</v>
      </c>
      <c r="S35" s="136">
        <f>'RCP 4.5_CRAB Value'!S35</f>
        <v>100</v>
      </c>
      <c r="T35" s="136">
        <f>'RCP 4.5_CRAB Value'!T35</f>
        <v>100</v>
      </c>
      <c r="U35" s="136">
        <f>'RCP 4.5_CRAB Value'!U35</f>
        <v>100</v>
      </c>
      <c r="V35" s="136">
        <f>'RCP 4.5_CRAB Value'!V35</f>
        <v>100</v>
      </c>
      <c r="W35" s="136">
        <f>'RCP 4.5_CRAB Value'!W35</f>
        <v>100</v>
      </c>
      <c r="X35" s="136">
        <f>'RCP 4.5_CRAB Value'!X35</f>
        <v>100</v>
      </c>
      <c r="Y35" s="136">
        <f>'RCP 4.5_CRAB Value'!Y35</f>
        <v>100</v>
      </c>
      <c r="Z35" s="136">
        <f>'RCP 4.5_CRAB Value'!Z35</f>
        <v>100</v>
      </c>
    </row>
    <row r="36" spans="1:27" s="377" customFormat="1" x14ac:dyDescent="0.25">
      <c r="A36" s="376" t="str">
        <f>'RCP 4.5_CRAB Value'!A36</f>
        <v>Employment generation in the value chain</v>
      </c>
      <c r="B36" s="136">
        <f>'RCP 4.5_CRAB Value'!B36</f>
        <v>0</v>
      </c>
      <c r="C36" s="136">
        <f>'RCP 4.5_CRAB Value'!C36</f>
        <v>25</v>
      </c>
      <c r="D36" s="136">
        <f>'RCP 4.5_CRAB Value'!D36</f>
        <v>25</v>
      </c>
      <c r="E36" s="136">
        <f>'RCP 4.5_CRAB Value'!E36</f>
        <v>25</v>
      </c>
      <c r="F36" s="136">
        <f>'RCP 4.5_CRAB Value'!F36</f>
        <v>25</v>
      </c>
      <c r="G36" s="136">
        <f>'RCP 4.5_CRAB Value'!G36</f>
        <v>25</v>
      </c>
      <c r="H36" s="136">
        <f>'RCP 4.5_CRAB Value'!H36</f>
        <v>25</v>
      </c>
      <c r="I36" s="136">
        <f>'RCP 4.5_CRAB Value'!I36</f>
        <v>25</v>
      </c>
      <c r="J36" s="136">
        <f>'RCP 4.5_CRAB Value'!J36</f>
        <v>25</v>
      </c>
      <c r="K36" s="136">
        <f>'RCP 4.5_CRAB Value'!K36</f>
        <v>25</v>
      </c>
      <c r="L36" s="136">
        <f>'RCP 4.5_CRAB Value'!L36</f>
        <v>25</v>
      </c>
      <c r="M36" s="136">
        <f>'RCP 4.5_CRAB Value'!M36</f>
        <v>25</v>
      </c>
      <c r="N36" s="136">
        <f>'RCP 4.5_CRAB Value'!N36</f>
        <v>25</v>
      </c>
      <c r="O36" s="136">
        <f>'RCP 4.5_CRAB Value'!O36</f>
        <v>25</v>
      </c>
      <c r="P36" s="136">
        <f>'RCP 4.5_CRAB Value'!P36</f>
        <v>25</v>
      </c>
      <c r="Q36" s="136">
        <f>'RCP 4.5_CRAB Value'!Q36</f>
        <v>25</v>
      </c>
      <c r="R36" s="136">
        <f>'RCP 4.5_CRAB Value'!R36</f>
        <v>25</v>
      </c>
      <c r="S36" s="136">
        <f>'RCP 4.5_CRAB Value'!S36</f>
        <v>25</v>
      </c>
      <c r="T36" s="136">
        <f>'RCP 4.5_CRAB Value'!T36</f>
        <v>25</v>
      </c>
      <c r="U36" s="136">
        <f>'RCP 4.5_CRAB Value'!U36</f>
        <v>25</v>
      </c>
      <c r="V36" s="136">
        <f>'RCP 4.5_CRAB Value'!V36</f>
        <v>25</v>
      </c>
      <c r="W36" s="136">
        <f>'RCP 4.5_CRAB Value'!W36</f>
        <v>25</v>
      </c>
      <c r="X36" s="136">
        <f>'RCP 4.5_CRAB Value'!X36</f>
        <v>25</v>
      </c>
      <c r="Y36" s="136">
        <f>'RCP 4.5_CRAB Value'!Y36</f>
        <v>25</v>
      </c>
      <c r="Z36" s="136">
        <f>'RCP 4.5_CRAB Value'!Z36</f>
        <v>25</v>
      </c>
    </row>
    <row r="37" spans="1:27" s="12" customFormat="1" x14ac:dyDescent="0.25">
      <c r="A37" s="23" t="s">
        <v>53</v>
      </c>
      <c r="B37" s="38">
        <f>SUM(B33:B36)</f>
        <v>0</v>
      </c>
      <c r="C37" s="38">
        <f t="shared" ref="C37:Z37" si="5">SUM(C33:C36)</f>
        <v>1553006.6281250003</v>
      </c>
      <c r="D37" s="38">
        <f t="shared" si="5"/>
        <v>5228159.8146875007</v>
      </c>
      <c r="E37" s="38">
        <f t="shared" si="5"/>
        <v>5739497.5623032888</v>
      </c>
      <c r="F37" s="38">
        <f t="shared" si="5"/>
        <v>10133049.797479168</v>
      </c>
      <c r="G37" s="38">
        <f t="shared" si="5"/>
        <v>10773023.995214693</v>
      </c>
      <c r="H37" s="38">
        <f t="shared" si="5"/>
        <v>6956926.5180160496</v>
      </c>
      <c r="I37" s="38">
        <f t="shared" si="5"/>
        <v>10989559.265018508</v>
      </c>
      <c r="J37" s="38">
        <f t="shared" si="5"/>
        <v>11099453.607668696</v>
      </c>
      <c r="K37" s="38">
        <f t="shared" si="5"/>
        <v>7167724.5608134549</v>
      </c>
      <c r="L37" s="38">
        <f t="shared" si="5"/>
        <v>11322550.112682838</v>
      </c>
      <c r="M37" s="38">
        <f t="shared" si="5"/>
        <v>11435774.363809664</v>
      </c>
      <c r="N37" s="38">
        <f t="shared" si="5"/>
        <v>7384909.9951056624</v>
      </c>
      <c r="O37" s="38">
        <f t="shared" si="5"/>
        <v>11665630.916022239</v>
      </c>
      <c r="P37" s="38">
        <f t="shared" si="5"/>
        <v>11782285.975182462</v>
      </c>
      <c r="Q37" s="38">
        <f t="shared" si="5"/>
        <v>7608676.3652423583</v>
      </c>
      <c r="R37" s="38">
        <f t="shared" si="5"/>
        <v>12019107.41078363</v>
      </c>
      <c r="S37" s="38">
        <f t="shared" si="5"/>
        <v>12139297.234891467</v>
      </c>
      <c r="T37" s="38">
        <f t="shared" si="5"/>
        <v>7839223.0801605703</v>
      </c>
      <c r="U37" s="38">
        <f t="shared" si="5"/>
        <v>12383294.596812783</v>
      </c>
      <c r="V37" s="38">
        <f t="shared" si="5"/>
        <v>12507126.292780912</v>
      </c>
      <c r="W37" s="38">
        <f t="shared" si="5"/>
        <v>6884261.0024243863</v>
      </c>
      <c r="X37" s="38">
        <f t="shared" si="5"/>
        <v>6409321.0093829054</v>
      </c>
      <c r="Y37" s="38">
        <f t="shared" si="5"/>
        <v>1973021.3908430198</v>
      </c>
      <c r="Z37" s="38">
        <f t="shared" si="5"/>
        <v>425693.02873140288</v>
      </c>
    </row>
    <row r="38" spans="1:27" x14ac:dyDescent="0.25">
      <c r="A38" s="23"/>
      <c r="B38" s="41"/>
      <c r="C38" s="41"/>
      <c r="D38" s="41"/>
      <c r="E38" s="41"/>
      <c r="F38" s="41"/>
      <c r="G38" s="41"/>
      <c r="H38" s="41"/>
      <c r="I38" s="41"/>
      <c r="J38" s="41"/>
      <c r="K38" s="41"/>
    </row>
    <row r="39" spans="1:27" x14ac:dyDescent="0.25">
      <c r="A39" s="23" t="s">
        <v>20</v>
      </c>
    </row>
    <row r="40" spans="1:27" x14ac:dyDescent="0.25">
      <c r="A40" s="9" t="str">
        <f>A12</f>
        <v>Crab Hatchery</v>
      </c>
      <c r="B40" s="33">
        <f>'RCP 8.5_Hatchery'!B52</f>
        <v>0</v>
      </c>
      <c r="C40" s="33">
        <f>'RCP 8.5_Hatchery'!C52</f>
        <v>165338.78181818183</v>
      </c>
      <c r="D40" s="33">
        <f>'RCP 8.5_Hatchery'!D52</f>
        <v>377649.46954545454</v>
      </c>
      <c r="E40" s="33">
        <f>'RCP 8.5_Hatchery'!E52</f>
        <v>676266.95086090907</v>
      </c>
      <c r="F40" s="33">
        <f>'RCP 8.5_Hatchery'!F52</f>
        <v>605115.17049390904</v>
      </c>
      <c r="G40" s="33">
        <f>'RCP 8.5_Hatchery'!G52</f>
        <v>503826.41310793906</v>
      </c>
      <c r="H40" s="33">
        <f>'RCP 8.5_Hatchery'!H52</f>
        <v>436789.38860265486</v>
      </c>
      <c r="I40" s="33">
        <f>'RCP 8.5_Hatchery'!I52</f>
        <v>377955.25673868135</v>
      </c>
      <c r="J40" s="33">
        <f>'RCP 8.5_Hatchery'!J52</f>
        <v>378172.90021515911</v>
      </c>
      <c r="K40" s="33">
        <f>'RCP 8.5_Hatchery'!K52</f>
        <v>412642.34058094706</v>
      </c>
      <c r="L40" s="33">
        <f>'RCP 8.5_Hatchery'!L52</f>
        <v>378614.73823675653</v>
      </c>
      <c r="M40" s="33">
        <f>'RCP 8.5_Hatchery'!M52</f>
        <v>378838.97652821499</v>
      </c>
      <c r="N40" s="33">
        <f>'RCP 8.5_Hatchery'!N52</f>
        <v>413315.07765713352</v>
      </c>
      <c r="O40" s="33">
        <f>'RCP 8.5_Hatchery'!O52</f>
        <v>379294.20268370485</v>
      </c>
      <c r="P40" s="33">
        <f>'RCP 8.5_Hatchery'!P52</f>
        <v>379525.23561963282</v>
      </c>
      <c r="Q40" s="33">
        <f>'RCP 8.5_Hatchery'!Q52</f>
        <v>414008.19933946553</v>
      </c>
      <c r="R40" s="33">
        <f>'RCP 8.5_Hatchery'!R52</f>
        <v>379994.25558286015</v>
      </c>
      <c r="S40" s="33">
        <f>'RCP 8.5_Hatchery'!S52</f>
        <v>380232.28904777963</v>
      </c>
      <c r="T40" s="33">
        <f>'RCP 8.5_Hatchery'!T52</f>
        <v>414722.32330189383</v>
      </c>
      <c r="U40" s="33">
        <f>'RCP 8.5_Hatchery'!U52</f>
        <v>380715.52078491275</v>
      </c>
      <c r="V40" s="33">
        <f>'RCP 8.5_Hatchery'!V52</f>
        <v>380960.7669018528</v>
      </c>
      <c r="W40" s="33">
        <f>'RCP 8.5_Hatchery'!W52</f>
        <v>343785.21874760615</v>
      </c>
      <c r="X40" s="33">
        <f>'RCP 8.5_Hatchery'!X52</f>
        <v>215729.32052192639</v>
      </c>
      <c r="Y40" s="33">
        <f>'RCP 8.5_Hatchery'!Y52</f>
        <v>73171.131836338231</v>
      </c>
      <c r="Z40" s="33">
        <f>'RCP 8.5_Hatchery'!Z52</f>
        <v>28546.874999999996</v>
      </c>
    </row>
    <row r="41" spans="1:27" x14ac:dyDescent="0.25">
      <c r="A41" s="9" t="str">
        <f>A13</f>
        <v>Crab Nursery</v>
      </c>
      <c r="B41" s="33">
        <f>'RCP 8.5_Nursery'!B45</f>
        <v>0</v>
      </c>
      <c r="C41" s="33">
        <f>'RCP 8.5_Nursery'!C45</f>
        <v>201220</v>
      </c>
      <c r="D41" s="33">
        <f>'RCP 8.5_Nursery'!D45</f>
        <v>479310.5</v>
      </c>
      <c r="E41" s="33">
        <f>'RCP 8.5_Nursery'!E45</f>
        <v>748113.06799999997</v>
      </c>
      <c r="F41" s="33">
        <f>'RCP 8.5_Nursery'!F45</f>
        <v>913326.84210000001</v>
      </c>
      <c r="G41" s="33">
        <f>'RCP 8.5_Nursery'!G45</f>
        <v>890712.110521</v>
      </c>
      <c r="H41" s="33">
        <f>'RCP 8.5_Nursery'!H45</f>
        <v>895197.35662621004</v>
      </c>
      <c r="I41" s="33">
        <f>'RCP 8.5_Nursery'!I45</f>
        <v>895148.42394247209</v>
      </c>
      <c r="J41" s="33">
        <f>'RCP 8.5_Nursery'!J45</f>
        <v>897399.9081818969</v>
      </c>
      <c r="K41" s="33">
        <f>'RCP 8.5_Nursery'!K45</f>
        <v>901952.03226371575</v>
      </c>
      <c r="L41" s="33">
        <f>'RCP 8.5_Nursery'!L45</f>
        <v>901970.64633635292</v>
      </c>
      <c r="M41" s="33">
        <f>'RCP 8.5_Nursery'!M45</f>
        <v>904290.35279971652</v>
      </c>
      <c r="N41" s="33">
        <f>'RCP 8.5_Nursery'!N45</f>
        <v>908911.38132771361</v>
      </c>
      <c r="O41" s="33">
        <f>'RCP 8.5_Nursery'!O45</f>
        <v>908999.58889099082</v>
      </c>
      <c r="P41" s="33">
        <f>'RCP 8.5_Nursery'!P45</f>
        <v>911389.58477990073</v>
      </c>
      <c r="Q41" s="33">
        <f>'RCP 8.5_Nursery'!Q45</f>
        <v>916081.60562769976</v>
      </c>
      <c r="R41" s="33">
        <f>'RCP 8.5_Nursery'!R45</f>
        <v>916241.51543397678</v>
      </c>
      <c r="S41" s="33">
        <f>'RCP 8.5_Nursery'!S45</f>
        <v>918703.93058831652</v>
      </c>
      <c r="T41" s="33">
        <f>'RCP 8.5_Nursery'!T45</f>
        <v>923469.09489419963</v>
      </c>
      <c r="U41" s="33">
        <f>'RCP 8.5_Nursery'!U45</f>
        <v>923702.87959314161</v>
      </c>
      <c r="V41" s="33">
        <f>'RCP 8.5_Nursery'!V45</f>
        <v>926239.9083890731</v>
      </c>
      <c r="W41" s="33">
        <f>'RCP 8.5_Nursery'!W45</f>
        <v>744864.34597837098</v>
      </c>
      <c r="X41" s="33">
        <f>'RCP 8.5_Nursery'!X45</f>
        <v>465695.16527384677</v>
      </c>
      <c r="Y41" s="33">
        <f>'RCP 8.5_Nursery'!Y45</f>
        <v>186800.84677063406</v>
      </c>
      <c r="Z41" s="33">
        <f>'RCP 8.5_Nursery'!Z45</f>
        <v>0</v>
      </c>
    </row>
    <row r="42" spans="1:27" x14ac:dyDescent="0.25">
      <c r="A42" s="9" t="str">
        <f>A14</f>
        <v>Crab Fattening</v>
      </c>
      <c r="B42" s="33">
        <f>'RCP 8.5_Fattening'!B42</f>
        <v>0</v>
      </c>
      <c r="C42" s="33">
        <f>'RCP 8.5_Fattening'!C42</f>
        <v>2464725</v>
      </c>
      <c r="D42" s="33">
        <f>'RCP 8.5_Fattening'!D42</f>
        <v>6739150</v>
      </c>
      <c r="E42" s="33">
        <f>'RCP 8.5_Fattening'!E42</f>
        <v>9505415.5</v>
      </c>
      <c r="F42" s="33">
        <f>'RCP 8.5_Fattening'!F42</f>
        <v>7242525</v>
      </c>
      <c r="G42" s="33">
        <f>'RCP 8.5_Fattening'!G42</f>
        <v>7079700</v>
      </c>
      <c r="H42" s="33">
        <f>'RCP 8.5_Fattening'!H42</f>
        <v>7129430</v>
      </c>
      <c r="I42" s="33">
        <f>'RCP 8.5_Fattening'!I42</f>
        <v>6587500</v>
      </c>
      <c r="J42" s="33">
        <f>'RCP 8.5_Fattening'!J42</f>
        <v>6587500</v>
      </c>
      <c r="K42" s="33">
        <f>'RCP 8.5_Fattening'!K42</f>
        <v>7129430</v>
      </c>
      <c r="L42" s="33">
        <f>'RCP 8.5_Fattening'!L42</f>
        <v>6587500</v>
      </c>
      <c r="M42" s="33">
        <f>'RCP 8.5_Fattening'!M42</f>
        <v>6587500</v>
      </c>
      <c r="N42" s="33">
        <f>'RCP 8.5_Fattening'!N42</f>
        <v>7129430</v>
      </c>
      <c r="O42" s="33">
        <f>'RCP 8.5_Fattening'!O42</f>
        <v>6587500</v>
      </c>
      <c r="P42" s="33">
        <f>'RCP 8.5_Fattening'!P42</f>
        <v>6587500</v>
      </c>
      <c r="Q42" s="33">
        <f>'RCP 8.5_Fattening'!Q42</f>
        <v>7129430</v>
      </c>
      <c r="R42" s="33">
        <f>'RCP 8.5_Fattening'!R42</f>
        <v>6587500</v>
      </c>
      <c r="S42" s="33">
        <f>'RCP 8.5_Fattening'!S42</f>
        <v>6587500</v>
      </c>
      <c r="T42" s="33">
        <f>'RCP 8.5_Fattening'!T42</f>
        <v>7129430</v>
      </c>
      <c r="U42" s="33">
        <f>'RCP 8.5_Fattening'!U42</f>
        <v>6587500</v>
      </c>
      <c r="V42" s="33">
        <f>'RCP 8.5_Fattening'!V42</f>
        <v>6587500</v>
      </c>
      <c r="W42" s="33">
        <f>'RCP 8.5_Fattening'!W42</f>
        <v>6060015.5</v>
      </c>
      <c r="X42" s="33">
        <f>'RCP 8.5_Fattening'!X42</f>
        <v>3293750</v>
      </c>
      <c r="Y42" s="33">
        <f>'RCP 8.5_Fattening'!Y42</f>
        <v>988125</v>
      </c>
      <c r="Z42" s="33">
        <f>'RCP 8.5_Fattening'!Z42</f>
        <v>356471.5</v>
      </c>
    </row>
    <row r="43" spans="1:27" s="377" customFormat="1" ht="30" x14ac:dyDescent="0.25">
      <c r="A43" s="121" t="str">
        <f>'RCP 4.5_CRAB Value'!A43</f>
        <v>Opportubity cost for using the crab ponds/farm for fish farming</v>
      </c>
      <c r="B43" s="397">
        <f>'RCP 4.5_CRAB Value'!B43</f>
        <v>0</v>
      </c>
      <c r="C43" s="397">
        <f>'RCP 4.5_CRAB Value'!C43</f>
        <v>1000</v>
      </c>
      <c r="D43" s="397">
        <f>'RCP 4.5_CRAB Value'!D43</f>
        <v>1000</v>
      </c>
      <c r="E43" s="397">
        <f>'RCP 4.5_CRAB Value'!E43</f>
        <v>1000</v>
      </c>
      <c r="F43" s="397">
        <f>'RCP 4.5_CRAB Value'!F43</f>
        <v>1000</v>
      </c>
      <c r="G43" s="397">
        <f>'RCP 4.5_CRAB Value'!G43</f>
        <v>1000</v>
      </c>
      <c r="H43" s="397">
        <f>'RCP 4.5_CRAB Value'!H43</f>
        <v>1000</v>
      </c>
      <c r="I43" s="397">
        <f>'RCP 4.5_CRAB Value'!I43</f>
        <v>1000</v>
      </c>
      <c r="J43" s="397">
        <f>'RCP 4.5_CRAB Value'!J43</f>
        <v>1000</v>
      </c>
      <c r="K43" s="397">
        <f>'RCP 4.5_CRAB Value'!K43</f>
        <v>1000</v>
      </c>
      <c r="L43" s="397">
        <f>'RCP 4.5_CRAB Value'!L43</f>
        <v>1000</v>
      </c>
      <c r="M43" s="397">
        <f>'RCP 4.5_CRAB Value'!M43</f>
        <v>1000</v>
      </c>
      <c r="N43" s="397">
        <f>'RCP 4.5_CRAB Value'!N43</f>
        <v>1000</v>
      </c>
      <c r="O43" s="397">
        <f>'RCP 4.5_CRAB Value'!O43</f>
        <v>1000</v>
      </c>
      <c r="P43" s="397">
        <f>'RCP 4.5_CRAB Value'!P43</f>
        <v>1000</v>
      </c>
      <c r="Q43" s="397">
        <f>'RCP 4.5_CRAB Value'!Q43</f>
        <v>1000</v>
      </c>
      <c r="R43" s="397">
        <f>'RCP 4.5_CRAB Value'!R43</f>
        <v>1000</v>
      </c>
      <c r="S43" s="397">
        <f>'RCP 4.5_CRAB Value'!S43</f>
        <v>1000</v>
      </c>
      <c r="T43" s="397">
        <f>'RCP 4.5_CRAB Value'!T43</f>
        <v>1000</v>
      </c>
      <c r="U43" s="397">
        <f>'RCP 4.5_CRAB Value'!U43</f>
        <v>1000</v>
      </c>
      <c r="V43" s="397">
        <f>'RCP 4.5_CRAB Value'!V43</f>
        <v>1000</v>
      </c>
      <c r="W43" s="397">
        <f>'RCP 4.5_CRAB Value'!W43</f>
        <v>1000</v>
      </c>
      <c r="X43" s="397">
        <f>'RCP 4.5_CRAB Value'!X43</f>
        <v>1000</v>
      </c>
      <c r="Y43" s="397">
        <f>'RCP 4.5_CRAB Value'!Y43</f>
        <v>1000</v>
      </c>
      <c r="Z43" s="397">
        <f>'RCP 4.5_CRAB Value'!Z43</f>
        <v>1000</v>
      </c>
    </row>
    <row r="44" spans="1:27" x14ac:dyDescent="0.25">
      <c r="A44" s="117" t="s">
        <v>54</v>
      </c>
      <c r="B44" s="37">
        <f>SUM(B40:B43)</f>
        <v>0</v>
      </c>
      <c r="C44" s="37">
        <f t="shared" ref="C44:Z44" si="6">SUM(C40:C43)</f>
        <v>2832283.7818181817</v>
      </c>
      <c r="D44" s="37">
        <f t="shared" si="6"/>
        <v>7597109.9695454547</v>
      </c>
      <c r="E44" s="37">
        <f t="shared" si="6"/>
        <v>10930795.51886091</v>
      </c>
      <c r="F44" s="37">
        <f t="shared" si="6"/>
        <v>8761967.0125939101</v>
      </c>
      <c r="G44" s="37">
        <f t="shared" si="6"/>
        <v>8475238.5236289389</v>
      </c>
      <c r="H44" s="37">
        <f t="shared" si="6"/>
        <v>8462416.7452288643</v>
      </c>
      <c r="I44" s="37">
        <f t="shared" si="6"/>
        <v>7861603.6806811532</v>
      </c>
      <c r="J44" s="37">
        <f t="shared" si="6"/>
        <v>7864072.8083970565</v>
      </c>
      <c r="K44" s="37">
        <f t="shared" si="6"/>
        <v>8445024.3728446625</v>
      </c>
      <c r="L44" s="37">
        <f t="shared" si="6"/>
        <v>7869085.3845731094</v>
      </c>
      <c r="M44" s="37">
        <f t="shared" si="6"/>
        <v>7871629.3293279316</v>
      </c>
      <c r="N44" s="37">
        <f t="shared" si="6"/>
        <v>8452656.4589848481</v>
      </c>
      <c r="O44" s="37">
        <f t="shared" si="6"/>
        <v>7876793.7915746961</v>
      </c>
      <c r="P44" s="37">
        <f t="shared" si="6"/>
        <v>7879414.820399534</v>
      </c>
      <c r="Q44" s="37">
        <f t="shared" si="6"/>
        <v>8460519.804967165</v>
      </c>
      <c r="R44" s="37">
        <f t="shared" si="6"/>
        <v>7884735.7710168371</v>
      </c>
      <c r="S44" s="37">
        <f t="shared" si="6"/>
        <v>7887436.2196360957</v>
      </c>
      <c r="T44" s="37">
        <f t="shared" si="6"/>
        <v>8468621.4181960933</v>
      </c>
      <c r="U44" s="37">
        <f t="shared" si="6"/>
        <v>7892918.400378054</v>
      </c>
      <c r="V44" s="37">
        <f t="shared" si="6"/>
        <v>7895700.6752909254</v>
      </c>
      <c r="W44" s="37">
        <f t="shared" si="6"/>
        <v>7149665.0647259774</v>
      </c>
      <c r="X44" s="37">
        <f t="shared" si="6"/>
        <v>3976174.4857957731</v>
      </c>
      <c r="Y44" s="37">
        <f t="shared" si="6"/>
        <v>1249096.9786069724</v>
      </c>
      <c r="Z44" s="37">
        <f t="shared" si="6"/>
        <v>386018.375</v>
      </c>
    </row>
    <row r="45" spans="1:27" x14ac:dyDescent="0.25">
      <c r="B45" s="32"/>
      <c r="C45" s="32"/>
      <c r="D45" s="32"/>
      <c r="E45" s="32"/>
      <c r="F45" s="32"/>
      <c r="G45" s="32"/>
      <c r="H45" s="32"/>
      <c r="I45" s="32"/>
      <c r="J45" s="32"/>
      <c r="K45" s="32"/>
      <c r="L45" s="32"/>
    </row>
    <row r="46" spans="1:27" x14ac:dyDescent="0.25">
      <c r="A46" s="23" t="str">
        <f>A17</f>
        <v>Net Resource Flow ($)</v>
      </c>
      <c r="B46" s="34">
        <f t="shared" ref="B46:Z46" si="7">B37-B44</f>
        <v>0</v>
      </c>
      <c r="C46" s="34">
        <f t="shared" si="7"/>
        <v>-1279277.1536931815</v>
      </c>
      <c r="D46" s="34">
        <f t="shared" si="7"/>
        <v>-2368950.154857954</v>
      </c>
      <c r="E46" s="34">
        <f t="shared" si="7"/>
        <v>-5191297.9565576212</v>
      </c>
      <c r="F46" s="34">
        <f t="shared" si="7"/>
        <v>1371082.7848852575</v>
      </c>
      <c r="G46" s="34">
        <f t="shared" si="7"/>
        <v>2297785.4715857543</v>
      </c>
      <c r="H46" s="34">
        <f t="shared" si="7"/>
        <v>-1505490.2272128146</v>
      </c>
      <c r="I46" s="34">
        <f t="shared" si="7"/>
        <v>3127955.5843373546</v>
      </c>
      <c r="J46" s="34">
        <f t="shared" si="7"/>
        <v>3235380.7992716394</v>
      </c>
      <c r="K46" s="34">
        <f t="shared" si="7"/>
        <v>-1277299.8120312076</v>
      </c>
      <c r="L46" s="34">
        <f t="shared" si="7"/>
        <v>3453464.7281097285</v>
      </c>
      <c r="M46" s="34">
        <f t="shared" si="7"/>
        <v>3564145.0344817322</v>
      </c>
      <c r="N46" s="34">
        <f t="shared" si="7"/>
        <v>-1067746.4638791857</v>
      </c>
      <c r="O46" s="34">
        <f t="shared" si="7"/>
        <v>3788837.1244475432</v>
      </c>
      <c r="P46" s="34">
        <f t="shared" si="7"/>
        <v>3902871.1547829285</v>
      </c>
      <c r="Q46" s="34">
        <f t="shared" si="7"/>
        <v>-851843.4397248067</v>
      </c>
      <c r="R46" s="34">
        <f t="shared" si="7"/>
        <v>4134371.6397667928</v>
      </c>
      <c r="S46" s="34">
        <f t="shared" si="7"/>
        <v>4251861.0152553711</v>
      </c>
      <c r="T46" s="34">
        <f t="shared" si="7"/>
        <v>-629398.33803552296</v>
      </c>
      <c r="U46" s="34">
        <f t="shared" si="7"/>
        <v>4490376.1964347288</v>
      </c>
      <c r="V46" s="34">
        <f t="shared" si="7"/>
        <v>4611425.6174899861</v>
      </c>
      <c r="W46" s="34">
        <f t="shared" si="7"/>
        <v>-265404.06230159104</v>
      </c>
      <c r="X46" s="34">
        <f t="shared" si="7"/>
        <v>2433146.5235871323</v>
      </c>
      <c r="Y46" s="34">
        <f t="shared" si="7"/>
        <v>723924.41223604744</v>
      </c>
      <c r="Z46" s="34">
        <f t="shared" si="7"/>
        <v>39674.653731402883</v>
      </c>
    </row>
    <row r="47" spans="1:27" x14ac:dyDescent="0.25">
      <c r="A47" s="23"/>
      <c r="B47" s="344"/>
      <c r="C47" s="344"/>
      <c r="D47" s="344"/>
      <c r="E47" s="344"/>
      <c r="F47" s="344"/>
      <c r="G47" s="344"/>
      <c r="H47" s="344"/>
      <c r="I47" s="344"/>
      <c r="J47" s="344"/>
      <c r="K47" s="344"/>
      <c r="L47" s="344"/>
      <c r="M47" s="344"/>
      <c r="N47" s="344"/>
      <c r="O47" s="344"/>
      <c r="P47" s="344"/>
      <c r="Q47" s="344"/>
      <c r="R47" s="344"/>
      <c r="S47" s="344"/>
      <c r="T47" s="344"/>
      <c r="U47" s="344"/>
      <c r="V47" s="344"/>
      <c r="W47" s="344"/>
      <c r="X47" s="344"/>
      <c r="Y47" s="344"/>
      <c r="Z47" s="344"/>
      <c r="AA47" s="12"/>
    </row>
    <row r="48" spans="1:27" x14ac:dyDescent="0.25">
      <c r="A48" s="10" t="str">
        <f>A19</f>
        <v>Economic Benefits in Present Value</v>
      </c>
      <c r="B48" s="345">
        <f>B37/(1+Assumption_Hatchery!$C76)^'RCP 8.5_CRAB Value'!B31</f>
        <v>0</v>
      </c>
      <c r="C48" s="345">
        <f>C37/(1+Assumption_Hatchery!$C76)^'RCP 8.5_CRAB Value'!C31</f>
        <v>1465100.5925707549</v>
      </c>
      <c r="D48" s="345">
        <f>D37/(1+Assumption_Hatchery!$C76)^'RCP 8.5_CRAB Value'!D31</f>
        <v>4653043.6228973838</v>
      </c>
      <c r="E48" s="345">
        <f>E37/(1+Assumption_Hatchery!$C76)^'RCP 8.5_CRAB Value'!E31</f>
        <v>4818992.8282267302</v>
      </c>
      <c r="F48" s="345">
        <f>F37/(1+Assumption_Hatchery!$C76)^'RCP 8.5_CRAB Value'!F31</f>
        <v>8026324.5338585544</v>
      </c>
      <c r="G48" s="345">
        <f>G37/(1+Assumption_Hatchery!$C76)^'RCP 8.5_CRAB Value'!G31</f>
        <v>8050230.2269063201</v>
      </c>
      <c r="H48" s="345">
        <f>H37/(1+Assumption_Hatchery!$C76)^'RCP 8.5_CRAB Value'!H31</f>
        <v>4904358.6779397093</v>
      </c>
      <c r="I48" s="345">
        <f>I37/(1+Assumption_Hatchery!$C76)^'RCP 8.5_CRAB Value'!I31</f>
        <v>7308684.5647748094</v>
      </c>
      <c r="J48" s="345">
        <f>J37/(1+Assumption_Hatchery!$C76)^'RCP 8.5_CRAB Value'!J31</f>
        <v>6963934.5085860081</v>
      </c>
      <c r="K48" s="345">
        <f>K37/(1+Assumption_Hatchery!$C76)^'RCP 8.5_CRAB Value'!K31</f>
        <v>4242565.1545519074</v>
      </c>
      <c r="L48" s="345">
        <f>L37/(1+Assumption_Hatchery!$C76)^'RCP 8.5_CRAB Value'!L31</f>
        <v>6322452.8442817759</v>
      </c>
      <c r="M48" s="345">
        <f>M37/(1+Assumption_Hatchery!$C76)^'RCP 8.5_CRAB Value'!M31</f>
        <v>6024223.2780482266</v>
      </c>
      <c r="N48" s="345">
        <f>N37/(1+Assumption_Hatchery!$C76)^'RCP 8.5_CRAB Value'!N31</f>
        <v>3670074.0203410909</v>
      </c>
      <c r="O48" s="345">
        <f>O37/(1+Assumption_Hatchery!$C76)^'RCP 8.5_CRAB Value'!O31</f>
        <v>5469302.9925092012</v>
      </c>
      <c r="P48" s="345">
        <f>P37/(1+Assumption_Hatchery!$C76)^'RCP 8.5_CRAB Value'!P31</f>
        <v>5211316.4494202975</v>
      </c>
      <c r="Q48" s="345">
        <f>Q37/(1+Assumption_Hatchery!$C76)^'RCP 8.5_CRAB Value'!Q31</f>
        <v>3174834.8056599232</v>
      </c>
      <c r="R48" s="345">
        <f>R37/(1+Assumption_Hatchery!$C76)^'RCP 8.5_CRAB Value'!R31</f>
        <v>4731276.9657996371</v>
      </c>
      <c r="S48" s="345">
        <f>S37/(1+Assumption_Hatchery!$C76)^'RCP 8.5_CRAB Value'!S31</f>
        <v>4508103.0598111125</v>
      </c>
      <c r="T48" s="345">
        <f>T37/(1+Assumption_Hatchery!$C76)^'RCP 8.5_CRAB Value'!T31</f>
        <v>2746423.1334110126</v>
      </c>
      <c r="U48" s="345">
        <f>U37/(1+Assumption_Hatchery!$C76)^'RCP 8.5_CRAB Value'!U31</f>
        <v>4092839.9770916807</v>
      </c>
      <c r="V48" s="345">
        <f>V37/(1+Assumption_Hatchery!$C76)^'RCP 8.5_CRAB Value'!V31</f>
        <v>3899781.0978503157</v>
      </c>
      <c r="W48" s="345">
        <f>W37/(1+Assumption_Hatchery!$C76)^'RCP 8.5_CRAB Value'!W31</f>
        <v>2025042.5676164681</v>
      </c>
      <c r="X48" s="345">
        <f>X37/(1+Assumption_Hatchery!$C76)^'RCP 8.5_CRAB Value'!X31</f>
        <v>1778619.2478247404</v>
      </c>
      <c r="Y48" s="345">
        <f>Y37/(1+Assumption_Hatchery!$C76)^'RCP 8.5_CRAB Value'!Y31</f>
        <v>516531.59647914866</v>
      </c>
      <c r="Z48" s="345">
        <f>Z37/(1+Assumption_Hatchery!$C76)^'RCP 8.5_CRAB Value'!Z31</f>
        <v>105137.04627204053</v>
      </c>
      <c r="AA48" s="343">
        <f>SUM(B48:Z48)</f>
        <v>104709193.79272887</v>
      </c>
    </row>
    <row r="49" spans="1:27" s="12" customFormat="1" x14ac:dyDescent="0.25">
      <c r="A49" s="10" t="str">
        <f>A20</f>
        <v>Economic Costs in Present Value</v>
      </c>
      <c r="B49" s="346">
        <f>B44/(1+Assumption_Hatchery!$C76)^'RCP 8.5_CRAB Value'!B31</f>
        <v>0</v>
      </c>
      <c r="C49" s="346">
        <f>C44/(1+Assumption_Hatchery!$C76)^'RCP 8.5_CRAB Value'!C31</f>
        <v>2671965.8319039447</v>
      </c>
      <c r="D49" s="346">
        <f>D44/(1+Assumption_Hatchery!$C76)^'RCP 8.5_CRAB Value'!D31</f>
        <v>6761400.8272921443</v>
      </c>
      <c r="E49" s="346">
        <f>E44/(1+Assumption_Hatchery!$C76)^'RCP 8.5_CRAB Value'!E31</f>
        <v>9177706.6965186931</v>
      </c>
      <c r="F49" s="346">
        <f>F44/(1+Assumption_Hatchery!$C76)^'RCP 8.5_CRAB Value'!F31</f>
        <v>6940298.5481762039</v>
      </c>
      <c r="G49" s="346">
        <f>G44/(1+Assumption_Hatchery!$C76)^'RCP 8.5_CRAB Value'!G31</f>
        <v>6333191.2537709782</v>
      </c>
      <c r="H49" s="346">
        <f>H44/(1+Assumption_Hatchery!$C76)^'RCP 8.5_CRAB Value'!H31</f>
        <v>5965669.8821423063</v>
      </c>
      <c r="I49" s="346">
        <f>I44/(1+Assumption_Hatchery!$C76)^'RCP 8.5_CRAB Value'!I31</f>
        <v>5228415.4523165412</v>
      </c>
      <c r="J49" s="346">
        <f>J44/(1+Assumption_Hatchery!$C76)^'RCP 8.5_CRAB Value'!J31</f>
        <v>4934016.5691211745</v>
      </c>
      <c r="K49" s="346">
        <f>K44/(1+Assumption_Hatchery!$C76)^'RCP 8.5_CRAB Value'!K31</f>
        <v>4998596.9507603692</v>
      </c>
      <c r="L49" s="346">
        <f>L44/(1+Assumption_Hatchery!$C76)^'RCP 8.5_CRAB Value'!L31</f>
        <v>4394056.1778447162</v>
      </c>
      <c r="M49" s="346">
        <f>M44/(1+Assumption_Hatchery!$C76)^'RCP 8.5_CRAB Value'!M31</f>
        <v>4146676.1351967631</v>
      </c>
      <c r="N49" s="346">
        <f>N44/(1+Assumption_Hatchery!$C76)^'RCP 8.5_CRAB Value'!N31</f>
        <v>4200711.3009567223</v>
      </c>
      <c r="O49" s="346">
        <f>O44/(1+Assumption_Hatchery!$C76)^'RCP 8.5_CRAB Value'!O31</f>
        <v>3692948.2996473066</v>
      </c>
      <c r="P49" s="346">
        <f>P44/(1+Assumption_Hatchery!$C76)^'RCP 8.5_CRAB Value'!P31</f>
        <v>3485072.7738102009</v>
      </c>
      <c r="Q49" s="346">
        <f>Q44/(1+Assumption_Hatchery!$C76)^'RCP 8.5_CRAB Value'!Q31</f>
        <v>3530279.3102738662</v>
      </c>
      <c r="R49" s="346">
        <f>R44/(1+Assumption_Hatchery!$C76)^'RCP 8.5_CRAB Value'!R31</f>
        <v>3103796.934317952</v>
      </c>
      <c r="S49" s="346">
        <f>S44/(1+Assumption_Hatchery!$C76)^'RCP 8.5_CRAB Value'!S31</f>
        <v>2929113.1659257356</v>
      </c>
      <c r="T49" s="346">
        <f>T44/(1+Assumption_Hatchery!$C76)^'RCP 8.5_CRAB Value'!T31</f>
        <v>2966928.9332887982</v>
      </c>
      <c r="U49" s="346">
        <f>U44/(1+Assumption_Hatchery!$C76)^'RCP 8.5_CRAB Value'!U31</f>
        <v>2608712.2221338698</v>
      </c>
      <c r="V49" s="346">
        <f>V44/(1+Assumption_Hatchery!$C76)^'RCP 8.5_CRAB Value'!V31</f>
        <v>2461916.7926333584</v>
      </c>
      <c r="W49" s="346">
        <f>W44/(1+Assumption_Hatchery!$C76)^'RCP 8.5_CRAB Value'!W31</f>
        <v>2103112.6064470387</v>
      </c>
      <c r="X49" s="346">
        <f>X44/(1+Assumption_Hatchery!$C76)^'RCP 8.5_CRAB Value'!X31</f>
        <v>1103408.686004777</v>
      </c>
      <c r="Y49" s="346">
        <f>Y44/(1+Assumption_Hatchery!$C76)^'RCP 8.5_CRAB Value'!Y31</f>
        <v>327010.16801519034</v>
      </c>
      <c r="Z49" s="346">
        <f>Z44/(1+Assumption_Hatchery!$C76)^'RCP 8.5_CRAB Value'!Z31</f>
        <v>95338.257887799424</v>
      </c>
      <c r="AA49" s="343">
        <f>SUM(B49:Z49)</f>
        <v>94160343.77638647</v>
      </c>
    </row>
    <row r="50" spans="1:27" x14ac:dyDescent="0.25">
      <c r="B50" s="32"/>
      <c r="C50" s="32"/>
      <c r="D50" s="32"/>
      <c r="E50" s="32"/>
      <c r="F50" s="32"/>
      <c r="G50" s="32"/>
      <c r="H50" s="32"/>
      <c r="I50" s="32"/>
      <c r="J50" s="32"/>
      <c r="K50" s="32"/>
      <c r="L50" s="32"/>
    </row>
    <row r="51" spans="1:27" s="12" customFormat="1" x14ac:dyDescent="0.25">
      <c r="A51" s="25" t="s">
        <v>318</v>
      </c>
      <c r="B51" s="35">
        <f>NPV(Assumption_Hatchery!C76,C46:Z46)+B46</f>
        <v>10548850.016342398</v>
      </c>
      <c r="C51" s="40"/>
      <c r="D51" s="40"/>
      <c r="E51" s="40"/>
      <c r="F51" s="40"/>
      <c r="G51" s="40"/>
      <c r="H51" s="40"/>
      <c r="I51" s="40"/>
      <c r="J51" s="40"/>
      <c r="K51" s="40"/>
      <c r="L51" s="40"/>
    </row>
    <row r="53" spans="1:27" s="12" customFormat="1" x14ac:dyDescent="0.25">
      <c r="A53" s="25" t="s">
        <v>238</v>
      </c>
      <c r="B53" s="36">
        <f>IRR(B46:Z46)</f>
        <v>0.16803160480498325</v>
      </c>
      <c r="C53" s="4"/>
      <c r="D53" s="4"/>
      <c r="E53" s="4"/>
      <c r="F53" s="4"/>
      <c r="G53" s="4"/>
      <c r="H53" s="4"/>
      <c r="I53" s="4"/>
      <c r="J53" s="4"/>
      <c r="K53" s="4"/>
      <c r="L53" s="4"/>
    </row>
    <row r="55" spans="1:27" ht="38.25" customHeight="1" x14ac:dyDescent="0.25">
      <c r="A55" s="11"/>
      <c r="B55" s="30"/>
      <c r="C55" s="69"/>
      <c r="D55" s="70"/>
      <c r="E55" s="30"/>
      <c r="F55" s="116"/>
      <c r="G55" s="30"/>
      <c r="H55" s="30"/>
      <c r="I55" s="30"/>
      <c r="J55" s="30"/>
      <c r="K55" s="30"/>
      <c r="L55" s="30"/>
      <c r="M55" s="11"/>
    </row>
    <row r="56" spans="1:27" s="1" customFormat="1" x14ac:dyDescent="0.25">
      <c r="A56" s="24"/>
      <c r="B56" s="42"/>
      <c r="C56" s="42"/>
      <c r="D56" s="42"/>
      <c r="E56" s="42"/>
      <c r="F56" s="42"/>
      <c r="G56" s="42"/>
      <c r="H56" s="42"/>
      <c r="I56" s="42"/>
      <c r="J56" s="42"/>
      <c r="K56" s="42"/>
      <c r="L56" s="42"/>
    </row>
    <row r="58" spans="1:27" ht="26.25" x14ac:dyDescent="0.25">
      <c r="F58" s="19" t="s">
        <v>92</v>
      </c>
    </row>
    <row r="59" spans="1:27" ht="38.25" customHeight="1" x14ac:dyDescent="0.25">
      <c r="A59" s="11" t="str">
        <f>A2</f>
        <v>Aggregate Economic Analysis</v>
      </c>
      <c r="B59" s="30"/>
      <c r="C59" s="69"/>
      <c r="D59" s="70"/>
      <c r="E59" s="30"/>
      <c r="F59" s="30"/>
      <c r="G59" s="30"/>
      <c r="H59" s="30"/>
      <c r="I59" s="30"/>
      <c r="J59" s="30"/>
      <c r="K59" s="30"/>
      <c r="L59" s="30"/>
      <c r="M59" s="11"/>
    </row>
    <row r="61" spans="1:27" x14ac:dyDescent="0.25">
      <c r="A61" s="10" t="s">
        <v>19</v>
      </c>
      <c r="B61" s="26">
        <v>0</v>
      </c>
      <c r="C61" s="26">
        <v>1</v>
      </c>
      <c r="D61" s="26">
        <v>2</v>
      </c>
      <c r="E61" s="26">
        <v>3</v>
      </c>
      <c r="F61" s="26">
        <v>4</v>
      </c>
      <c r="G61" s="26">
        <v>5</v>
      </c>
      <c r="H61" s="26">
        <v>6</v>
      </c>
      <c r="I61" s="26">
        <v>7</v>
      </c>
      <c r="J61" s="26">
        <v>8</v>
      </c>
      <c r="K61" s="26">
        <v>9</v>
      </c>
      <c r="L61" s="26">
        <v>10</v>
      </c>
      <c r="M61" s="26">
        <v>11</v>
      </c>
      <c r="N61" s="26">
        <v>12</v>
      </c>
      <c r="O61" s="26">
        <v>13</v>
      </c>
      <c r="P61" s="26">
        <v>14</v>
      </c>
      <c r="Q61" s="26">
        <v>15</v>
      </c>
      <c r="R61" s="26">
        <v>16</v>
      </c>
      <c r="S61" s="26">
        <v>17</v>
      </c>
      <c r="T61" s="26">
        <v>18</v>
      </c>
      <c r="U61" s="26">
        <v>19</v>
      </c>
      <c r="V61" s="26">
        <v>20</v>
      </c>
      <c r="W61" s="26">
        <v>21</v>
      </c>
      <c r="X61" s="26">
        <v>22</v>
      </c>
      <c r="Y61" s="26">
        <v>23</v>
      </c>
      <c r="Z61" s="26">
        <v>24</v>
      </c>
    </row>
    <row r="62" spans="1:27" x14ac:dyDescent="0.25">
      <c r="A62" s="23" t="s">
        <v>3</v>
      </c>
    </row>
    <row r="63" spans="1:27" x14ac:dyDescent="0.25">
      <c r="A63" s="10" t="s">
        <v>51</v>
      </c>
      <c r="B63" s="31">
        <f t="shared" ref="B63:Z63" si="8">B6</f>
        <v>0</v>
      </c>
      <c r="C63" s="31">
        <f t="shared" si="8"/>
        <v>1552881.6281250003</v>
      </c>
      <c r="D63" s="31">
        <f t="shared" si="8"/>
        <v>5228034.8146875007</v>
      </c>
      <c r="E63" s="31">
        <f t="shared" si="8"/>
        <v>5739372.5623032888</v>
      </c>
      <c r="F63" s="31">
        <f t="shared" si="8"/>
        <v>10132924.797479168</v>
      </c>
      <c r="G63" s="31">
        <f t="shared" si="8"/>
        <v>10772898.995214693</v>
      </c>
      <c r="H63" s="31">
        <f t="shared" si="8"/>
        <v>6956801.5180160496</v>
      </c>
      <c r="I63" s="31">
        <f t="shared" si="8"/>
        <v>10989434.265018508</v>
      </c>
      <c r="J63" s="31">
        <f t="shared" si="8"/>
        <v>11099328.607668696</v>
      </c>
      <c r="K63" s="31">
        <f t="shared" si="8"/>
        <v>7167599.5608134549</v>
      </c>
      <c r="L63" s="31">
        <f t="shared" si="8"/>
        <v>11322425.112682838</v>
      </c>
      <c r="M63" s="31">
        <f t="shared" si="8"/>
        <v>11435649.363809664</v>
      </c>
      <c r="N63" s="31">
        <f t="shared" si="8"/>
        <v>7384784.9951056624</v>
      </c>
      <c r="O63" s="31">
        <f t="shared" si="8"/>
        <v>11665505.916022239</v>
      </c>
      <c r="P63" s="31">
        <f t="shared" si="8"/>
        <v>11782160.975182462</v>
      </c>
      <c r="Q63" s="31">
        <f t="shared" si="8"/>
        <v>7608551.3652423583</v>
      </c>
      <c r="R63" s="31">
        <f t="shared" si="8"/>
        <v>12018982.41078363</v>
      </c>
      <c r="S63" s="31">
        <f t="shared" si="8"/>
        <v>12139172.234891467</v>
      </c>
      <c r="T63" s="31">
        <f t="shared" si="8"/>
        <v>7839098.0801605703</v>
      </c>
      <c r="U63" s="31">
        <f t="shared" si="8"/>
        <v>12383169.596812783</v>
      </c>
      <c r="V63" s="31">
        <f t="shared" si="8"/>
        <v>12507001.292780912</v>
      </c>
      <c r="W63" s="31">
        <f t="shared" si="8"/>
        <v>6865136.0024243863</v>
      </c>
      <c r="X63" s="31">
        <f t="shared" si="8"/>
        <v>6379196.0093829054</v>
      </c>
      <c r="Y63" s="31">
        <f t="shared" si="8"/>
        <v>1932896.3908430198</v>
      </c>
      <c r="Z63" s="31">
        <f t="shared" si="8"/>
        <v>416068.02873140288</v>
      </c>
    </row>
    <row r="64" spans="1:27" x14ac:dyDescent="0.25">
      <c r="A64" s="10" t="s">
        <v>52</v>
      </c>
      <c r="B64" s="31">
        <f t="shared" ref="B64:Z64" si="9">B7</f>
        <v>0</v>
      </c>
      <c r="C64" s="31">
        <f t="shared" si="9"/>
        <v>0</v>
      </c>
      <c r="D64" s="31">
        <f t="shared" si="9"/>
        <v>0</v>
      </c>
      <c r="E64" s="31">
        <f t="shared" si="9"/>
        <v>0</v>
      </c>
      <c r="F64" s="31">
        <f t="shared" si="9"/>
        <v>0</v>
      </c>
      <c r="G64" s="31">
        <f t="shared" si="9"/>
        <v>0</v>
      </c>
      <c r="H64" s="31">
        <f t="shared" si="9"/>
        <v>0</v>
      </c>
      <c r="I64" s="31">
        <f t="shared" si="9"/>
        <v>0</v>
      </c>
      <c r="J64" s="31">
        <f t="shared" si="9"/>
        <v>0</v>
      </c>
      <c r="K64" s="31">
        <f t="shared" si="9"/>
        <v>0</v>
      </c>
      <c r="L64" s="31">
        <f t="shared" si="9"/>
        <v>0</v>
      </c>
      <c r="M64" s="31">
        <f t="shared" si="9"/>
        <v>0</v>
      </c>
      <c r="N64" s="31">
        <f t="shared" si="9"/>
        <v>0</v>
      </c>
      <c r="O64" s="31">
        <f t="shared" si="9"/>
        <v>0</v>
      </c>
      <c r="P64" s="31">
        <f t="shared" si="9"/>
        <v>0</v>
      </c>
      <c r="Q64" s="31">
        <f t="shared" si="9"/>
        <v>0</v>
      </c>
      <c r="R64" s="31">
        <f t="shared" si="9"/>
        <v>0</v>
      </c>
      <c r="S64" s="31">
        <f t="shared" si="9"/>
        <v>0</v>
      </c>
      <c r="T64" s="31">
        <f t="shared" si="9"/>
        <v>0</v>
      </c>
      <c r="U64" s="31">
        <f t="shared" si="9"/>
        <v>0</v>
      </c>
      <c r="V64" s="31">
        <f t="shared" si="9"/>
        <v>0</v>
      </c>
      <c r="W64" s="31">
        <f t="shared" si="9"/>
        <v>19000</v>
      </c>
      <c r="X64" s="31">
        <f t="shared" si="9"/>
        <v>30000</v>
      </c>
      <c r="Y64" s="31">
        <f t="shared" si="9"/>
        <v>40000</v>
      </c>
      <c r="Z64" s="31">
        <f t="shared" si="9"/>
        <v>9500</v>
      </c>
    </row>
    <row r="65" spans="1:27" s="377" customFormat="1" x14ac:dyDescent="0.25">
      <c r="A65" s="376" t="str">
        <f>A35</f>
        <v>Biodiversity/Ecosystem services</v>
      </c>
      <c r="B65" s="136">
        <f>B35</f>
        <v>0</v>
      </c>
      <c r="C65" s="136">
        <f t="shared" ref="C65:Z65" si="10">C35</f>
        <v>100</v>
      </c>
      <c r="D65" s="136">
        <f t="shared" si="10"/>
        <v>100</v>
      </c>
      <c r="E65" s="136">
        <f t="shared" si="10"/>
        <v>100</v>
      </c>
      <c r="F65" s="136">
        <f t="shared" si="10"/>
        <v>100</v>
      </c>
      <c r="G65" s="136">
        <f t="shared" si="10"/>
        <v>100</v>
      </c>
      <c r="H65" s="136">
        <f t="shared" si="10"/>
        <v>100</v>
      </c>
      <c r="I65" s="136">
        <f t="shared" si="10"/>
        <v>100</v>
      </c>
      <c r="J65" s="136">
        <f t="shared" si="10"/>
        <v>100</v>
      </c>
      <c r="K65" s="136">
        <f t="shared" si="10"/>
        <v>100</v>
      </c>
      <c r="L65" s="136">
        <f t="shared" si="10"/>
        <v>100</v>
      </c>
      <c r="M65" s="136">
        <f t="shared" si="10"/>
        <v>100</v>
      </c>
      <c r="N65" s="136">
        <f t="shared" si="10"/>
        <v>100</v>
      </c>
      <c r="O65" s="136">
        <f t="shared" si="10"/>
        <v>100</v>
      </c>
      <c r="P65" s="136">
        <f t="shared" si="10"/>
        <v>100</v>
      </c>
      <c r="Q65" s="136">
        <f t="shared" si="10"/>
        <v>100</v>
      </c>
      <c r="R65" s="136">
        <f t="shared" si="10"/>
        <v>100</v>
      </c>
      <c r="S65" s="136">
        <f t="shared" si="10"/>
        <v>100</v>
      </c>
      <c r="T65" s="136">
        <f t="shared" si="10"/>
        <v>100</v>
      </c>
      <c r="U65" s="136">
        <f t="shared" si="10"/>
        <v>100</v>
      </c>
      <c r="V65" s="136">
        <f t="shared" si="10"/>
        <v>100</v>
      </c>
      <c r="W65" s="136">
        <f t="shared" si="10"/>
        <v>100</v>
      </c>
      <c r="X65" s="136">
        <f t="shared" si="10"/>
        <v>100</v>
      </c>
      <c r="Y65" s="136">
        <f t="shared" si="10"/>
        <v>100</v>
      </c>
      <c r="Z65" s="136">
        <f t="shared" si="10"/>
        <v>100</v>
      </c>
    </row>
    <row r="66" spans="1:27" s="377" customFormat="1" x14ac:dyDescent="0.25">
      <c r="A66" s="376" t="str">
        <f>A36</f>
        <v>Employment generation in the value chain</v>
      </c>
      <c r="B66" s="136">
        <f>B36</f>
        <v>0</v>
      </c>
      <c r="C66" s="136">
        <f t="shared" ref="C66:Z66" si="11">C36</f>
        <v>25</v>
      </c>
      <c r="D66" s="136">
        <f t="shared" si="11"/>
        <v>25</v>
      </c>
      <c r="E66" s="136">
        <f t="shared" si="11"/>
        <v>25</v>
      </c>
      <c r="F66" s="136">
        <f t="shared" si="11"/>
        <v>25</v>
      </c>
      <c r="G66" s="136">
        <f t="shared" si="11"/>
        <v>25</v>
      </c>
      <c r="H66" s="136">
        <f t="shared" si="11"/>
        <v>25</v>
      </c>
      <c r="I66" s="136">
        <f t="shared" si="11"/>
        <v>25</v>
      </c>
      <c r="J66" s="136">
        <f t="shared" si="11"/>
        <v>25</v>
      </c>
      <c r="K66" s="136">
        <f t="shared" si="11"/>
        <v>25</v>
      </c>
      <c r="L66" s="136">
        <f t="shared" si="11"/>
        <v>25</v>
      </c>
      <c r="M66" s="136">
        <f t="shared" si="11"/>
        <v>25</v>
      </c>
      <c r="N66" s="136">
        <f t="shared" si="11"/>
        <v>25</v>
      </c>
      <c r="O66" s="136">
        <f t="shared" si="11"/>
        <v>25</v>
      </c>
      <c r="P66" s="136">
        <f t="shared" si="11"/>
        <v>25</v>
      </c>
      <c r="Q66" s="136">
        <f t="shared" si="11"/>
        <v>25</v>
      </c>
      <c r="R66" s="136">
        <f t="shared" si="11"/>
        <v>25</v>
      </c>
      <c r="S66" s="136">
        <f t="shared" si="11"/>
        <v>25</v>
      </c>
      <c r="T66" s="136">
        <f t="shared" si="11"/>
        <v>25</v>
      </c>
      <c r="U66" s="136">
        <f t="shared" si="11"/>
        <v>25</v>
      </c>
      <c r="V66" s="136">
        <f t="shared" si="11"/>
        <v>25</v>
      </c>
      <c r="W66" s="136">
        <f t="shared" si="11"/>
        <v>25</v>
      </c>
      <c r="X66" s="136">
        <f t="shared" si="11"/>
        <v>25</v>
      </c>
      <c r="Y66" s="136">
        <f t="shared" si="11"/>
        <v>25</v>
      </c>
      <c r="Z66" s="136">
        <f t="shared" si="11"/>
        <v>25</v>
      </c>
    </row>
    <row r="67" spans="1:27" s="12" customFormat="1" x14ac:dyDescent="0.25">
      <c r="A67" s="23" t="s">
        <v>53</v>
      </c>
      <c r="B67" s="38">
        <f>SUM(B63:B66)</f>
        <v>0</v>
      </c>
      <c r="C67" s="38">
        <f t="shared" ref="C67:Z67" si="12">SUM(C63:C66)</f>
        <v>1553006.6281250003</v>
      </c>
      <c r="D67" s="38">
        <f t="shared" si="12"/>
        <v>5228159.8146875007</v>
      </c>
      <c r="E67" s="38">
        <f t="shared" si="12"/>
        <v>5739497.5623032888</v>
      </c>
      <c r="F67" s="38">
        <f t="shared" si="12"/>
        <v>10133049.797479168</v>
      </c>
      <c r="G67" s="38">
        <f t="shared" si="12"/>
        <v>10773023.995214693</v>
      </c>
      <c r="H67" s="38">
        <f t="shared" si="12"/>
        <v>6956926.5180160496</v>
      </c>
      <c r="I67" s="38">
        <f t="shared" si="12"/>
        <v>10989559.265018508</v>
      </c>
      <c r="J67" s="38">
        <f t="shared" si="12"/>
        <v>11099453.607668696</v>
      </c>
      <c r="K67" s="38">
        <f t="shared" si="12"/>
        <v>7167724.5608134549</v>
      </c>
      <c r="L67" s="38">
        <f t="shared" si="12"/>
        <v>11322550.112682838</v>
      </c>
      <c r="M67" s="38">
        <f t="shared" si="12"/>
        <v>11435774.363809664</v>
      </c>
      <c r="N67" s="38">
        <f t="shared" si="12"/>
        <v>7384909.9951056624</v>
      </c>
      <c r="O67" s="38">
        <f t="shared" si="12"/>
        <v>11665630.916022239</v>
      </c>
      <c r="P67" s="38">
        <f t="shared" si="12"/>
        <v>11782285.975182462</v>
      </c>
      <c r="Q67" s="38">
        <f t="shared" si="12"/>
        <v>7608676.3652423583</v>
      </c>
      <c r="R67" s="38">
        <f t="shared" si="12"/>
        <v>12019107.41078363</v>
      </c>
      <c r="S67" s="38">
        <f t="shared" si="12"/>
        <v>12139297.234891467</v>
      </c>
      <c r="T67" s="38">
        <f t="shared" si="12"/>
        <v>7839223.0801605703</v>
      </c>
      <c r="U67" s="38">
        <f t="shared" si="12"/>
        <v>12383294.596812783</v>
      </c>
      <c r="V67" s="38">
        <f t="shared" si="12"/>
        <v>12507126.292780912</v>
      </c>
      <c r="W67" s="38">
        <f t="shared" si="12"/>
        <v>6884261.0024243863</v>
      </c>
      <c r="X67" s="38">
        <f t="shared" si="12"/>
        <v>6409321.0093829054</v>
      </c>
      <c r="Y67" s="38">
        <f t="shared" si="12"/>
        <v>1973021.3908430198</v>
      </c>
      <c r="Z67" s="38">
        <f t="shared" si="12"/>
        <v>425693.02873140288</v>
      </c>
    </row>
    <row r="68" spans="1:27" x14ac:dyDescent="0.25">
      <c r="A68" s="23"/>
      <c r="B68" s="41"/>
      <c r="C68" s="41"/>
      <c r="D68" s="41"/>
      <c r="E68" s="41"/>
      <c r="F68" s="41"/>
      <c r="G68" s="41"/>
      <c r="H68" s="41"/>
      <c r="I68" s="41"/>
      <c r="J68" s="41"/>
      <c r="K68" s="41"/>
    </row>
    <row r="69" spans="1:27" x14ac:dyDescent="0.25">
      <c r="A69" s="23" t="s">
        <v>20</v>
      </c>
    </row>
    <row r="70" spans="1:27" x14ac:dyDescent="0.25">
      <c r="A70" s="9" t="str">
        <f>A40</f>
        <v>Crab Hatchery</v>
      </c>
      <c r="B70" s="33">
        <f>'RCP 8.5_Hatchery'!B85</f>
        <v>0</v>
      </c>
      <c r="C70" s="33">
        <f>'RCP 8.5_Hatchery'!C85</f>
        <v>165338.78181818183</v>
      </c>
      <c r="D70" s="33">
        <f>'RCP 8.5_Hatchery'!D85</f>
        <v>318449.46954545454</v>
      </c>
      <c r="E70" s="33">
        <f>'RCP 8.5_Hatchery'!E85</f>
        <v>537866.95086090907</v>
      </c>
      <c r="F70" s="33">
        <f>'RCP 8.5_Hatchery'!F85</f>
        <v>412315.17049390904</v>
      </c>
      <c r="G70" s="33">
        <f>'RCP 8.5_Hatchery'!G85</f>
        <v>375026.41310793906</v>
      </c>
      <c r="H70" s="33">
        <f>'RCP 8.5_Hatchery'!H85</f>
        <v>411989.38860265486</v>
      </c>
      <c r="I70" s="33">
        <f>'RCP 8.5_Hatchery'!I85</f>
        <v>377955.25673868135</v>
      </c>
      <c r="J70" s="33">
        <f>'RCP 8.5_Hatchery'!J85</f>
        <v>378172.90021515911</v>
      </c>
      <c r="K70" s="33">
        <f>'RCP 8.5_Hatchery'!K85</f>
        <v>412642.34058094706</v>
      </c>
      <c r="L70" s="33">
        <f>'RCP 8.5_Hatchery'!L85</f>
        <v>378614.73823675653</v>
      </c>
      <c r="M70" s="33">
        <f>'RCP 8.5_Hatchery'!M85</f>
        <v>378838.97652821499</v>
      </c>
      <c r="N70" s="33">
        <f>'RCP 8.5_Hatchery'!N85</f>
        <v>413315.07765713352</v>
      </c>
      <c r="O70" s="33">
        <f>'RCP 8.5_Hatchery'!O85</f>
        <v>379294.20268370485</v>
      </c>
      <c r="P70" s="33">
        <f>'RCP 8.5_Hatchery'!P85</f>
        <v>379525.23561963282</v>
      </c>
      <c r="Q70" s="33">
        <f>'RCP 8.5_Hatchery'!Q85</f>
        <v>414008.19933946553</v>
      </c>
      <c r="R70" s="33">
        <f>'RCP 8.5_Hatchery'!R85</f>
        <v>379994.25558286015</v>
      </c>
      <c r="S70" s="33">
        <f>'RCP 8.5_Hatchery'!S85</f>
        <v>380232.28904777963</v>
      </c>
      <c r="T70" s="33">
        <f>'RCP 8.5_Hatchery'!T85</f>
        <v>414722.32330189383</v>
      </c>
      <c r="U70" s="33">
        <f>'RCP 8.5_Hatchery'!U85</f>
        <v>380715.52078491275</v>
      </c>
      <c r="V70" s="33">
        <f>'RCP 8.5_Hatchery'!V85</f>
        <v>380960.7669018528</v>
      </c>
      <c r="W70" s="33">
        <f>'RCP 8.5_Hatchery'!W85</f>
        <v>343785.21874760615</v>
      </c>
      <c r="X70" s="33">
        <f>'RCP 8.5_Hatchery'!X85</f>
        <v>215729.32052192639</v>
      </c>
      <c r="Y70" s="33">
        <f>'RCP 8.5_Hatchery'!Y85</f>
        <v>73171.131836338231</v>
      </c>
      <c r="Z70" s="33">
        <f>'RCP 8.5_Hatchery'!Z85</f>
        <v>28546.874999999996</v>
      </c>
    </row>
    <row r="71" spans="1:27" x14ac:dyDescent="0.25">
      <c r="A71" s="9" t="str">
        <f t="shared" ref="A71:A72" si="13">A41</f>
        <v>Crab Nursery</v>
      </c>
      <c r="B71" s="33">
        <f>'RCP 8.5_Nursery'!B74</f>
        <v>0</v>
      </c>
      <c r="C71" s="33">
        <f>'RCP 8.5_Nursery'!C74</f>
        <v>176420</v>
      </c>
      <c r="D71" s="33">
        <f>'RCP 8.5_Nursery'!D74</f>
        <v>442110.5</v>
      </c>
      <c r="E71" s="33">
        <f>'RCP 8.5_Nursery'!E74</f>
        <v>710913.06799999997</v>
      </c>
      <c r="F71" s="33">
        <f>'RCP 8.5_Nursery'!F74</f>
        <v>888526.84210000001</v>
      </c>
      <c r="G71" s="33">
        <f>'RCP 8.5_Nursery'!G74</f>
        <v>890712.110521</v>
      </c>
      <c r="H71" s="33">
        <f>'RCP 8.5_Nursery'!H74</f>
        <v>895197.35662621004</v>
      </c>
      <c r="I71" s="33">
        <f>'RCP 8.5_Nursery'!I74</f>
        <v>895148.42394247209</v>
      </c>
      <c r="J71" s="33">
        <f>'RCP 8.5_Nursery'!J74</f>
        <v>897399.9081818969</v>
      </c>
      <c r="K71" s="33">
        <f>'RCP 8.5_Nursery'!K74</f>
        <v>901952.03226371575</v>
      </c>
      <c r="L71" s="33">
        <f>'RCP 8.5_Nursery'!L74</f>
        <v>901970.64633635292</v>
      </c>
      <c r="M71" s="33">
        <f>'RCP 8.5_Nursery'!M74</f>
        <v>904290.35279971652</v>
      </c>
      <c r="N71" s="33">
        <f>'RCP 8.5_Nursery'!N74</f>
        <v>908911.38132771361</v>
      </c>
      <c r="O71" s="33">
        <f>'RCP 8.5_Nursery'!O74</f>
        <v>908999.58889099082</v>
      </c>
      <c r="P71" s="33">
        <f>'RCP 8.5_Nursery'!P74</f>
        <v>911389.58477990073</v>
      </c>
      <c r="Q71" s="33">
        <f>'RCP 8.5_Nursery'!Q74</f>
        <v>916081.60562769976</v>
      </c>
      <c r="R71" s="33">
        <f>'RCP 8.5_Nursery'!R74</f>
        <v>916241.51543397678</v>
      </c>
      <c r="S71" s="33">
        <f>'RCP 8.5_Nursery'!S74</f>
        <v>918703.93058831652</v>
      </c>
      <c r="T71" s="33">
        <f>'RCP 8.5_Nursery'!T74</f>
        <v>923469.09489419963</v>
      </c>
      <c r="U71" s="33">
        <f>'RCP 8.5_Nursery'!U74</f>
        <v>923702.87959314161</v>
      </c>
      <c r="V71" s="33">
        <f>'RCP 8.5_Nursery'!V74</f>
        <v>926239.9083890731</v>
      </c>
      <c r="W71" s="33">
        <f>'RCP 8.5_Nursery'!W74</f>
        <v>744864.34597837098</v>
      </c>
      <c r="X71" s="33">
        <f>'RCP 8.5_Nursery'!X74</f>
        <v>465695.16527384677</v>
      </c>
      <c r="Y71" s="33">
        <f>'RCP 8.5_Nursery'!Y74</f>
        <v>186800.84677063406</v>
      </c>
      <c r="Z71" s="33">
        <f>'RCP 8.5_Nursery'!Z74</f>
        <v>0</v>
      </c>
    </row>
    <row r="72" spans="1:27" x14ac:dyDescent="0.25">
      <c r="A72" s="9" t="str">
        <f t="shared" si="13"/>
        <v>Crab Fattening</v>
      </c>
      <c r="B72" s="33">
        <f>'RCP 8.5_Fattening'!B70</f>
        <v>0</v>
      </c>
      <c r="C72" s="33">
        <f>'RCP 8.5_Fattening'!C70</f>
        <v>1888125</v>
      </c>
      <c r="D72" s="33">
        <f>'RCP 8.5_Fattening'!D70</f>
        <v>5393750</v>
      </c>
      <c r="E72" s="33">
        <f>'RCP 8.5_Fattening'!E70</f>
        <v>8160015.5</v>
      </c>
      <c r="F72" s="33">
        <f>'RCP 8.5_Fattening'!F70</f>
        <v>6858125</v>
      </c>
      <c r="G72" s="33">
        <f>'RCP 8.5_Fattening'!G70</f>
        <v>6887500</v>
      </c>
      <c r="H72" s="33">
        <f>'RCP 8.5_Fattening'!H70</f>
        <v>7129430</v>
      </c>
      <c r="I72" s="33">
        <f>'RCP 8.5_Fattening'!I70</f>
        <v>6587500</v>
      </c>
      <c r="J72" s="33">
        <f>'RCP 8.5_Fattening'!J70</f>
        <v>6587500</v>
      </c>
      <c r="K72" s="33">
        <f>'RCP 8.5_Fattening'!K70</f>
        <v>7129430</v>
      </c>
      <c r="L72" s="33">
        <f>'RCP 8.5_Fattening'!L70</f>
        <v>6587500</v>
      </c>
      <c r="M72" s="33">
        <f>'RCP 8.5_Fattening'!M70</f>
        <v>6587500</v>
      </c>
      <c r="N72" s="33">
        <f>'RCP 8.5_Fattening'!N70</f>
        <v>7129430</v>
      </c>
      <c r="O72" s="33">
        <f>'RCP 8.5_Fattening'!O70</f>
        <v>6587500</v>
      </c>
      <c r="P72" s="33">
        <f>'RCP 8.5_Fattening'!P70</f>
        <v>6587500</v>
      </c>
      <c r="Q72" s="33">
        <f>'RCP 8.5_Fattening'!Q70</f>
        <v>7129430</v>
      </c>
      <c r="R72" s="33">
        <f>'RCP 8.5_Fattening'!R70</f>
        <v>6587500</v>
      </c>
      <c r="S72" s="33">
        <f>'RCP 8.5_Fattening'!S70</f>
        <v>6587500</v>
      </c>
      <c r="T72" s="33">
        <f>'RCP 8.5_Fattening'!T70</f>
        <v>7129430</v>
      </c>
      <c r="U72" s="33">
        <f>'RCP 8.5_Fattening'!U70</f>
        <v>6587500</v>
      </c>
      <c r="V72" s="33">
        <f>'RCP 8.5_Fattening'!V70</f>
        <v>6587500</v>
      </c>
      <c r="W72" s="33">
        <f>'RCP 8.5_Fattening'!W70</f>
        <v>6060015.5</v>
      </c>
      <c r="X72" s="33">
        <f>'RCP 8.5_Fattening'!X70</f>
        <v>3293750</v>
      </c>
      <c r="Y72" s="33">
        <f>'RCP 8.5_Fattening'!Y70</f>
        <v>988125</v>
      </c>
      <c r="Z72" s="33">
        <f>'RCP 8.5_Fattening'!Z70</f>
        <v>356471.5</v>
      </c>
    </row>
    <row r="73" spans="1:27" s="377" customFormat="1" ht="30" x14ac:dyDescent="0.25">
      <c r="A73" s="121" t="str">
        <f>A43</f>
        <v>Opportubity cost for using the crab ponds/farm for fish farming</v>
      </c>
      <c r="B73" s="397">
        <f>B43</f>
        <v>0</v>
      </c>
      <c r="C73" s="397">
        <f t="shared" ref="C73:Z73" si="14">C43</f>
        <v>1000</v>
      </c>
      <c r="D73" s="397">
        <f t="shared" si="14"/>
        <v>1000</v>
      </c>
      <c r="E73" s="397">
        <f t="shared" si="14"/>
        <v>1000</v>
      </c>
      <c r="F73" s="397">
        <f t="shared" si="14"/>
        <v>1000</v>
      </c>
      <c r="G73" s="397">
        <f t="shared" si="14"/>
        <v>1000</v>
      </c>
      <c r="H73" s="397">
        <f t="shared" si="14"/>
        <v>1000</v>
      </c>
      <c r="I73" s="397">
        <f t="shared" si="14"/>
        <v>1000</v>
      </c>
      <c r="J73" s="397">
        <f t="shared" si="14"/>
        <v>1000</v>
      </c>
      <c r="K73" s="397">
        <f t="shared" si="14"/>
        <v>1000</v>
      </c>
      <c r="L73" s="397">
        <f t="shared" si="14"/>
        <v>1000</v>
      </c>
      <c r="M73" s="397">
        <f t="shared" si="14"/>
        <v>1000</v>
      </c>
      <c r="N73" s="397">
        <f t="shared" si="14"/>
        <v>1000</v>
      </c>
      <c r="O73" s="397">
        <f t="shared" si="14"/>
        <v>1000</v>
      </c>
      <c r="P73" s="397">
        <f t="shared" si="14"/>
        <v>1000</v>
      </c>
      <c r="Q73" s="397">
        <f t="shared" si="14"/>
        <v>1000</v>
      </c>
      <c r="R73" s="397">
        <f t="shared" si="14"/>
        <v>1000</v>
      </c>
      <c r="S73" s="397">
        <f t="shared" si="14"/>
        <v>1000</v>
      </c>
      <c r="T73" s="397">
        <f t="shared" si="14"/>
        <v>1000</v>
      </c>
      <c r="U73" s="397">
        <f t="shared" si="14"/>
        <v>1000</v>
      </c>
      <c r="V73" s="397">
        <f t="shared" si="14"/>
        <v>1000</v>
      </c>
      <c r="W73" s="397">
        <f t="shared" si="14"/>
        <v>1000</v>
      </c>
      <c r="X73" s="397">
        <f t="shared" si="14"/>
        <v>1000</v>
      </c>
      <c r="Y73" s="397">
        <f t="shared" si="14"/>
        <v>1000</v>
      </c>
      <c r="Z73" s="397">
        <f t="shared" si="14"/>
        <v>1000</v>
      </c>
    </row>
    <row r="74" spans="1:27" x14ac:dyDescent="0.25">
      <c r="A74" s="117" t="s">
        <v>54</v>
      </c>
      <c r="B74" s="37">
        <f>SUM(B70:B73)</f>
        <v>0</v>
      </c>
      <c r="C74" s="37">
        <f t="shared" ref="C74:Z74" si="15">SUM(C70:C73)</f>
        <v>2230883.7818181817</v>
      </c>
      <c r="D74" s="37">
        <f t="shared" si="15"/>
        <v>6155309.9695454547</v>
      </c>
      <c r="E74" s="37">
        <f t="shared" si="15"/>
        <v>9409795.5188609101</v>
      </c>
      <c r="F74" s="37">
        <f t="shared" si="15"/>
        <v>8159967.0125939092</v>
      </c>
      <c r="G74" s="37">
        <f t="shared" si="15"/>
        <v>8154238.5236289389</v>
      </c>
      <c r="H74" s="37">
        <f t="shared" si="15"/>
        <v>8437616.7452288643</v>
      </c>
      <c r="I74" s="37">
        <f t="shared" si="15"/>
        <v>7861603.6806811532</v>
      </c>
      <c r="J74" s="37">
        <f t="shared" si="15"/>
        <v>7864072.8083970565</v>
      </c>
      <c r="K74" s="37">
        <f t="shared" si="15"/>
        <v>8445024.3728446625</v>
      </c>
      <c r="L74" s="37">
        <f t="shared" si="15"/>
        <v>7869085.3845731094</v>
      </c>
      <c r="M74" s="37">
        <f t="shared" si="15"/>
        <v>7871629.3293279316</v>
      </c>
      <c r="N74" s="37">
        <f t="shared" si="15"/>
        <v>8452656.4589848481</v>
      </c>
      <c r="O74" s="37">
        <f t="shared" si="15"/>
        <v>7876793.7915746961</v>
      </c>
      <c r="P74" s="37">
        <f t="shared" si="15"/>
        <v>7879414.820399534</v>
      </c>
      <c r="Q74" s="37">
        <f t="shared" si="15"/>
        <v>8460519.804967165</v>
      </c>
      <c r="R74" s="37">
        <f t="shared" si="15"/>
        <v>7884735.7710168371</v>
      </c>
      <c r="S74" s="37">
        <f t="shared" si="15"/>
        <v>7887436.2196360957</v>
      </c>
      <c r="T74" s="37">
        <f t="shared" si="15"/>
        <v>8468621.4181960933</v>
      </c>
      <c r="U74" s="37">
        <f t="shared" si="15"/>
        <v>7892918.400378054</v>
      </c>
      <c r="V74" s="37">
        <f t="shared" si="15"/>
        <v>7895700.6752909254</v>
      </c>
      <c r="W74" s="37">
        <f t="shared" si="15"/>
        <v>7149665.0647259774</v>
      </c>
      <c r="X74" s="37">
        <f t="shared" si="15"/>
        <v>3976174.4857957731</v>
      </c>
      <c r="Y74" s="37">
        <f t="shared" si="15"/>
        <v>1249096.9786069724</v>
      </c>
      <c r="Z74" s="37">
        <f t="shared" si="15"/>
        <v>386018.375</v>
      </c>
    </row>
    <row r="75" spans="1:27" x14ac:dyDescent="0.25">
      <c r="B75" s="32"/>
      <c r="C75" s="32"/>
      <c r="D75" s="32"/>
      <c r="E75" s="32"/>
      <c r="F75" s="32"/>
      <c r="G75" s="32"/>
      <c r="H75" s="32"/>
      <c r="I75" s="32"/>
      <c r="J75" s="32"/>
      <c r="K75" s="32"/>
      <c r="L75" s="32"/>
    </row>
    <row r="76" spans="1:27" x14ac:dyDescent="0.25">
      <c r="A76" s="23" t="str">
        <f>A17</f>
        <v>Net Resource Flow ($)</v>
      </c>
      <c r="B76" s="34">
        <f t="shared" ref="B76:Z76" si="16">B67-B74</f>
        <v>0</v>
      </c>
      <c r="C76" s="34">
        <f t="shared" si="16"/>
        <v>-677877.15369318146</v>
      </c>
      <c r="D76" s="34">
        <f t="shared" si="16"/>
        <v>-927150.15485795401</v>
      </c>
      <c r="E76" s="34">
        <f t="shared" si="16"/>
        <v>-3670297.9565576212</v>
      </c>
      <c r="F76" s="34">
        <f t="shared" si="16"/>
        <v>1973082.7848852584</v>
      </c>
      <c r="G76" s="34">
        <f t="shared" si="16"/>
        <v>2618785.4715857543</v>
      </c>
      <c r="H76" s="34">
        <f t="shared" si="16"/>
        <v>-1480690.2272128146</v>
      </c>
      <c r="I76" s="34">
        <f t="shared" si="16"/>
        <v>3127955.5843373546</v>
      </c>
      <c r="J76" s="34">
        <f t="shared" si="16"/>
        <v>3235380.7992716394</v>
      </c>
      <c r="K76" s="34">
        <f t="shared" si="16"/>
        <v>-1277299.8120312076</v>
      </c>
      <c r="L76" s="34">
        <f t="shared" si="16"/>
        <v>3453464.7281097285</v>
      </c>
      <c r="M76" s="34">
        <f t="shared" si="16"/>
        <v>3564145.0344817322</v>
      </c>
      <c r="N76" s="34">
        <f t="shared" si="16"/>
        <v>-1067746.4638791857</v>
      </c>
      <c r="O76" s="34">
        <f t="shared" si="16"/>
        <v>3788837.1244475432</v>
      </c>
      <c r="P76" s="34">
        <f t="shared" si="16"/>
        <v>3902871.1547829285</v>
      </c>
      <c r="Q76" s="34">
        <f t="shared" si="16"/>
        <v>-851843.4397248067</v>
      </c>
      <c r="R76" s="34">
        <f t="shared" si="16"/>
        <v>4134371.6397667928</v>
      </c>
      <c r="S76" s="34">
        <f t="shared" si="16"/>
        <v>4251861.0152553711</v>
      </c>
      <c r="T76" s="34">
        <f t="shared" si="16"/>
        <v>-629398.33803552296</v>
      </c>
      <c r="U76" s="34">
        <f t="shared" si="16"/>
        <v>4490376.1964347288</v>
      </c>
      <c r="V76" s="34">
        <f t="shared" si="16"/>
        <v>4611425.6174899861</v>
      </c>
      <c r="W76" s="34">
        <f t="shared" si="16"/>
        <v>-265404.06230159104</v>
      </c>
      <c r="X76" s="34">
        <f t="shared" si="16"/>
        <v>2433146.5235871323</v>
      </c>
      <c r="Y76" s="34">
        <f t="shared" si="16"/>
        <v>723924.41223604744</v>
      </c>
      <c r="Z76" s="34">
        <f t="shared" si="16"/>
        <v>39674.653731402883</v>
      </c>
    </row>
    <row r="77" spans="1:27" x14ac:dyDescent="0.25">
      <c r="A77" s="23"/>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344"/>
      <c r="AA77" s="12"/>
    </row>
    <row r="78" spans="1:27" x14ac:dyDescent="0.25">
      <c r="A78" s="10" t="str">
        <f>A19</f>
        <v>Economic Benefits in Present Value</v>
      </c>
      <c r="B78" s="345">
        <f>B67/(1+Assumption_Hatchery!$C76)^'RCP 8.5_CRAB Value'!B61</f>
        <v>0</v>
      </c>
      <c r="C78" s="345">
        <f>C67/(1+Assumption_Hatchery!$C76)^'RCP 8.5_CRAB Value'!C61</f>
        <v>1465100.5925707549</v>
      </c>
      <c r="D78" s="345">
        <f>D67/(1+Assumption_Hatchery!$C76)^'RCP 8.5_CRAB Value'!D61</f>
        <v>4653043.6228973838</v>
      </c>
      <c r="E78" s="345">
        <f>E67/(1+Assumption_Hatchery!$C76)^'RCP 8.5_CRAB Value'!E61</f>
        <v>4818992.8282267302</v>
      </c>
      <c r="F78" s="345">
        <f>F67/(1+Assumption_Hatchery!$C76)^'RCP 8.5_CRAB Value'!F61</f>
        <v>8026324.5338585544</v>
      </c>
      <c r="G78" s="345">
        <f>G67/(1+Assumption_Hatchery!$C76)^'RCP 8.5_CRAB Value'!G61</f>
        <v>8050230.2269063201</v>
      </c>
      <c r="H78" s="345">
        <f>H67/(1+Assumption_Hatchery!$C76)^'RCP 8.5_CRAB Value'!H61</f>
        <v>4904358.6779397093</v>
      </c>
      <c r="I78" s="345">
        <f>I67/(1+Assumption_Hatchery!$C76)^'RCP 8.5_CRAB Value'!I61</f>
        <v>7308684.5647748094</v>
      </c>
      <c r="J78" s="345">
        <f>J67/(1+Assumption_Hatchery!$C76)^'RCP 8.5_CRAB Value'!J61</f>
        <v>6963934.5085860081</v>
      </c>
      <c r="K78" s="345">
        <f>K67/(1+Assumption_Hatchery!$C76)^'RCP 8.5_CRAB Value'!K61</f>
        <v>4242565.1545519074</v>
      </c>
      <c r="L78" s="345">
        <f>L67/(1+Assumption_Hatchery!$C76)^'RCP 8.5_CRAB Value'!L61</f>
        <v>6322452.8442817759</v>
      </c>
      <c r="M78" s="345">
        <f>M67/(1+Assumption_Hatchery!$C76)^'RCP 8.5_CRAB Value'!M61</f>
        <v>6024223.2780482266</v>
      </c>
      <c r="N78" s="345">
        <f>N67/(1+Assumption_Hatchery!$C76)^'RCP 8.5_CRAB Value'!N61</f>
        <v>3670074.0203410909</v>
      </c>
      <c r="O78" s="345">
        <f>O67/(1+Assumption_Hatchery!$C76)^'RCP 8.5_CRAB Value'!O61</f>
        <v>5469302.9925092012</v>
      </c>
      <c r="P78" s="345">
        <f>P67/(1+Assumption_Hatchery!$C76)^'RCP 8.5_CRAB Value'!P61</f>
        <v>5211316.4494202975</v>
      </c>
      <c r="Q78" s="345">
        <f>Q67/(1+Assumption_Hatchery!$C76)^'RCP 8.5_CRAB Value'!Q61</f>
        <v>3174834.8056599232</v>
      </c>
      <c r="R78" s="345">
        <f>R67/(1+Assumption_Hatchery!$C76)^'RCP 8.5_CRAB Value'!R61</f>
        <v>4731276.9657996371</v>
      </c>
      <c r="S78" s="345">
        <f>S67/(1+Assumption_Hatchery!$C76)^'RCP 8.5_CRAB Value'!S61</f>
        <v>4508103.0598111125</v>
      </c>
      <c r="T78" s="345">
        <f>T67/(1+Assumption_Hatchery!$C76)^'RCP 8.5_CRAB Value'!T61</f>
        <v>2746423.1334110126</v>
      </c>
      <c r="U78" s="345">
        <f>U67/(1+Assumption_Hatchery!$C76)^'RCP 8.5_CRAB Value'!U61</f>
        <v>4092839.9770916807</v>
      </c>
      <c r="V78" s="345">
        <f>V67/(1+Assumption_Hatchery!$C76)^'RCP 8.5_CRAB Value'!V61</f>
        <v>3899781.0978503157</v>
      </c>
      <c r="W78" s="345">
        <f>W67/(1+Assumption_Hatchery!$C76)^'RCP 8.5_CRAB Value'!W61</f>
        <v>2025042.5676164681</v>
      </c>
      <c r="X78" s="345">
        <f>X67/(1+Assumption_Hatchery!$C76)^'RCP 8.5_CRAB Value'!X61</f>
        <v>1778619.2478247404</v>
      </c>
      <c r="Y78" s="345">
        <f>Y67/(1+Assumption_Hatchery!$C76)^'RCP 8.5_CRAB Value'!Y61</f>
        <v>516531.59647914866</v>
      </c>
      <c r="Z78" s="345">
        <f>Z67/(1+Assumption_Hatchery!$C76)^'RCP 8.5_CRAB Value'!Z61</f>
        <v>105137.04627204053</v>
      </c>
      <c r="AA78" s="343">
        <f>SUM(B78:Z78)</f>
        <v>104709193.79272887</v>
      </c>
    </row>
    <row r="79" spans="1:27" s="12" customFormat="1" x14ac:dyDescent="0.25">
      <c r="A79" s="10" t="str">
        <f>A20</f>
        <v>Economic Costs in Present Value</v>
      </c>
      <c r="B79" s="346">
        <f>B74/(1+Assumption_Hatchery!$C76)^'RCP 8.5_CRAB Value'!B61</f>
        <v>0</v>
      </c>
      <c r="C79" s="346">
        <f>C74/(1+Assumption_Hatchery!$C76)^'RCP 8.5_CRAB Value'!C61</f>
        <v>2104607.3413379071</v>
      </c>
      <c r="D79" s="346">
        <f>D74/(1+Assumption_Hatchery!$C76)^'RCP 8.5_CRAB Value'!D61</f>
        <v>5478203.9600796141</v>
      </c>
      <c r="E79" s="346">
        <f>E74/(1+Assumption_Hatchery!$C76)^'RCP 8.5_CRAB Value'!E61</f>
        <v>7900645.7670265622</v>
      </c>
      <c r="F79" s="346">
        <f>F74/(1+Assumption_Hatchery!$C76)^'RCP 8.5_CRAB Value'!F61</f>
        <v>6463458.1629069149</v>
      </c>
      <c r="G79" s="346">
        <f>G74/(1+Assumption_Hatchery!$C76)^'RCP 8.5_CRAB Value'!G61</f>
        <v>6093321.3802809743</v>
      </c>
      <c r="H79" s="346">
        <f>H74/(1+Assumption_Hatchery!$C76)^'RCP 8.5_CRAB Value'!H61</f>
        <v>5948186.8607394025</v>
      </c>
      <c r="I79" s="346">
        <f>I74/(1+Assumption_Hatchery!$C76)^'RCP 8.5_CRAB Value'!I61</f>
        <v>5228415.4523165412</v>
      </c>
      <c r="J79" s="346">
        <f>J74/(1+Assumption_Hatchery!$C76)^'RCP 8.5_CRAB Value'!J61</f>
        <v>4934016.5691211745</v>
      </c>
      <c r="K79" s="346">
        <f>K74/(1+Assumption_Hatchery!$C76)^'RCP 8.5_CRAB Value'!K61</f>
        <v>4998596.9507603692</v>
      </c>
      <c r="L79" s="346">
        <f>L74/(1+Assumption_Hatchery!$C76)^'RCP 8.5_CRAB Value'!L61</f>
        <v>4394056.1778447162</v>
      </c>
      <c r="M79" s="346">
        <f>M74/(1+Assumption_Hatchery!$C76)^'RCP 8.5_CRAB Value'!M61</f>
        <v>4146676.1351967631</v>
      </c>
      <c r="N79" s="346">
        <f>N74/(1+Assumption_Hatchery!$C76)^'RCP 8.5_CRAB Value'!N61</f>
        <v>4200711.3009567223</v>
      </c>
      <c r="O79" s="346">
        <f>O74/(1+Assumption_Hatchery!$C76)^'RCP 8.5_CRAB Value'!O61</f>
        <v>3692948.2996473066</v>
      </c>
      <c r="P79" s="346">
        <f>P74/(1+Assumption_Hatchery!$C76)^'RCP 8.5_CRAB Value'!P61</f>
        <v>3485072.7738102009</v>
      </c>
      <c r="Q79" s="346">
        <f>Q74/(1+Assumption_Hatchery!$C76)^'RCP 8.5_CRAB Value'!Q61</f>
        <v>3530279.3102738662</v>
      </c>
      <c r="R79" s="346">
        <f>R74/(1+Assumption_Hatchery!$C76)^'RCP 8.5_CRAB Value'!R61</f>
        <v>3103796.934317952</v>
      </c>
      <c r="S79" s="346">
        <f>S74/(1+Assumption_Hatchery!$C76)^'RCP 8.5_CRAB Value'!S61</f>
        <v>2929113.1659257356</v>
      </c>
      <c r="T79" s="346">
        <f>T74/(1+Assumption_Hatchery!$C76)^'RCP 8.5_CRAB Value'!T61</f>
        <v>2966928.9332887982</v>
      </c>
      <c r="U79" s="346">
        <f>U74/(1+Assumption_Hatchery!$C76)^'RCP 8.5_CRAB Value'!U61</f>
        <v>2608712.2221338698</v>
      </c>
      <c r="V79" s="346">
        <f>V74/(1+Assumption_Hatchery!$C76)^'RCP 8.5_CRAB Value'!V61</f>
        <v>2461916.7926333584</v>
      </c>
      <c r="W79" s="346">
        <f>W74/(1+Assumption_Hatchery!$C76)^'RCP 8.5_CRAB Value'!W61</f>
        <v>2103112.6064470387</v>
      </c>
      <c r="X79" s="346">
        <f>X74/(1+Assumption_Hatchery!$C76)^'RCP 8.5_CRAB Value'!X61</f>
        <v>1103408.686004777</v>
      </c>
      <c r="Y79" s="346">
        <f>Y74/(1+Assumption_Hatchery!$C76)^'RCP 8.5_CRAB Value'!Y61</f>
        <v>327010.16801519034</v>
      </c>
      <c r="Z79" s="346">
        <f>Z74/(1+Assumption_Hatchery!$C76)^'RCP 8.5_CRAB Value'!Z61</f>
        <v>95338.257887799424</v>
      </c>
      <c r="AA79" s="343">
        <f>SUM(B79:Z79)</f>
        <v>90298534.208953574</v>
      </c>
    </row>
    <row r="80" spans="1:27" x14ac:dyDescent="0.25">
      <c r="B80" s="32"/>
      <c r="C80" s="32"/>
      <c r="D80" s="32"/>
      <c r="E80" s="32"/>
      <c r="F80" s="32"/>
      <c r="G80" s="32"/>
      <c r="H80" s="32"/>
      <c r="I80" s="32"/>
      <c r="J80" s="32"/>
      <c r="K80" s="32"/>
      <c r="L80" s="32"/>
    </row>
    <row r="81" spans="1:12" s="12" customFormat="1" x14ac:dyDescent="0.25">
      <c r="A81" s="25" t="s">
        <v>318</v>
      </c>
      <c r="B81" s="35">
        <f>NPV(Assumption_Hatchery!C76,C76:Z76)+B76</f>
        <v>14410659.583775297</v>
      </c>
      <c r="C81" s="40"/>
      <c r="D81" s="40"/>
      <c r="E81" s="40"/>
      <c r="F81" s="40"/>
      <c r="G81" s="40"/>
      <c r="H81" s="40"/>
      <c r="I81" s="40"/>
      <c r="J81" s="40"/>
      <c r="K81" s="40"/>
      <c r="L81" s="40"/>
    </row>
    <row r="83" spans="1:12" s="12" customFormat="1" x14ac:dyDescent="0.25">
      <c r="A83" s="25" t="s">
        <v>238</v>
      </c>
      <c r="B83" s="36">
        <f>IRR(B76:Z76)</f>
        <v>0.29100940945989673</v>
      </c>
      <c r="C83" s="4"/>
      <c r="D83" s="4"/>
      <c r="E83" s="4"/>
      <c r="F83" s="4"/>
      <c r="G83" s="4"/>
      <c r="H83" s="4"/>
      <c r="I83" s="4"/>
      <c r="J83" s="4"/>
      <c r="K83" s="4"/>
      <c r="L83" s="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7030A0"/>
  </sheetPr>
  <dimension ref="A3:AE205"/>
  <sheetViews>
    <sheetView showGridLines="0" topLeftCell="A181" zoomScale="70" zoomScaleNormal="70" workbookViewId="0">
      <selection activeCell="H211" sqref="H211"/>
    </sheetView>
  </sheetViews>
  <sheetFormatPr defaultRowHeight="15" x14ac:dyDescent="0.25"/>
  <cols>
    <col min="2" max="2" width="50" customWidth="1"/>
    <col min="3" max="3" width="15.28515625" customWidth="1"/>
    <col min="4" max="4" width="17.7109375" customWidth="1"/>
    <col min="5" max="6" width="16.85546875" customWidth="1"/>
    <col min="7" max="7" width="12.28515625" customWidth="1"/>
    <col min="8" max="8" width="15.71093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19" width="18.28515625" customWidth="1"/>
    <col min="20"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9" width="15.28515625" customWidth="1"/>
    <col min="30" max="30" width="15.7109375" customWidth="1"/>
  </cols>
  <sheetData>
    <row r="3" spans="1:30" x14ac:dyDescent="0.25">
      <c r="D3" s="105"/>
      <c r="E3" s="105"/>
      <c r="F3" s="105"/>
      <c r="G3" s="105"/>
      <c r="H3" s="105"/>
      <c r="I3" s="105"/>
      <c r="J3" s="105"/>
      <c r="K3" s="105"/>
      <c r="L3" s="105"/>
      <c r="M3" s="105"/>
      <c r="N3" s="105"/>
      <c r="O3" s="105"/>
      <c r="P3" s="105"/>
      <c r="Q3" s="105"/>
      <c r="R3" s="105"/>
      <c r="S3" s="105"/>
      <c r="T3" s="105"/>
      <c r="U3" s="105"/>
      <c r="V3" s="105"/>
      <c r="W3" s="105"/>
      <c r="X3" s="105"/>
      <c r="Y3" s="105"/>
      <c r="Z3" s="105"/>
      <c r="AA3" s="105"/>
      <c r="AB3" s="105"/>
      <c r="AC3" s="105"/>
    </row>
    <row r="4" spans="1:30" x14ac:dyDescent="0.25">
      <c r="A4" s="63">
        <v>1</v>
      </c>
      <c r="B4" s="44" t="s">
        <v>152</v>
      </c>
      <c r="T4" s="105"/>
      <c r="U4" s="105"/>
      <c r="V4" s="105"/>
      <c r="W4" s="105"/>
      <c r="X4" s="105"/>
      <c r="Y4" s="105"/>
      <c r="Z4" s="105"/>
      <c r="AA4" s="105"/>
      <c r="AB4" s="105"/>
      <c r="AC4" s="105"/>
      <c r="AD4" s="105"/>
    </row>
    <row r="5" spans="1:30" x14ac:dyDescent="0.25">
      <c r="T5" s="105"/>
      <c r="U5" s="105"/>
      <c r="V5" s="105"/>
      <c r="W5" s="105"/>
      <c r="X5" s="105"/>
      <c r="Y5" s="105"/>
      <c r="Z5" s="105"/>
      <c r="AA5" s="105"/>
      <c r="AB5" s="105"/>
      <c r="AC5" s="105"/>
      <c r="AD5" s="105"/>
    </row>
    <row r="6" spans="1:30" x14ac:dyDescent="0.25">
      <c r="B6" s="66" t="s">
        <v>166</v>
      </c>
      <c r="C6" s="68">
        <f>S9</f>
        <v>20000</v>
      </c>
      <c r="D6" t="s">
        <v>101</v>
      </c>
      <c r="T6" s="105"/>
      <c r="U6" s="105"/>
      <c r="V6" s="105"/>
      <c r="W6" s="105"/>
      <c r="X6" s="105"/>
      <c r="Y6" s="105"/>
      <c r="Z6" s="105"/>
      <c r="AA6" s="105"/>
      <c r="AB6" s="105"/>
      <c r="AC6" s="105"/>
      <c r="AD6" s="105"/>
    </row>
    <row r="7" spans="1:30" x14ac:dyDescent="0.25">
      <c r="T7" s="105"/>
      <c r="U7" s="105"/>
      <c r="V7" s="105"/>
      <c r="W7" s="105"/>
      <c r="X7" s="105"/>
      <c r="Y7" s="105"/>
      <c r="Z7" s="105"/>
      <c r="AA7" s="105"/>
      <c r="AB7" s="105"/>
      <c r="AC7" s="105"/>
      <c r="AD7" s="105"/>
    </row>
    <row r="8" spans="1:30" x14ac:dyDescent="0.25">
      <c r="C8" s="8" t="s">
        <v>19</v>
      </c>
      <c r="D8" s="15">
        <v>0</v>
      </c>
      <c r="E8" s="15">
        <v>1</v>
      </c>
      <c r="F8" s="15">
        <v>2</v>
      </c>
      <c r="G8" s="15">
        <v>3</v>
      </c>
      <c r="H8" s="15">
        <v>4</v>
      </c>
      <c r="I8" s="15">
        <v>5</v>
      </c>
      <c r="J8" s="15">
        <v>6</v>
      </c>
      <c r="K8" s="15">
        <v>7</v>
      </c>
      <c r="L8" s="15">
        <v>8</v>
      </c>
      <c r="M8" s="15">
        <v>9</v>
      </c>
      <c r="N8" s="15">
        <v>10</v>
      </c>
      <c r="O8" s="15">
        <v>11</v>
      </c>
      <c r="P8" s="15">
        <v>12</v>
      </c>
      <c r="Q8" s="15">
        <v>13</v>
      </c>
      <c r="R8" s="15">
        <v>14</v>
      </c>
      <c r="S8" s="95" t="s">
        <v>109</v>
      </c>
      <c r="T8" s="60"/>
      <c r="U8" s="60"/>
      <c r="V8" s="60"/>
      <c r="W8" s="60"/>
      <c r="X8" s="60"/>
      <c r="Y8" s="60"/>
      <c r="Z8" s="60"/>
      <c r="AA8" s="60"/>
      <c r="AB8" s="60"/>
      <c r="AC8" s="60"/>
      <c r="AD8" s="105"/>
    </row>
    <row r="9" spans="1:30" x14ac:dyDescent="0.25">
      <c r="B9" s="66" t="s">
        <v>167</v>
      </c>
      <c r="C9" s="47"/>
      <c r="D9" s="68">
        <v>0</v>
      </c>
      <c r="E9" s="68">
        <v>2500</v>
      </c>
      <c r="F9" s="68">
        <v>5000</v>
      </c>
      <c r="G9" s="68">
        <v>5000</v>
      </c>
      <c r="H9" s="68">
        <v>5000</v>
      </c>
      <c r="I9" s="68">
        <v>2500</v>
      </c>
      <c r="J9" s="68"/>
      <c r="K9" s="68"/>
      <c r="L9" s="68"/>
      <c r="M9" s="68"/>
      <c r="N9" s="68"/>
      <c r="O9" s="68"/>
      <c r="P9" s="68"/>
      <c r="Q9" s="68"/>
      <c r="R9" s="68"/>
      <c r="S9" s="53">
        <f>SUM(D9:R9)</f>
        <v>20000</v>
      </c>
      <c r="T9" s="77"/>
      <c r="U9" s="77"/>
      <c r="V9" s="77"/>
      <c r="W9" s="77"/>
      <c r="X9" s="77"/>
      <c r="Y9" s="77"/>
      <c r="Z9" s="77"/>
      <c r="AA9" s="77"/>
      <c r="AB9" s="77"/>
      <c r="AC9" s="77"/>
      <c r="AD9" s="105"/>
    </row>
    <row r="10" spans="1:30" x14ac:dyDescent="0.25">
      <c r="B10" s="66" t="s">
        <v>168</v>
      </c>
      <c r="C10" s="47"/>
      <c r="D10" s="68"/>
      <c r="E10" s="68"/>
      <c r="F10" s="68"/>
      <c r="G10" s="68"/>
      <c r="H10" s="68"/>
      <c r="I10" s="68"/>
      <c r="J10" s="68"/>
      <c r="K10" s="68"/>
      <c r="L10" s="68"/>
      <c r="M10" s="68"/>
      <c r="N10" s="68">
        <f>E9</f>
        <v>2500</v>
      </c>
      <c r="O10" s="68">
        <f t="shared" ref="O10:R10" si="0">F9</f>
        <v>5000</v>
      </c>
      <c r="P10" s="68">
        <f t="shared" si="0"/>
        <v>5000</v>
      </c>
      <c r="Q10" s="68">
        <f t="shared" si="0"/>
        <v>5000</v>
      </c>
      <c r="R10" s="68">
        <f t="shared" si="0"/>
        <v>2500</v>
      </c>
      <c r="S10" s="53">
        <f>SUM(D10:R10)</f>
        <v>20000</v>
      </c>
      <c r="T10" s="77"/>
      <c r="U10" s="77"/>
      <c r="V10" s="77"/>
      <c r="W10" s="77"/>
      <c r="X10" s="77"/>
      <c r="Y10" s="77"/>
      <c r="Z10" s="77"/>
      <c r="AA10" s="77"/>
      <c r="AB10" s="77"/>
      <c r="AC10" s="77"/>
      <c r="AD10" s="105"/>
    </row>
    <row r="11" spans="1:30" ht="19.149999999999999" customHeight="1" x14ac:dyDescent="0.25">
      <c r="B11" s="66" t="s">
        <v>169</v>
      </c>
      <c r="C11" s="47"/>
      <c r="D11" s="63"/>
      <c r="E11" s="63">
        <f>E9</f>
        <v>2500</v>
      </c>
      <c r="F11" s="63">
        <f t="shared" ref="F11:Q11" si="1">F9+E11-F10</f>
        <v>7500</v>
      </c>
      <c r="G11" s="63">
        <f t="shared" si="1"/>
        <v>12500</v>
      </c>
      <c r="H11" s="63">
        <f t="shared" si="1"/>
        <v>17500</v>
      </c>
      <c r="I11" s="63">
        <f t="shared" si="1"/>
        <v>20000</v>
      </c>
      <c r="J11" s="63">
        <f t="shared" si="1"/>
        <v>20000</v>
      </c>
      <c r="K11" s="63">
        <f t="shared" si="1"/>
        <v>20000</v>
      </c>
      <c r="L11" s="63">
        <f t="shared" si="1"/>
        <v>20000</v>
      </c>
      <c r="M11" s="63">
        <f t="shared" si="1"/>
        <v>20000</v>
      </c>
      <c r="N11" s="63">
        <f t="shared" si="1"/>
        <v>17500</v>
      </c>
      <c r="O11" s="63">
        <f t="shared" si="1"/>
        <v>12500</v>
      </c>
      <c r="P11" s="63">
        <f t="shared" si="1"/>
        <v>7500</v>
      </c>
      <c r="Q11" s="63">
        <f t="shared" si="1"/>
        <v>2500</v>
      </c>
      <c r="R11" s="63">
        <v>2500</v>
      </c>
      <c r="S11" s="53"/>
      <c r="T11" s="77"/>
      <c r="U11" s="77"/>
      <c r="V11" s="77"/>
      <c r="W11" s="77"/>
      <c r="X11" s="77"/>
      <c r="Y11" s="77"/>
      <c r="Z11" s="77"/>
      <c r="AA11" s="77"/>
      <c r="AB11" s="77"/>
      <c r="AC11" s="77"/>
      <c r="AD11" s="105"/>
    </row>
    <row r="12" spans="1:30" ht="19.149999999999999" customHeight="1" x14ac:dyDescent="0.25">
      <c r="B12" s="61"/>
      <c r="T12" s="105"/>
      <c r="U12" s="105"/>
      <c r="V12" s="105"/>
      <c r="W12" s="105"/>
      <c r="X12" s="105"/>
      <c r="Y12" s="105"/>
      <c r="Z12" s="105"/>
      <c r="AA12" s="105"/>
      <c r="AB12" s="105"/>
      <c r="AC12" s="105"/>
      <c r="AD12" s="175"/>
    </row>
    <row r="13" spans="1:30" ht="19.149999999999999" customHeight="1" x14ac:dyDescent="0.25">
      <c r="B13" s="96" t="s">
        <v>113</v>
      </c>
      <c r="AD13" s="83"/>
    </row>
    <row r="14" spans="1:30" ht="19.149999999999999" customHeight="1" x14ac:dyDescent="0.25">
      <c r="B14" t="s">
        <v>199</v>
      </c>
      <c r="AD14" s="83"/>
    </row>
    <row r="15" spans="1:30" ht="19.149999999999999" customHeight="1" x14ac:dyDescent="0.25">
      <c r="B15" s="486" t="s">
        <v>170</v>
      </c>
      <c r="C15" s="486"/>
      <c r="D15" s="486"/>
      <c r="E15" s="486"/>
      <c r="F15" s="486"/>
      <c r="G15" s="486"/>
      <c r="H15" s="486"/>
      <c r="I15" s="486"/>
      <c r="J15" s="486"/>
      <c r="K15" s="486"/>
      <c r="AD15" s="83"/>
    </row>
    <row r="16" spans="1:30" ht="19.149999999999999" customHeight="1" x14ac:dyDescent="0.25">
      <c r="B16" s="486" t="s">
        <v>171</v>
      </c>
      <c r="C16" s="486"/>
      <c r="D16" s="486"/>
      <c r="E16" s="486"/>
      <c r="F16" s="486"/>
      <c r="G16" s="486"/>
      <c r="H16" s="486"/>
      <c r="I16" s="486"/>
      <c r="J16" s="486"/>
      <c r="AD16" s="83"/>
    </row>
    <row r="18" spans="1:30" x14ac:dyDescent="0.25">
      <c r="A18" s="63">
        <v>2</v>
      </c>
      <c r="B18" t="s">
        <v>121</v>
      </c>
      <c r="C18" s="68">
        <v>2</v>
      </c>
      <c r="D18" t="s">
        <v>78</v>
      </c>
    </row>
    <row r="19" spans="1:30" x14ac:dyDescent="0.25">
      <c r="B19" t="s">
        <v>79</v>
      </c>
      <c r="C19" s="68">
        <v>1</v>
      </c>
      <c r="D19" t="s">
        <v>78</v>
      </c>
    </row>
    <row r="20" spans="1:30" x14ac:dyDescent="0.25">
      <c r="B20" t="s">
        <v>122</v>
      </c>
      <c r="C20" s="68">
        <f>C18-C19</f>
        <v>1</v>
      </c>
      <c r="D20" t="s">
        <v>78</v>
      </c>
    </row>
    <row r="21" spans="1:30" x14ac:dyDescent="0.25">
      <c r="C21" s="77"/>
    </row>
    <row r="22" spans="1:30" x14ac:dyDescent="0.25">
      <c r="B22" t="s">
        <v>159</v>
      </c>
      <c r="C22" s="68">
        <v>150</v>
      </c>
      <c r="D22" t="s">
        <v>9</v>
      </c>
      <c r="E22" t="s">
        <v>188</v>
      </c>
    </row>
    <row r="23" spans="1:30" x14ac:dyDescent="0.25">
      <c r="B23" t="s">
        <v>160</v>
      </c>
      <c r="C23" s="68">
        <v>112</v>
      </c>
      <c r="D23" t="s">
        <v>9</v>
      </c>
      <c r="E23" t="s">
        <v>189</v>
      </c>
    </row>
    <row r="24" spans="1:30" x14ac:dyDescent="0.25">
      <c r="C24" s="77"/>
    </row>
    <row r="25" spans="1:30" ht="17.45" customHeight="1" x14ac:dyDescent="0.25">
      <c r="C25" s="120" t="s">
        <v>18</v>
      </c>
      <c r="E25" s="62"/>
      <c r="F25" s="62"/>
      <c r="G25" s="62"/>
      <c r="H25" s="62"/>
      <c r="I25" s="62"/>
      <c r="J25" s="62"/>
      <c r="K25" s="62"/>
      <c r="L25" s="62"/>
    </row>
    <row r="26" spans="1:30" ht="17.45" customHeight="1" x14ac:dyDescent="0.25">
      <c r="B26" s="6" t="s">
        <v>92</v>
      </c>
      <c r="C26" s="134">
        <v>0</v>
      </c>
      <c r="E26" s="92"/>
      <c r="F26" s="92"/>
      <c r="G26" s="92"/>
      <c r="H26" s="92"/>
      <c r="I26" s="92"/>
      <c r="J26" s="92"/>
      <c r="K26" s="92"/>
      <c r="L26" s="92"/>
    </row>
    <row r="28" spans="1:30" x14ac:dyDescent="0.25">
      <c r="C28" s="71"/>
    </row>
    <row r="29" spans="1:30" x14ac:dyDescent="0.25">
      <c r="C29" s="71"/>
    </row>
    <row r="30" spans="1:30" x14ac:dyDescent="0.25">
      <c r="C30" s="71"/>
    </row>
    <row r="31" spans="1:30" x14ac:dyDescent="0.25">
      <c r="B31" s="99" t="s">
        <v>91</v>
      </c>
      <c r="C31" s="8" t="s">
        <v>19</v>
      </c>
      <c r="D31" s="15">
        <v>0</v>
      </c>
      <c r="E31" s="15">
        <v>1</v>
      </c>
      <c r="F31" s="15">
        <v>2</v>
      </c>
      <c r="G31" s="15">
        <v>3</v>
      </c>
      <c r="H31" s="15">
        <v>4</v>
      </c>
      <c r="I31" s="15">
        <v>5</v>
      </c>
      <c r="J31" s="15">
        <v>6</v>
      </c>
      <c r="K31" s="15">
        <v>7</v>
      </c>
      <c r="L31" s="15">
        <v>8</v>
      </c>
      <c r="M31" s="15">
        <v>9</v>
      </c>
      <c r="N31" s="15">
        <v>10</v>
      </c>
      <c r="O31" s="15">
        <v>11</v>
      </c>
      <c r="P31" s="15">
        <v>12</v>
      </c>
      <c r="Q31" s="15">
        <v>13</v>
      </c>
      <c r="R31" s="15">
        <v>14</v>
      </c>
      <c r="S31" s="15" t="s">
        <v>109</v>
      </c>
      <c r="T31" s="15"/>
      <c r="U31" s="15"/>
      <c r="V31" s="15"/>
      <c r="W31" s="15"/>
      <c r="X31" s="15"/>
      <c r="Y31" s="15"/>
      <c r="Z31" s="15"/>
      <c r="AA31" s="15"/>
      <c r="AB31" s="15"/>
      <c r="AC31" s="15"/>
      <c r="AD31" s="91"/>
    </row>
    <row r="32" spans="1:30" x14ac:dyDescent="0.25">
      <c r="B32" s="47" t="s">
        <v>83</v>
      </c>
      <c r="C32" s="47"/>
      <c r="D32" s="75">
        <v>0</v>
      </c>
      <c r="E32" s="75">
        <f>D37</f>
        <v>0</v>
      </c>
      <c r="F32" s="75">
        <f t="shared" ref="F32:R32" si="2">E37</f>
        <v>655000</v>
      </c>
      <c r="G32" s="75">
        <f t="shared" si="2"/>
        <v>1310000</v>
      </c>
      <c r="H32" s="75">
        <f t="shared" si="2"/>
        <v>1310000</v>
      </c>
      <c r="I32" s="75">
        <f t="shared" si="2"/>
        <v>1310000</v>
      </c>
      <c r="J32" s="103">
        <f t="shared" si="2"/>
        <v>655000</v>
      </c>
      <c r="K32" s="75">
        <f t="shared" si="2"/>
        <v>0</v>
      </c>
      <c r="L32" s="75">
        <f t="shared" si="2"/>
        <v>0</v>
      </c>
      <c r="M32" s="75">
        <f t="shared" si="2"/>
        <v>0</v>
      </c>
      <c r="N32" s="75">
        <f t="shared" si="2"/>
        <v>0</v>
      </c>
      <c r="O32" s="75">
        <f t="shared" si="2"/>
        <v>0</v>
      </c>
      <c r="P32" s="75">
        <f t="shared" si="2"/>
        <v>0</v>
      </c>
      <c r="Q32" s="75">
        <f t="shared" si="2"/>
        <v>0</v>
      </c>
      <c r="R32" s="75">
        <f t="shared" si="2"/>
        <v>0</v>
      </c>
      <c r="S32" s="90"/>
      <c r="T32" s="73"/>
      <c r="U32" s="73"/>
      <c r="V32" s="73"/>
      <c r="W32" s="73"/>
      <c r="X32" s="73"/>
      <c r="Y32" s="73"/>
      <c r="Z32" s="73"/>
      <c r="AA32" s="73"/>
      <c r="AB32" s="73"/>
      <c r="AC32" s="73"/>
      <c r="AD32" s="178"/>
    </row>
    <row r="33" spans="2:30" x14ac:dyDescent="0.25">
      <c r="B33" s="67" t="s">
        <v>84</v>
      </c>
      <c r="C33" s="47"/>
      <c r="D33" s="74">
        <f>($C22+$C23)*D9</f>
        <v>0</v>
      </c>
      <c r="E33" s="74">
        <f t="shared" ref="E33:R33" si="3">($C22+$C23)*E9</f>
        <v>655000</v>
      </c>
      <c r="F33" s="74">
        <f t="shared" si="3"/>
        <v>1310000</v>
      </c>
      <c r="G33" s="74">
        <f t="shared" si="3"/>
        <v>1310000</v>
      </c>
      <c r="H33" s="74">
        <f t="shared" si="3"/>
        <v>1310000</v>
      </c>
      <c r="I33" s="74">
        <f t="shared" si="3"/>
        <v>655000</v>
      </c>
      <c r="J33" s="74">
        <f t="shared" si="3"/>
        <v>0</v>
      </c>
      <c r="K33" s="74">
        <f t="shared" si="3"/>
        <v>0</v>
      </c>
      <c r="L33" s="74">
        <f t="shared" si="3"/>
        <v>0</v>
      </c>
      <c r="M33" s="74">
        <f t="shared" si="3"/>
        <v>0</v>
      </c>
      <c r="N33" s="74">
        <f t="shared" si="3"/>
        <v>0</v>
      </c>
      <c r="O33" s="74">
        <f t="shared" si="3"/>
        <v>0</v>
      </c>
      <c r="P33" s="74">
        <f t="shared" si="3"/>
        <v>0</v>
      </c>
      <c r="Q33" s="74">
        <f t="shared" si="3"/>
        <v>0</v>
      </c>
      <c r="R33" s="74">
        <f t="shared" si="3"/>
        <v>0</v>
      </c>
      <c r="S33" s="90">
        <f t="shared" ref="S33:S36" si="4">SUM(D33:R33)</f>
        <v>5240000</v>
      </c>
      <c r="T33" s="76"/>
      <c r="U33" s="76"/>
      <c r="V33" s="76"/>
      <c r="W33" s="76"/>
      <c r="X33" s="76"/>
      <c r="Y33" s="76"/>
      <c r="Z33" s="76"/>
      <c r="AA33" s="76"/>
      <c r="AB33" s="73"/>
      <c r="AC33" s="73"/>
      <c r="AD33" s="178"/>
    </row>
    <row r="34" spans="2:30" x14ac:dyDescent="0.25">
      <c r="B34" s="47" t="s">
        <v>85</v>
      </c>
      <c r="C34" s="47"/>
      <c r="D34" s="75">
        <v>0</v>
      </c>
      <c r="E34" s="75">
        <v>0</v>
      </c>
      <c r="F34" s="75">
        <f t="shared" ref="F34:R34" si="5">(E33+F32)*$D163</f>
        <v>314400</v>
      </c>
      <c r="G34" s="75">
        <f t="shared" si="5"/>
        <v>628800</v>
      </c>
      <c r="H34" s="75">
        <f t="shared" si="5"/>
        <v>628800</v>
      </c>
      <c r="I34" s="75">
        <f t="shared" si="5"/>
        <v>628800</v>
      </c>
      <c r="J34" s="75">
        <f t="shared" si="5"/>
        <v>314400</v>
      </c>
      <c r="K34" s="75">
        <f t="shared" si="5"/>
        <v>0</v>
      </c>
      <c r="L34" s="75">
        <f t="shared" si="5"/>
        <v>0</v>
      </c>
      <c r="M34" s="75">
        <f t="shared" si="5"/>
        <v>0</v>
      </c>
      <c r="N34" s="75">
        <f t="shared" si="5"/>
        <v>0</v>
      </c>
      <c r="O34" s="75">
        <f t="shared" si="5"/>
        <v>0</v>
      </c>
      <c r="P34" s="75">
        <f t="shared" si="5"/>
        <v>0</v>
      </c>
      <c r="Q34" s="75">
        <f t="shared" si="5"/>
        <v>0</v>
      </c>
      <c r="R34" s="75">
        <f t="shared" si="5"/>
        <v>0</v>
      </c>
      <c r="S34" s="90">
        <f t="shared" si="4"/>
        <v>2515200</v>
      </c>
      <c r="T34" s="73"/>
      <c r="U34" s="73"/>
      <c r="V34" s="73"/>
      <c r="W34" s="73"/>
      <c r="X34" s="73"/>
      <c r="Y34" s="73"/>
      <c r="Z34" s="73"/>
      <c r="AA34" s="73"/>
      <c r="AB34" s="73"/>
      <c r="AC34" s="73"/>
      <c r="AD34" s="178"/>
    </row>
    <row r="35" spans="2:30" x14ac:dyDescent="0.25">
      <c r="B35" s="47" t="s">
        <v>87</v>
      </c>
      <c r="C35" s="47"/>
      <c r="D35" s="75">
        <v>0</v>
      </c>
      <c r="E35" s="75">
        <v>0</v>
      </c>
      <c r="F35" s="75">
        <f>E33</f>
        <v>655000</v>
      </c>
      <c r="G35" s="75">
        <f>F33</f>
        <v>1310000</v>
      </c>
      <c r="H35" s="75">
        <f t="shared" ref="H35:R35" si="6">G33</f>
        <v>1310000</v>
      </c>
      <c r="I35" s="75">
        <f t="shared" si="6"/>
        <v>1310000</v>
      </c>
      <c r="J35" s="75">
        <f t="shared" si="6"/>
        <v>655000</v>
      </c>
      <c r="K35" s="75">
        <f t="shared" si="6"/>
        <v>0</v>
      </c>
      <c r="L35" s="75">
        <f t="shared" si="6"/>
        <v>0</v>
      </c>
      <c r="M35" s="75">
        <f t="shared" si="6"/>
        <v>0</v>
      </c>
      <c r="N35" s="75">
        <f t="shared" si="6"/>
        <v>0</v>
      </c>
      <c r="O35" s="75">
        <f t="shared" si="6"/>
        <v>0</v>
      </c>
      <c r="P35" s="75">
        <f t="shared" si="6"/>
        <v>0</v>
      </c>
      <c r="Q35" s="75">
        <f t="shared" si="6"/>
        <v>0</v>
      </c>
      <c r="R35" s="75">
        <f t="shared" si="6"/>
        <v>0</v>
      </c>
      <c r="S35" s="90">
        <f t="shared" si="4"/>
        <v>5240000</v>
      </c>
      <c r="T35" s="73"/>
      <c r="U35" s="73"/>
      <c r="V35" s="73"/>
      <c r="W35" s="73"/>
      <c r="X35" s="73"/>
      <c r="Y35" s="73"/>
      <c r="Z35" s="73"/>
      <c r="AA35" s="73"/>
      <c r="AB35" s="73"/>
      <c r="AC35" s="73"/>
      <c r="AD35" s="178"/>
    </row>
    <row r="36" spans="2:30" x14ac:dyDescent="0.25">
      <c r="B36" s="47" t="s">
        <v>120</v>
      </c>
      <c r="C36" s="47"/>
      <c r="D36" s="75">
        <f>D34+D35</f>
        <v>0</v>
      </c>
      <c r="E36" s="75">
        <f>E34+E35</f>
        <v>0</v>
      </c>
      <c r="F36" s="75">
        <f t="shared" ref="F36:R36" si="7">F34+F35</f>
        <v>969400</v>
      </c>
      <c r="G36" s="75">
        <f t="shared" si="7"/>
        <v>1938800</v>
      </c>
      <c r="H36" s="75">
        <f t="shared" si="7"/>
        <v>1938800</v>
      </c>
      <c r="I36" s="75">
        <f t="shared" si="7"/>
        <v>1938800</v>
      </c>
      <c r="J36" s="103">
        <f t="shared" si="7"/>
        <v>969400</v>
      </c>
      <c r="K36" s="75">
        <f t="shared" si="7"/>
        <v>0</v>
      </c>
      <c r="L36" s="75">
        <f t="shared" si="7"/>
        <v>0</v>
      </c>
      <c r="M36" s="75">
        <f t="shared" si="7"/>
        <v>0</v>
      </c>
      <c r="N36" s="75">
        <f t="shared" si="7"/>
        <v>0</v>
      </c>
      <c r="O36" s="75">
        <f t="shared" si="7"/>
        <v>0</v>
      </c>
      <c r="P36" s="75">
        <f t="shared" si="7"/>
        <v>0</v>
      </c>
      <c r="Q36" s="75">
        <f t="shared" si="7"/>
        <v>0</v>
      </c>
      <c r="R36" s="75">
        <f t="shared" si="7"/>
        <v>0</v>
      </c>
      <c r="S36" s="90">
        <f t="shared" si="4"/>
        <v>7755200</v>
      </c>
      <c r="T36" s="73"/>
      <c r="U36" s="73"/>
      <c r="V36" s="73"/>
      <c r="W36" s="73"/>
      <c r="X36" s="73"/>
      <c r="Y36" s="73"/>
      <c r="Z36" s="73"/>
      <c r="AA36" s="73"/>
      <c r="AB36" s="73"/>
      <c r="AC36" s="73"/>
      <c r="AD36" s="178"/>
    </row>
    <row r="37" spans="2:30" x14ac:dyDescent="0.25">
      <c r="B37" s="47" t="s">
        <v>86</v>
      </c>
      <c r="C37" s="47"/>
      <c r="D37" s="75">
        <f>D32+D33-D36</f>
        <v>0</v>
      </c>
      <c r="E37" s="75">
        <f>E32+E33-E36+E34</f>
        <v>655000</v>
      </c>
      <c r="F37" s="75">
        <f t="shared" ref="F37:R37" si="8">F32+F33-F36+F34</f>
        <v>1310000</v>
      </c>
      <c r="G37" s="75">
        <f t="shared" si="8"/>
        <v>1310000</v>
      </c>
      <c r="H37" s="75">
        <f t="shared" si="8"/>
        <v>1310000</v>
      </c>
      <c r="I37" s="75">
        <f t="shared" si="8"/>
        <v>655000</v>
      </c>
      <c r="J37" s="103">
        <f t="shared" si="8"/>
        <v>0</v>
      </c>
      <c r="K37" s="75">
        <f t="shared" si="8"/>
        <v>0</v>
      </c>
      <c r="L37" s="75">
        <f t="shared" si="8"/>
        <v>0</v>
      </c>
      <c r="M37" s="75">
        <f t="shared" si="8"/>
        <v>0</v>
      </c>
      <c r="N37" s="75">
        <f t="shared" si="8"/>
        <v>0</v>
      </c>
      <c r="O37" s="75">
        <f t="shared" si="8"/>
        <v>0</v>
      </c>
      <c r="P37" s="75">
        <f t="shared" si="8"/>
        <v>0</v>
      </c>
      <c r="Q37" s="75">
        <f t="shared" si="8"/>
        <v>0</v>
      </c>
      <c r="R37" s="75">
        <f t="shared" si="8"/>
        <v>0</v>
      </c>
      <c r="S37" s="90"/>
      <c r="T37" s="73"/>
      <c r="U37" s="73"/>
      <c r="V37" s="73"/>
      <c r="W37" s="73"/>
      <c r="X37" s="73"/>
      <c r="Y37" s="73"/>
      <c r="Z37" s="73"/>
      <c r="AA37" s="73"/>
      <c r="AB37" s="73"/>
      <c r="AC37" s="73"/>
      <c r="AD37" s="178"/>
    </row>
    <row r="38" spans="2:30" x14ac:dyDescent="0.25">
      <c r="C38" s="71"/>
    </row>
    <row r="39" spans="2:30" x14ac:dyDescent="0.25">
      <c r="B39" s="44"/>
      <c r="C39" s="71"/>
    </row>
    <row r="40" spans="2:30" x14ac:dyDescent="0.25">
      <c r="B40" s="44"/>
      <c r="C40" s="71"/>
    </row>
    <row r="41" spans="2:30" x14ac:dyDescent="0.25">
      <c r="B41" s="99" t="s">
        <v>90</v>
      </c>
      <c r="C41" s="8" t="s">
        <v>19</v>
      </c>
      <c r="D41" s="15">
        <v>0</v>
      </c>
      <c r="E41" s="15">
        <v>1</v>
      </c>
      <c r="F41" s="15">
        <v>2</v>
      </c>
      <c r="G41" s="15">
        <v>3</v>
      </c>
      <c r="H41" s="15">
        <v>4</v>
      </c>
      <c r="I41" s="15">
        <v>5</v>
      </c>
      <c r="J41" s="15">
        <v>6</v>
      </c>
      <c r="K41" s="15">
        <v>7</v>
      </c>
      <c r="L41" s="15">
        <v>8</v>
      </c>
      <c r="M41" s="15">
        <v>9</v>
      </c>
      <c r="N41" s="15">
        <v>10</v>
      </c>
      <c r="O41" s="15">
        <v>11</v>
      </c>
      <c r="P41" s="15">
        <v>12</v>
      </c>
      <c r="Q41" s="15">
        <v>13</v>
      </c>
      <c r="R41" s="16">
        <v>14</v>
      </c>
      <c r="S41" s="15" t="s">
        <v>109</v>
      </c>
      <c r="T41" s="15"/>
      <c r="U41" s="15"/>
      <c r="V41" s="15"/>
      <c r="W41" s="15"/>
      <c r="X41" s="15"/>
      <c r="Y41" s="15"/>
      <c r="Z41" s="15"/>
      <c r="AA41" s="15"/>
      <c r="AB41" s="15"/>
      <c r="AC41" s="15"/>
      <c r="AD41" s="91"/>
    </row>
    <row r="42" spans="2:30" x14ac:dyDescent="0.25">
      <c r="B42" s="47" t="s">
        <v>83</v>
      </c>
      <c r="C42" s="47"/>
      <c r="D42" s="75">
        <v>0</v>
      </c>
      <c r="E42" s="75">
        <f>D47</f>
        <v>0</v>
      </c>
      <c r="F42" s="75">
        <f t="shared" ref="F42:R42" si="9">E47</f>
        <v>375000</v>
      </c>
      <c r="G42" s="75">
        <f t="shared" si="9"/>
        <v>750000</v>
      </c>
      <c r="H42" s="75">
        <f t="shared" si="9"/>
        <v>750000</v>
      </c>
      <c r="I42" s="75">
        <f t="shared" si="9"/>
        <v>750000</v>
      </c>
      <c r="J42" s="103">
        <f t="shared" si="9"/>
        <v>375000</v>
      </c>
      <c r="K42" s="75">
        <f t="shared" si="9"/>
        <v>0</v>
      </c>
      <c r="L42" s="75">
        <f t="shared" si="9"/>
        <v>0</v>
      </c>
      <c r="M42" s="75">
        <f t="shared" si="9"/>
        <v>0</v>
      </c>
      <c r="N42" s="75">
        <f t="shared" si="9"/>
        <v>0</v>
      </c>
      <c r="O42" s="75">
        <f t="shared" si="9"/>
        <v>0</v>
      </c>
      <c r="P42" s="75">
        <f t="shared" si="9"/>
        <v>0</v>
      </c>
      <c r="Q42" s="176">
        <f t="shared" si="9"/>
        <v>0</v>
      </c>
      <c r="R42" s="75">
        <f t="shared" si="9"/>
        <v>0</v>
      </c>
      <c r="S42" s="90"/>
      <c r="T42" s="73"/>
      <c r="U42" s="73"/>
      <c r="V42" s="73"/>
      <c r="W42" s="73"/>
      <c r="X42" s="73"/>
      <c r="Y42" s="73"/>
      <c r="Z42" s="73"/>
      <c r="AA42" s="73"/>
      <c r="AB42" s="73"/>
      <c r="AC42" s="73"/>
      <c r="AD42" s="178"/>
    </row>
    <row r="43" spans="2:30" x14ac:dyDescent="0.25">
      <c r="B43" s="67" t="s">
        <v>84</v>
      </c>
      <c r="C43" s="47"/>
      <c r="D43" s="74">
        <f t="shared" ref="D43:R43" si="10">$C22*D9</f>
        <v>0</v>
      </c>
      <c r="E43" s="74">
        <f t="shared" si="10"/>
        <v>375000</v>
      </c>
      <c r="F43" s="74">
        <f t="shared" si="10"/>
        <v>750000</v>
      </c>
      <c r="G43" s="74">
        <f t="shared" si="10"/>
        <v>750000</v>
      </c>
      <c r="H43" s="74">
        <f t="shared" si="10"/>
        <v>750000</v>
      </c>
      <c r="I43" s="74">
        <f t="shared" si="10"/>
        <v>375000</v>
      </c>
      <c r="J43" s="74">
        <f t="shared" si="10"/>
        <v>0</v>
      </c>
      <c r="K43" s="74">
        <f t="shared" si="10"/>
        <v>0</v>
      </c>
      <c r="L43" s="74">
        <f t="shared" si="10"/>
        <v>0</v>
      </c>
      <c r="M43" s="74">
        <f t="shared" si="10"/>
        <v>0</v>
      </c>
      <c r="N43" s="74">
        <f t="shared" si="10"/>
        <v>0</v>
      </c>
      <c r="O43" s="74">
        <f t="shared" si="10"/>
        <v>0</v>
      </c>
      <c r="P43" s="74">
        <f t="shared" si="10"/>
        <v>0</v>
      </c>
      <c r="Q43" s="177">
        <f t="shared" si="10"/>
        <v>0</v>
      </c>
      <c r="R43" s="74">
        <f t="shared" si="10"/>
        <v>0</v>
      </c>
      <c r="S43" s="90">
        <f t="shared" ref="S43:S46" si="11">SUM(D43:R43)</f>
        <v>3000000</v>
      </c>
      <c r="T43" s="76"/>
      <c r="U43" s="76"/>
      <c r="V43" s="76"/>
      <c r="W43" s="76"/>
      <c r="X43" s="76"/>
      <c r="Y43" s="76"/>
      <c r="Z43" s="76"/>
      <c r="AA43" s="76"/>
      <c r="AB43" s="76"/>
      <c r="AC43" s="76"/>
      <c r="AD43" s="178"/>
    </row>
    <row r="44" spans="2:30" x14ac:dyDescent="0.25">
      <c r="B44" s="47" t="s">
        <v>85</v>
      </c>
      <c r="C44" s="47"/>
      <c r="D44" s="75">
        <v>0</v>
      </c>
      <c r="E44" s="75">
        <v>0</v>
      </c>
      <c r="F44" s="75">
        <f t="shared" ref="F44:R44" si="12">(E43+F42)*$D163</f>
        <v>180000</v>
      </c>
      <c r="G44" s="75">
        <f t="shared" si="12"/>
        <v>360000</v>
      </c>
      <c r="H44" s="75">
        <f t="shared" si="12"/>
        <v>360000</v>
      </c>
      <c r="I44" s="75">
        <f t="shared" si="12"/>
        <v>360000</v>
      </c>
      <c r="J44" s="75">
        <f t="shared" si="12"/>
        <v>180000</v>
      </c>
      <c r="K44" s="75">
        <f t="shared" si="12"/>
        <v>0</v>
      </c>
      <c r="L44" s="75">
        <f t="shared" si="12"/>
        <v>0</v>
      </c>
      <c r="M44" s="75">
        <f t="shared" si="12"/>
        <v>0</v>
      </c>
      <c r="N44" s="75">
        <f t="shared" si="12"/>
        <v>0</v>
      </c>
      <c r="O44" s="75">
        <f t="shared" si="12"/>
        <v>0</v>
      </c>
      <c r="P44" s="75">
        <f t="shared" si="12"/>
        <v>0</v>
      </c>
      <c r="Q44" s="75">
        <f t="shared" si="12"/>
        <v>0</v>
      </c>
      <c r="R44" s="75">
        <f t="shared" si="12"/>
        <v>0</v>
      </c>
      <c r="S44" s="90">
        <f t="shared" si="11"/>
        <v>1440000</v>
      </c>
      <c r="T44" s="73"/>
      <c r="U44" s="73"/>
      <c r="V44" s="73"/>
      <c r="W44" s="73"/>
      <c r="X44" s="73"/>
      <c r="Y44" s="73"/>
      <c r="Z44" s="73"/>
      <c r="AA44" s="73"/>
      <c r="AB44" s="73"/>
      <c r="AC44" s="73"/>
      <c r="AD44" s="178"/>
    </row>
    <row r="45" spans="2:30" x14ac:dyDescent="0.25">
      <c r="B45" s="47" t="s">
        <v>87</v>
      </c>
      <c r="C45" s="47"/>
      <c r="D45" s="75">
        <v>0</v>
      </c>
      <c r="E45" s="75">
        <v>0</v>
      </c>
      <c r="F45" s="75">
        <f>F42</f>
        <v>375000</v>
      </c>
      <c r="G45" s="75">
        <f t="shared" ref="G45:R45" si="13">G42</f>
        <v>750000</v>
      </c>
      <c r="H45" s="75">
        <f t="shared" si="13"/>
        <v>750000</v>
      </c>
      <c r="I45" s="75">
        <f t="shared" si="13"/>
        <v>750000</v>
      </c>
      <c r="J45" s="75">
        <f t="shared" si="13"/>
        <v>375000</v>
      </c>
      <c r="K45" s="75">
        <f t="shared" si="13"/>
        <v>0</v>
      </c>
      <c r="L45" s="75">
        <f t="shared" si="13"/>
        <v>0</v>
      </c>
      <c r="M45" s="75">
        <f t="shared" si="13"/>
        <v>0</v>
      </c>
      <c r="N45" s="75">
        <f t="shared" si="13"/>
        <v>0</v>
      </c>
      <c r="O45" s="75">
        <f t="shared" si="13"/>
        <v>0</v>
      </c>
      <c r="P45" s="75">
        <f t="shared" si="13"/>
        <v>0</v>
      </c>
      <c r="Q45" s="75">
        <f t="shared" si="13"/>
        <v>0</v>
      </c>
      <c r="R45" s="75">
        <f t="shared" si="13"/>
        <v>0</v>
      </c>
      <c r="S45" s="90">
        <f t="shared" si="11"/>
        <v>3000000</v>
      </c>
      <c r="T45" s="73"/>
      <c r="U45" s="73"/>
      <c r="V45" s="73"/>
      <c r="W45" s="73"/>
      <c r="X45" s="73"/>
      <c r="Y45" s="73"/>
      <c r="Z45" s="73"/>
      <c r="AA45" s="73"/>
      <c r="AB45" s="73"/>
      <c r="AC45" s="73"/>
      <c r="AD45" s="178"/>
    </row>
    <row r="46" spans="2:30" x14ac:dyDescent="0.25">
      <c r="B46" s="47" t="s">
        <v>120</v>
      </c>
      <c r="C46" s="47"/>
      <c r="D46" s="75">
        <f>D44+D45</f>
        <v>0</v>
      </c>
      <c r="E46" s="75">
        <f t="shared" ref="E46:R46" si="14">E44+E45</f>
        <v>0</v>
      </c>
      <c r="F46" s="75">
        <f t="shared" si="14"/>
        <v>555000</v>
      </c>
      <c r="G46" s="75">
        <f t="shared" si="14"/>
        <v>1110000</v>
      </c>
      <c r="H46" s="75">
        <f t="shared" si="14"/>
        <v>1110000</v>
      </c>
      <c r="I46" s="75">
        <f t="shared" si="14"/>
        <v>1110000</v>
      </c>
      <c r="J46" s="103">
        <f t="shared" si="14"/>
        <v>555000</v>
      </c>
      <c r="K46" s="75">
        <f t="shared" si="14"/>
        <v>0</v>
      </c>
      <c r="L46" s="75">
        <f t="shared" si="14"/>
        <v>0</v>
      </c>
      <c r="M46" s="75">
        <f t="shared" si="14"/>
        <v>0</v>
      </c>
      <c r="N46" s="75">
        <f t="shared" si="14"/>
        <v>0</v>
      </c>
      <c r="O46" s="75">
        <f t="shared" si="14"/>
        <v>0</v>
      </c>
      <c r="P46" s="75">
        <f t="shared" si="14"/>
        <v>0</v>
      </c>
      <c r="Q46" s="176">
        <f t="shared" si="14"/>
        <v>0</v>
      </c>
      <c r="R46" s="75">
        <f t="shared" si="14"/>
        <v>0</v>
      </c>
      <c r="S46" s="90">
        <f t="shared" si="11"/>
        <v>4440000</v>
      </c>
      <c r="T46" s="73"/>
      <c r="U46" s="73"/>
      <c r="V46" s="73"/>
      <c r="W46" s="73"/>
      <c r="X46" s="73"/>
      <c r="Y46" s="73"/>
      <c r="Z46" s="73"/>
      <c r="AA46" s="73"/>
      <c r="AB46" s="73"/>
      <c r="AC46" s="73"/>
      <c r="AD46" s="178"/>
    </row>
    <row r="47" spans="2:30" x14ac:dyDescent="0.25">
      <c r="B47" s="47" t="s">
        <v>86</v>
      </c>
      <c r="C47" s="47"/>
      <c r="D47" s="75">
        <f>D42+D43-D46</f>
        <v>0</v>
      </c>
      <c r="E47" s="75">
        <f>E42+E43-E46+E44</f>
        <v>375000</v>
      </c>
      <c r="F47" s="75">
        <f t="shared" ref="F47:R47" si="15">F42+F43-F46+F44</f>
        <v>750000</v>
      </c>
      <c r="G47" s="75">
        <f t="shared" si="15"/>
        <v>750000</v>
      </c>
      <c r="H47" s="75">
        <f t="shared" si="15"/>
        <v>750000</v>
      </c>
      <c r="I47" s="75">
        <f t="shared" si="15"/>
        <v>375000</v>
      </c>
      <c r="J47" s="103">
        <f t="shared" si="15"/>
        <v>0</v>
      </c>
      <c r="K47" s="75">
        <f t="shared" si="15"/>
        <v>0</v>
      </c>
      <c r="L47" s="75">
        <f t="shared" si="15"/>
        <v>0</v>
      </c>
      <c r="M47" s="75">
        <f t="shared" si="15"/>
        <v>0</v>
      </c>
      <c r="N47" s="75">
        <f t="shared" si="15"/>
        <v>0</v>
      </c>
      <c r="O47" s="75">
        <f t="shared" si="15"/>
        <v>0</v>
      </c>
      <c r="P47" s="75">
        <f t="shared" si="15"/>
        <v>0</v>
      </c>
      <c r="Q47" s="176">
        <f t="shared" si="15"/>
        <v>0</v>
      </c>
      <c r="R47" s="75">
        <f t="shared" si="15"/>
        <v>0</v>
      </c>
      <c r="S47" s="90"/>
      <c r="T47" s="73"/>
      <c r="U47" s="73"/>
      <c r="V47" s="73"/>
      <c r="W47" s="73"/>
      <c r="X47" s="73"/>
      <c r="Y47" s="73"/>
      <c r="Z47" s="73"/>
      <c r="AA47" s="73"/>
      <c r="AB47" s="73"/>
      <c r="AC47" s="73"/>
      <c r="AD47" s="178"/>
    </row>
    <row r="48" spans="2:30" x14ac:dyDescent="0.25">
      <c r="C48" s="72"/>
      <c r="D48" s="73"/>
      <c r="E48" s="73"/>
      <c r="F48" s="73"/>
      <c r="G48" s="73"/>
      <c r="H48" s="73"/>
      <c r="I48" s="73"/>
      <c r="J48" s="73"/>
      <c r="K48" s="73"/>
      <c r="L48" s="73"/>
      <c r="M48" s="73"/>
      <c r="N48" s="73"/>
      <c r="O48" s="73"/>
      <c r="P48" s="73"/>
      <c r="Q48" s="73"/>
      <c r="R48" s="73"/>
      <c r="S48" s="73"/>
      <c r="T48" s="73"/>
      <c r="U48" s="73"/>
      <c r="V48" s="73"/>
      <c r="W48" s="73"/>
    </row>
    <row r="49" spans="2:30" hidden="1" x14ac:dyDescent="0.25">
      <c r="B49" s="44" t="s">
        <v>88</v>
      </c>
      <c r="C49" s="71"/>
      <c r="T49" s="73"/>
      <c r="U49" s="73"/>
      <c r="V49" s="73"/>
      <c r="W49" s="73"/>
    </row>
    <row r="50" spans="2:30" hidden="1" x14ac:dyDescent="0.25">
      <c r="B50" s="44"/>
      <c r="C50" s="71"/>
      <c r="T50" s="73"/>
      <c r="U50" s="73"/>
      <c r="V50" s="73"/>
      <c r="W50" s="73"/>
    </row>
    <row r="51" spans="2:30" hidden="1" x14ac:dyDescent="0.25">
      <c r="B51" s="99" t="s">
        <v>90</v>
      </c>
      <c r="C51" s="8" t="s">
        <v>19</v>
      </c>
      <c r="D51" s="15">
        <v>0</v>
      </c>
      <c r="E51" s="15">
        <v>1</v>
      </c>
      <c r="F51" s="15">
        <v>2</v>
      </c>
      <c r="G51" s="15">
        <v>3</v>
      </c>
      <c r="H51" s="15">
        <v>4</v>
      </c>
      <c r="I51" s="15">
        <v>5</v>
      </c>
      <c r="J51" s="15">
        <v>6</v>
      </c>
      <c r="K51" s="15">
        <v>7</v>
      </c>
      <c r="L51" s="15">
        <v>8</v>
      </c>
      <c r="M51" s="15">
        <v>9</v>
      </c>
      <c r="N51" s="15">
        <v>10</v>
      </c>
      <c r="O51" s="15">
        <v>11</v>
      </c>
      <c r="P51" s="15">
        <v>12</v>
      </c>
      <c r="Q51" s="15">
        <v>13</v>
      </c>
      <c r="R51" s="15">
        <v>14</v>
      </c>
      <c r="S51" s="15">
        <v>15</v>
      </c>
      <c r="T51" s="15">
        <v>16</v>
      </c>
      <c r="U51" s="15">
        <v>17</v>
      </c>
      <c r="V51" s="15">
        <v>18</v>
      </c>
      <c r="W51" s="15">
        <v>19</v>
      </c>
      <c r="X51" s="15">
        <v>20</v>
      </c>
      <c r="Y51" s="15">
        <v>21</v>
      </c>
      <c r="Z51" s="15">
        <v>22</v>
      </c>
      <c r="AA51" s="15">
        <v>23</v>
      </c>
      <c r="AB51" s="15">
        <v>24</v>
      </c>
      <c r="AC51" s="15"/>
    </row>
    <row r="52" spans="2:30" hidden="1" x14ac:dyDescent="0.25">
      <c r="B52" s="47" t="s">
        <v>83</v>
      </c>
      <c r="C52" s="47"/>
      <c r="D52" s="75"/>
      <c r="E52" s="75" t="e">
        <f>D57</f>
        <v>#REF!</v>
      </c>
      <c r="F52" s="75" t="e">
        <f t="shared" ref="F52:AB52" si="16">E57</f>
        <v>#REF!</v>
      </c>
      <c r="G52" s="75" t="e">
        <f t="shared" si="16"/>
        <v>#REF!</v>
      </c>
      <c r="H52" s="75" t="e">
        <f t="shared" si="16"/>
        <v>#REF!</v>
      </c>
      <c r="I52" s="75" t="e">
        <f t="shared" si="16"/>
        <v>#REF!</v>
      </c>
      <c r="J52" s="103" t="e">
        <f t="shared" si="16"/>
        <v>#REF!</v>
      </c>
      <c r="K52" s="75" t="e">
        <f t="shared" si="16"/>
        <v>#REF!</v>
      </c>
      <c r="L52" s="75" t="e">
        <f t="shared" si="16"/>
        <v>#REF!</v>
      </c>
      <c r="M52" s="75" t="e">
        <f t="shared" si="16"/>
        <v>#REF!</v>
      </c>
      <c r="N52" s="75" t="e">
        <f t="shared" si="16"/>
        <v>#REF!</v>
      </c>
      <c r="O52" s="75" t="e">
        <f t="shared" si="16"/>
        <v>#REF!</v>
      </c>
      <c r="P52" s="75" t="e">
        <f t="shared" si="16"/>
        <v>#REF!</v>
      </c>
      <c r="Q52" s="75" t="e">
        <f t="shared" si="16"/>
        <v>#REF!</v>
      </c>
      <c r="R52" s="75" t="e">
        <f t="shared" si="16"/>
        <v>#REF!</v>
      </c>
      <c r="S52" s="75" t="e">
        <f t="shared" si="16"/>
        <v>#REF!</v>
      </c>
      <c r="T52" s="75" t="e">
        <f t="shared" si="16"/>
        <v>#REF!</v>
      </c>
      <c r="U52" s="75" t="e">
        <f t="shared" si="16"/>
        <v>#REF!</v>
      </c>
      <c r="V52" s="75" t="e">
        <f t="shared" si="16"/>
        <v>#REF!</v>
      </c>
      <c r="W52" s="75" t="e">
        <f t="shared" si="16"/>
        <v>#REF!</v>
      </c>
      <c r="X52" s="75" t="e">
        <f t="shared" si="16"/>
        <v>#REF!</v>
      </c>
      <c r="Y52" s="75" t="e">
        <f t="shared" si="16"/>
        <v>#REF!</v>
      </c>
      <c r="Z52" s="75" t="e">
        <f t="shared" si="16"/>
        <v>#REF!</v>
      </c>
      <c r="AA52" s="75" t="e">
        <f t="shared" si="16"/>
        <v>#REF!</v>
      </c>
      <c r="AB52" s="75" t="e">
        <f t="shared" si="16"/>
        <v>#REF!</v>
      </c>
      <c r="AC52" s="73"/>
      <c r="AD52" s="89"/>
    </row>
    <row r="53" spans="2:30" hidden="1" x14ac:dyDescent="0.25">
      <c r="B53" s="67" t="s">
        <v>84</v>
      </c>
      <c r="C53" s="47"/>
      <c r="D53" s="74" t="e">
        <f>$C22*#REF!</f>
        <v>#REF!</v>
      </c>
      <c r="E53" s="74" t="e">
        <f>$C22*#REF!</f>
        <v>#REF!</v>
      </c>
      <c r="F53" s="74" t="e">
        <f>$C22*#REF!</f>
        <v>#REF!</v>
      </c>
      <c r="G53" s="74" t="e">
        <f>$C22*#REF!</f>
        <v>#REF!</v>
      </c>
      <c r="H53" s="74" t="e">
        <f>$C22*#REF!</f>
        <v>#REF!</v>
      </c>
      <c r="I53" s="74" t="e">
        <f>$C22*#REF!</f>
        <v>#REF!</v>
      </c>
      <c r="J53" s="74" t="e">
        <f>$C22*#REF!</f>
        <v>#REF!</v>
      </c>
      <c r="K53" s="74" t="e">
        <f>$C22*#REF!</f>
        <v>#REF!</v>
      </c>
      <c r="L53" s="74" t="e">
        <f>$C22*#REF!</f>
        <v>#REF!</v>
      </c>
      <c r="M53" s="74" t="e">
        <f>$C22*#REF!</f>
        <v>#REF!</v>
      </c>
      <c r="N53" s="74" t="e">
        <f>$C22*#REF!</f>
        <v>#REF!</v>
      </c>
      <c r="O53" s="74" t="e">
        <f>$C22*#REF!</f>
        <v>#REF!</v>
      </c>
      <c r="P53" s="74" t="e">
        <f>$C22*#REF!</f>
        <v>#REF!</v>
      </c>
      <c r="Q53" s="74" t="e">
        <f>$C22*#REF!</f>
        <v>#REF!</v>
      </c>
      <c r="R53" s="74" t="e">
        <f>$C22*#REF!</f>
        <v>#REF!</v>
      </c>
      <c r="S53" s="74" t="e">
        <f>$C22*#REF!</f>
        <v>#REF!</v>
      </c>
      <c r="T53" s="74" t="e">
        <f>$C22*#REF!</f>
        <v>#REF!</v>
      </c>
      <c r="U53" s="74" t="e">
        <f>$C22*#REF!</f>
        <v>#REF!</v>
      </c>
      <c r="V53" s="74" t="e">
        <f>$C22*#REF!</f>
        <v>#REF!</v>
      </c>
      <c r="W53" s="74" t="e">
        <f>$C22*#REF!</f>
        <v>#REF!</v>
      </c>
      <c r="X53" s="74" t="e">
        <f>$C22*#REF!</f>
        <v>#REF!</v>
      </c>
      <c r="Y53" s="74" t="e">
        <f>$C22*#REF!</f>
        <v>#REF!</v>
      </c>
      <c r="Z53" s="74" t="e">
        <f>$C22*#REF!</f>
        <v>#REF!</v>
      </c>
      <c r="AA53" s="74" t="e">
        <f>$C22*#REF!</f>
        <v>#REF!</v>
      </c>
      <c r="AB53" s="74" t="e">
        <f>$C22*#REF!</f>
        <v>#REF!</v>
      </c>
      <c r="AC53" s="76"/>
      <c r="AD53" s="89" t="e">
        <f>SUM(D53:AB53)</f>
        <v>#REF!</v>
      </c>
    </row>
    <row r="54" spans="2:30" hidden="1" x14ac:dyDescent="0.25">
      <c r="B54" s="47" t="s">
        <v>85</v>
      </c>
      <c r="C54" s="47"/>
      <c r="D54" s="75">
        <v>0</v>
      </c>
      <c r="E54" s="75" t="e">
        <f t="shared" ref="E54:AB54" si="17">E52*$D163</f>
        <v>#REF!</v>
      </c>
      <c r="F54" s="75" t="e">
        <f t="shared" si="17"/>
        <v>#REF!</v>
      </c>
      <c r="G54" s="75" t="e">
        <f t="shared" si="17"/>
        <v>#REF!</v>
      </c>
      <c r="H54" s="75" t="e">
        <f t="shared" si="17"/>
        <v>#REF!</v>
      </c>
      <c r="I54" s="75" t="e">
        <f t="shared" si="17"/>
        <v>#REF!</v>
      </c>
      <c r="J54" s="75" t="e">
        <f t="shared" si="17"/>
        <v>#REF!</v>
      </c>
      <c r="K54" s="75" t="e">
        <f t="shared" si="17"/>
        <v>#REF!</v>
      </c>
      <c r="L54" s="75" t="e">
        <f t="shared" si="17"/>
        <v>#REF!</v>
      </c>
      <c r="M54" s="75" t="e">
        <f t="shared" si="17"/>
        <v>#REF!</v>
      </c>
      <c r="N54" s="75" t="e">
        <f t="shared" si="17"/>
        <v>#REF!</v>
      </c>
      <c r="O54" s="75" t="e">
        <f t="shared" si="17"/>
        <v>#REF!</v>
      </c>
      <c r="P54" s="75" t="e">
        <f t="shared" si="17"/>
        <v>#REF!</v>
      </c>
      <c r="Q54" s="75" t="e">
        <f t="shared" si="17"/>
        <v>#REF!</v>
      </c>
      <c r="R54" s="75" t="e">
        <f t="shared" si="17"/>
        <v>#REF!</v>
      </c>
      <c r="S54" s="75" t="e">
        <f t="shared" si="17"/>
        <v>#REF!</v>
      </c>
      <c r="T54" s="75" t="e">
        <f t="shared" si="17"/>
        <v>#REF!</v>
      </c>
      <c r="U54" s="75" t="e">
        <f t="shared" si="17"/>
        <v>#REF!</v>
      </c>
      <c r="V54" s="75" t="e">
        <f t="shared" si="17"/>
        <v>#REF!</v>
      </c>
      <c r="W54" s="75" t="e">
        <f t="shared" si="17"/>
        <v>#REF!</v>
      </c>
      <c r="X54" s="75" t="e">
        <f t="shared" si="17"/>
        <v>#REF!</v>
      </c>
      <c r="Y54" s="75" t="e">
        <f t="shared" si="17"/>
        <v>#REF!</v>
      </c>
      <c r="Z54" s="75" t="e">
        <f t="shared" si="17"/>
        <v>#REF!</v>
      </c>
      <c r="AA54" s="75" t="e">
        <f t="shared" si="17"/>
        <v>#REF!</v>
      </c>
      <c r="AB54" s="75" t="e">
        <f t="shared" si="17"/>
        <v>#REF!</v>
      </c>
      <c r="AC54" s="73"/>
      <c r="AD54" s="89" t="e">
        <f>SUM(D54:AB54)</f>
        <v>#REF!</v>
      </c>
    </row>
    <row r="55" spans="2:30" hidden="1" x14ac:dyDescent="0.25">
      <c r="B55" s="47" t="s">
        <v>87</v>
      </c>
      <c r="C55" s="47"/>
      <c r="D55" s="75">
        <f>D45</f>
        <v>0</v>
      </c>
      <c r="E55" s="75">
        <f t="shared" ref="E55:AB55" si="18">E45</f>
        <v>0</v>
      </c>
      <c r="F55" s="75">
        <f t="shared" si="18"/>
        <v>375000</v>
      </c>
      <c r="G55" s="75">
        <f t="shared" si="18"/>
        <v>750000</v>
      </c>
      <c r="H55" s="75">
        <f t="shared" si="18"/>
        <v>750000</v>
      </c>
      <c r="I55" s="75">
        <f t="shared" si="18"/>
        <v>750000</v>
      </c>
      <c r="J55" s="75">
        <f t="shared" si="18"/>
        <v>375000</v>
      </c>
      <c r="K55" s="75">
        <f t="shared" si="18"/>
        <v>0</v>
      </c>
      <c r="L55" s="75">
        <f t="shared" si="18"/>
        <v>0</v>
      </c>
      <c r="M55" s="75">
        <f t="shared" si="18"/>
        <v>0</v>
      </c>
      <c r="N55" s="75">
        <f t="shared" si="18"/>
        <v>0</v>
      </c>
      <c r="O55" s="75">
        <f t="shared" si="18"/>
        <v>0</v>
      </c>
      <c r="P55" s="75">
        <f t="shared" si="18"/>
        <v>0</v>
      </c>
      <c r="Q55" s="75">
        <f t="shared" si="18"/>
        <v>0</v>
      </c>
      <c r="R55" s="75">
        <f t="shared" si="18"/>
        <v>0</v>
      </c>
      <c r="S55" s="75">
        <f t="shared" si="18"/>
        <v>3000000</v>
      </c>
      <c r="T55" s="75">
        <f t="shared" si="18"/>
        <v>0</v>
      </c>
      <c r="U55" s="75">
        <f t="shared" si="18"/>
        <v>0</v>
      </c>
      <c r="V55" s="75">
        <f t="shared" si="18"/>
        <v>0</v>
      </c>
      <c r="W55" s="75">
        <f t="shared" si="18"/>
        <v>0</v>
      </c>
      <c r="X55" s="75">
        <f t="shared" si="18"/>
        <v>0</v>
      </c>
      <c r="Y55" s="75">
        <f t="shared" si="18"/>
        <v>0</v>
      </c>
      <c r="Z55" s="75">
        <f t="shared" si="18"/>
        <v>0</v>
      </c>
      <c r="AA55" s="75">
        <f t="shared" si="18"/>
        <v>0</v>
      </c>
      <c r="AB55" s="75">
        <f t="shared" si="18"/>
        <v>0</v>
      </c>
      <c r="AC55" s="73"/>
      <c r="AD55" s="89">
        <f>SUM(D55:AB55)</f>
        <v>6000000</v>
      </c>
    </row>
    <row r="56" spans="2:30" hidden="1" x14ac:dyDescent="0.25">
      <c r="B56" s="47" t="s">
        <v>120</v>
      </c>
      <c r="C56" s="47"/>
      <c r="D56" s="75">
        <f>D54+D55</f>
        <v>0</v>
      </c>
      <c r="E56" s="75" t="e">
        <f t="shared" ref="E56:AB56" si="19">E54+E55</f>
        <v>#REF!</v>
      </c>
      <c r="F56" s="75" t="e">
        <f t="shared" si="19"/>
        <v>#REF!</v>
      </c>
      <c r="G56" s="75" t="e">
        <f t="shared" si="19"/>
        <v>#REF!</v>
      </c>
      <c r="H56" s="75" t="e">
        <f t="shared" si="19"/>
        <v>#REF!</v>
      </c>
      <c r="I56" s="75" t="e">
        <f t="shared" si="19"/>
        <v>#REF!</v>
      </c>
      <c r="J56" s="103" t="e">
        <f t="shared" si="19"/>
        <v>#REF!</v>
      </c>
      <c r="K56" s="75" t="e">
        <f t="shared" si="19"/>
        <v>#REF!</v>
      </c>
      <c r="L56" s="75" t="e">
        <f t="shared" si="19"/>
        <v>#REF!</v>
      </c>
      <c r="M56" s="75" t="e">
        <f t="shared" si="19"/>
        <v>#REF!</v>
      </c>
      <c r="N56" s="75" t="e">
        <f t="shared" si="19"/>
        <v>#REF!</v>
      </c>
      <c r="O56" s="75" t="e">
        <f t="shared" si="19"/>
        <v>#REF!</v>
      </c>
      <c r="P56" s="75" t="e">
        <f t="shared" si="19"/>
        <v>#REF!</v>
      </c>
      <c r="Q56" s="75" t="e">
        <f t="shared" si="19"/>
        <v>#REF!</v>
      </c>
      <c r="R56" s="75" t="e">
        <f t="shared" si="19"/>
        <v>#REF!</v>
      </c>
      <c r="S56" s="75" t="e">
        <f t="shared" si="19"/>
        <v>#REF!</v>
      </c>
      <c r="T56" s="75" t="e">
        <f t="shared" si="19"/>
        <v>#REF!</v>
      </c>
      <c r="U56" s="75" t="e">
        <f t="shared" si="19"/>
        <v>#REF!</v>
      </c>
      <c r="V56" s="75" t="e">
        <f t="shared" si="19"/>
        <v>#REF!</v>
      </c>
      <c r="W56" s="75" t="e">
        <f t="shared" si="19"/>
        <v>#REF!</v>
      </c>
      <c r="X56" s="75" t="e">
        <f t="shared" si="19"/>
        <v>#REF!</v>
      </c>
      <c r="Y56" s="75" t="e">
        <f t="shared" si="19"/>
        <v>#REF!</v>
      </c>
      <c r="Z56" s="75" t="e">
        <f t="shared" si="19"/>
        <v>#REF!</v>
      </c>
      <c r="AA56" s="75" t="e">
        <f t="shared" si="19"/>
        <v>#REF!</v>
      </c>
      <c r="AB56" s="75" t="e">
        <f t="shared" si="19"/>
        <v>#REF!</v>
      </c>
      <c r="AC56" s="73"/>
      <c r="AD56" s="89" t="e">
        <f>SUM(D56:AB56)</f>
        <v>#REF!</v>
      </c>
    </row>
    <row r="57" spans="2:30" hidden="1" x14ac:dyDescent="0.25">
      <c r="B57" s="47" t="s">
        <v>86</v>
      </c>
      <c r="C57" s="47"/>
      <c r="D57" s="75" t="e">
        <f>D52+D53-D56</f>
        <v>#REF!</v>
      </c>
      <c r="E57" s="75" t="e">
        <f>E52+E53-E56+E54</f>
        <v>#REF!</v>
      </c>
      <c r="F57" s="75" t="e">
        <f t="shared" ref="F57:AB57" si="20">F52+F53-F56+F54</f>
        <v>#REF!</v>
      </c>
      <c r="G57" s="75" t="e">
        <f t="shared" si="20"/>
        <v>#REF!</v>
      </c>
      <c r="H57" s="75" t="e">
        <f t="shared" si="20"/>
        <v>#REF!</v>
      </c>
      <c r="I57" s="75" t="e">
        <f t="shared" si="20"/>
        <v>#REF!</v>
      </c>
      <c r="J57" s="103" t="e">
        <f t="shared" si="20"/>
        <v>#REF!</v>
      </c>
      <c r="K57" s="75" t="e">
        <f t="shared" si="20"/>
        <v>#REF!</v>
      </c>
      <c r="L57" s="75" t="e">
        <f t="shared" si="20"/>
        <v>#REF!</v>
      </c>
      <c r="M57" s="75" t="e">
        <f t="shared" si="20"/>
        <v>#REF!</v>
      </c>
      <c r="N57" s="75" t="e">
        <f t="shared" si="20"/>
        <v>#REF!</v>
      </c>
      <c r="O57" s="75" t="e">
        <f t="shared" si="20"/>
        <v>#REF!</v>
      </c>
      <c r="P57" s="75" t="e">
        <f t="shared" si="20"/>
        <v>#REF!</v>
      </c>
      <c r="Q57" s="75" t="e">
        <f t="shared" si="20"/>
        <v>#REF!</v>
      </c>
      <c r="R57" s="75" t="e">
        <f t="shared" si="20"/>
        <v>#REF!</v>
      </c>
      <c r="S57" s="75" t="e">
        <f t="shared" si="20"/>
        <v>#REF!</v>
      </c>
      <c r="T57" s="75" t="e">
        <f t="shared" si="20"/>
        <v>#REF!</v>
      </c>
      <c r="U57" s="75" t="e">
        <f t="shared" si="20"/>
        <v>#REF!</v>
      </c>
      <c r="V57" s="75" t="e">
        <f t="shared" si="20"/>
        <v>#REF!</v>
      </c>
      <c r="W57" s="75" t="e">
        <f t="shared" si="20"/>
        <v>#REF!</v>
      </c>
      <c r="X57" s="75" t="e">
        <f t="shared" si="20"/>
        <v>#REF!</v>
      </c>
      <c r="Y57" s="75" t="e">
        <f t="shared" si="20"/>
        <v>#REF!</v>
      </c>
      <c r="Z57" s="75" t="e">
        <f t="shared" si="20"/>
        <v>#REF!</v>
      </c>
      <c r="AA57" s="75" t="e">
        <f t="shared" si="20"/>
        <v>#REF!</v>
      </c>
      <c r="AB57" s="75" t="e">
        <f t="shared" si="20"/>
        <v>#REF!</v>
      </c>
      <c r="AC57" s="73"/>
      <c r="AD57" s="89"/>
    </row>
    <row r="58" spans="2:30" hidden="1" x14ac:dyDescent="0.25">
      <c r="B58" s="99"/>
      <c r="C58" s="8"/>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row>
    <row r="59" spans="2:30" hidden="1" x14ac:dyDescent="0.25">
      <c r="B59" s="44" t="s">
        <v>89</v>
      </c>
      <c r="C59" s="71"/>
      <c r="T59" s="73"/>
      <c r="U59" s="73"/>
      <c r="V59" s="73"/>
      <c r="W59" s="73"/>
    </row>
    <row r="60" spans="2:30" hidden="1" x14ac:dyDescent="0.25">
      <c r="B60" s="99" t="s">
        <v>90</v>
      </c>
      <c r="C60" s="71"/>
      <c r="T60" s="73"/>
      <c r="U60" s="73"/>
      <c r="V60" s="73"/>
      <c r="W60" s="73"/>
    </row>
    <row r="61" spans="2:30" hidden="1" x14ac:dyDescent="0.25">
      <c r="B61" s="47" t="s">
        <v>83</v>
      </c>
      <c r="C61" s="47"/>
      <c r="D61" s="75"/>
      <c r="E61" s="75">
        <f>D66</f>
        <v>0</v>
      </c>
      <c r="F61" s="75" t="e">
        <f t="shared" ref="F61:AB61" si="21">E66</f>
        <v>#REF!</v>
      </c>
      <c r="G61" s="75" t="e">
        <f t="shared" si="21"/>
        <v>#REF!</v>
      </c>
      <c r="H61" s="75" t="e">
        <f t="shared" si="21"/>
        <v>#REF!</v>
      </c>
      <c r="I61" s="75" t="e">
        <f t="shared" si="21"/>
        <v>#REF!</v>
      </c>
      <c r="J61" s="103" t="e">
        <f t="shared" si="21"/>
        <v>#REF!</v>
      </c>
      <c r="K61" s="75" t="e">
        <f t="shared" si="21"/>
        <v>#REF!</v>
      </c>
      <c r="L61" s="75" t="e">
        <f t="shared" si="21"/>
        <v>#REF!</v>
      </c>
      <c r="M61" s="75" t="e">
        <f t="shared" si="21"/>
        <v>#REF!</v>
      </c>
      <c r="N61" s="75" t="e">
        <f t="shared" si="21"/>
        <v>#REF!</v>
      </c>
      <c r="O61" s="75" t="e">
        <f t="shared" si="21"/>
        <v>#REF!</v>
      </c>
      <c r="P61" s="75" t="e">
        <f t="shared" si="21"/>
        <v>#REF!</v>
      </c>
      <c r="Q61" s="75" t="e">
        <f t="shared" si="21"/>
        <v>#REF!</v>
      </c>
      <c r="R61" s="75" t="e">
        <f t="shared" si="21"/>
        <v>#REF!</v>
      </c>
      <c r="S61" s="75" t="e">
        <f t="shared" si="21"/>
        <v>#REF!</v>
      </c>
      <c r="T61" s="75" t="e">
        <f t="shared" si="21"/>
        <v>#REF!</v>
      </c>
      <c r="U61" s="75" t="e">
        <f t="shared" si="21"/>
        <v>#REF!</v>
      </c>
      <c r="V61" s="75" t="e">
        <f t="shared" si="21"/>
        <v>#REF!</v>
      </c>
      <c r="W61" s="75" t="e">
        <f t="shared" si="21"/>
        <v>#REF!</v>
      </c>
      <c r="X61" s="75" t="e">
        <f t="shared" si="21"/>
        <v>#REF!</v>
      </c>
      <c r="Y61" s="75" t="e">
        <f t="shared" si="21"/>
        <v>#REF!</v>
      </c>
      <c r="Z61" s="75" t="e">
        <f t="shared" si="21"/>
        <v>#REF!</v>
      </c>
      <c r="AA61" s="75" t="e">
        <f t="shared" si="21"/>
        <v>#REF!</v>
      </c>
      <c r="AB61" s="75" t="e">
        <f t="shared" si="21"/>
        <v>#REF!</v>
      </c>
      <c r="AC61" s="73"/>
      <c r="AD61" s="89"/>
    </row>
    <row r="62" spans="2:30" hidden="1" x14ac:dyDescent="0.25">
      <c r="B62" s="67" t="s">
        <v>84</v>
      </c>
      <c r="C62" s="47"/>
      <c r="D62" s="74">
        <f>$C53*D40</f>
        <v>0</v>
      </c>
      <c r="E62" s="74" t="e">
        <f>$C22*#REF!</f>
        <v>#REF!</v>
      </c>
      <c r="F62" s="74" t="e">
        <f>$C22*#REF!</f>
        <v>#REF!</v>
      </c>
      <c r="G62" s="74" t="e">
        <f>$C22*#REF!</f>
        <v>#REF!</v>
      </c>
      <c r="H62" s="74" t="e">
        <f>$C22*#REF!</f>
        <v>#REF!</v>
      </c>
      <c r="I62" s="74" t="e">
        <f>$C22*#REF!</f>
        <v>#REF!</v>
      </c>
      <c r="J62" s="74" t="e">
        <f>$C22*#REF!</f>
        <v>#REF!</v>
      </c>
      <c r="K62" s="74" t="e">
        <f>$C22*#REF!</f>
        <v>#REF!</v>
      </c>
      <c r="L62" s="74" t="e">
        <f>$C22*#REF!</f>
        <v>#REF!</v>
      </c>
      <c r="M62" s="74" t="e">
        <f>$C22*#REF!</f>
        <v>#REF!</v>
      </c>
      <c r="N62" s="74" t="e">
        <f>$C22*#REF!</f>
        <v>#REF!</v>
      </c>
      <c r="O62" s="74" t="e">
        <f>$C22*#REF!</f>
        <v>#REF!</v>
      </c>
      <c r="P62" s="74" t="e">
        <f>$C22*#REF!</f>
        <v>#REF!</v>
      </c>
      <c r="Q62" s="74" t="e">
        <f>$C22*#REF!</f>
        <v>#REF!</v>
      </c>
      <c r="R62" s="74" t="e">
        <f>$C22*#REF!</f>
        <v>#REF!</v>
      </c>
      <c r="S62" s="74" t="e">
        <f>$C22*#REF!</f>
        <v>#REF!</v>
      </c>
      <c r="T62" s="74" t="e">
        <f>$C22*#REF!</f>
        <v>#REF!</v>
      </c>
      <c r="U62" s="74" t="e">
        <f>$C22*#REF!</f>
        <v>#REF!</v>
      </c>
      <c r="V62" s="74" t="e">
        <f>$C22*#REF!</f>
        <v>#REF!</v>
      </c>
      <c r="W62" s="74" t="e">
        <f>$C22*#REF!</f>
        <v>#REF!</v>
      </c>
      <c r="X62" s="74" t="e">
        <f>$C22*#REF!</f>
        <v>#REF!</v>
      </c>
      <c r="Y62" s="74" t="e">
        <f>$C22*#REF!</f>
        <v>#REF!</v>
      </c>
      <c r="Z62" s="74" t="e">
        <f>$C22*#REF!</f>
        <v>#REF!</v>
      </c>
      <c r="AA62" s="74" t="e">
        <f>$C22*#REF!</f>
        <v>#REF!</v>
      </c>
      <c r="AB62" s="74" t="e">
        <f>$C22*#REF!</f>
        <v>#REF!</v>
      </c>
      <c r="AC62" s="76"/>
      <c r="AD62" s="89" t="e">
        <f>SUM(D62:AB62)</f>
        <v>#REF!</v>
      </c>
    </row>
    <row r="63" spans="2:30" hidden="1" x14ac:dyDescent="0.25">
      <c r="B63" s="47" t="s">
        <v>85</v>
      </c>
      <c r="C63" s="47"/>
      <c r="D63" s="75">
        <v>0</v>
      </c>
      <c r="E63" s="75">
        <f t="shared" ref="E63:AB63" si="22">E61*$D163</f>
        <v>0</v>
      </c>
      <c r="F63" s="75" t="e">
        <f t="shared" si="22"/>
        <v>#REF!</v>
      </c>
      <c r="G63" s="75" t="e">
        <f t="shared" si="22"/>
        <v>#REF!</v>
      </c>
      <c r="H63" s="75" t="e">
        <f t="shared" si="22"/>
        <v>#REF!</v>
      </c>
      <c r="I63" s="75" t="e">
        <f t="shared" si="22"/>
        <v>#REF!</v>
      </c>
      <c r="J63" s="75" t="e">
        <f t="shared" si="22"/>
        <v>#REF!</v>
      </c>
      <c r="K63" s="75" t="e">
        <f t="shared" si="22"/>
        <v>#REF!</v>
      </c>
      <c r="L63" s="75" t="e">
        <f t="shared" si="22"/>
        <v>#REF!</v>
      </c>
      <c r="M63" s="75" t="e">
        <f t="shared" si="22"/>
        <v>#REF!</v>
      </c>
      <c r="N63" s="75" t="e">
        <f t="shared" si="22"/>
        <v>#REF!</v>
      </c>
      <c r="O63" s="75" t="e">
        <f t="shared" si="22"/>
        <v>#REF!</v>
      </c>
      <c r="P63" s="75" t="e">
        <f t="shared" si="22"/>
        <v>#REF!</v>
      </c>
      <c r="Q63" s="75" t="e">
        <f t="shared" si="22"/>
        <v>#REF!</v>
      </c>
      <c r="R63" s="75" t="e">
        <f t="shared" si="22"/>
        <v>#REF!</v>
      </c>
      <c r="S63" s="75" t="e">
        <f t="shared" si="22"/>
        <v>#REF!</v>
      </c>
      <c r="T63" s="75" t="e">
        <f t="shared" si="22"/>
        <v>#REF!</v>
      </c>
      <c r="U63" s="75" t="e">
        <f t="shared" si="22"/>
        <v>#REF!</v>
      </c>
      <c r="V63" s="75" t="e">
        <f t="shared" si="22"/>
        <v>#REF!</v>
      </c>
      <c r="W63" s="75" t="e">
        <f t="shared" si="22"/>
        <v>#REF!</v>
      </c>
      <c r="X63" s="75" t="e">
        <f t="shared" si="22"/>
        <v>#REF!</v>
      </c>
      <c r="Y63" s="75" t="e">
        <f t="shared" si="22"/>
        <v>#REF!</v>
      </c>
      <c r="Z63" s="75" t="e">
        <f t="shared" si="22"/>
        <v>#REF!</v>
      </c>
      <c r="AA63" s="75" t="e">
        <f t="shared" si="22"/>
        <v>#REF!</v>
      </c>
      <c r="AB63" s="75" t="e">
        <f t="shared" si="22"/>
        <v>#REF!</v>
      </c>
      <c r="AC63" s="73"/>
      <c r="AD63" s="89" t="e">
        <f>SUM(D63:AB63)</f>
        <v>#REF!</v>
      </c>
    </row>
    <row r="64" spans="2:30" hidden="1" x14ac:dyDescent="0.25">
      <c r="B64" s="47" t="s">
        <v>87</v>
      </c>
      <c r="C64" s="47"/>
      <c r="D64" s="75">
        <v>0</v>
      </c>
      <c r="E64" s="75">
        <f>E55</f>
        <v>0</v>
      </c>
      <c r="F64" s="75">
        <f t="shared" ref="F64:AB64" si="23">F55</f>
        <v>375000</v>
      </c>
      <c r="G64" s="75">
        <f t="shared" si="23"/>
        <v>750000</v>
      </c>
      <c r="H64" s="75">
        <f t="shared" si="23"/>
        <v>750000</v>
      </c>
      <c r="I64" s="75">
        <f t="shared" si="23"/>
        <v>750000</v>
      </c>
      <c r="J64" s="75">
        <f t="shared" si="23"/>
        <v>375000</v>
      </c>
      <c r="K64" s="75">
        <f t="shared" si="23"/>
        <v>0</v>
      </c>
      <c r="L64" s="75">
        <f t="shared" si="23"/>
        <v>0</v>
      </c>
      <c r="M64" s="75">
        <f t="shared" si="23"/>
        <v>0</v>
      </c>
      <c r="N64" s="75">
        <f t="shared" si="23"/>
        <v>0</v>
      </c>
      <c r="O64" s="75">
        <f t="shared" si="23"/>
        <v>0</v>
      </c>
      <c r="P64" s="75">
        <f t="shared" si="23"/>
        <v>0</v>
      </c>
      <c r="Q64" s="75">
        <f t="shared" si="23"/>
        <v>0</v>
      </c>
      <c r="R64" s="75">
        <f t="shared" si="23"/>
        <v>0</v>
      </c>
      <c r="S64" s="75">
        <f t="shared" si="23"/>
        <v>3000000</v>
      </c>
      <c r="T64" s="75">
        <f t="shared" si="23"/>
        <v>0</v>
      </c>
      <c r="U64" s="75">
        <f t="shared" si="23"/>
        <v>0</v>
      </c>
      <c r="V64" s="75">
        <f t="shared" si="23"/>
        <v>0</v>
      </c>
      <c r="W64" s="75">
        <f t="shared" si="23"/>
        <v>0</v>
      </c>
      <c r="X64" s="75">
        <f t="shared" si="23"/>
        <v>0</v>
      </c>
      <c r="Y64" s="75">
        <f t="shared" si="23"/>
        <v>0</v>
      </c>
      <c r="Z64" s="75">
        <f t="shared" si="23"/>
        <v>0</v>
      </c>
      <c r="AA64" s="75">
        <f t="shared" si="23"/>
        <v>0</v>
      </c>
      <c r="AB64" s="75">
        <f t="shared" si="23"/>
        <v>0</v>
      </c>
      <c r="AC64" s="73"/>
      <c r="AD64" s="89">
        <f>SUM(D64:AB64)</f>
        <v>6000000</v>
      </c>
    </row>
    <row r="65" spans="1:31" hidden="1" x14ac:dyDescent="0.25">
      <c r="B65" s="47" t="s">
        <v>120</v>
      </c>
      <c r="C65" s="47"/>
      <c r="D65" s="75">
        <f>D63+D64</f>
        <v>0</v>
      </c>
      <c r="E65" s="75">
        <f t="shared" ref="E65:AB65" si="24">E63+E64</f>
        <v>0</v>
      </c>
      <c r="F65" s="75" t="e">
        <f t="shared" si="24"/>
        <v>#REF!</v>
      </c>
      <c r="G65" s="75" t="e">
        <f t="shared" si="24"/>
        <v>#REF!</v>
      </c>
      <c r="H65" s="75" t="e">
        <f t="shared" si="24"/>
        <v>#REF!</v>
      </c>
      <c r="I65" s="75" t="e">
        <f t="shared" si="24"/>
        <v>#REF!</v>
      </c>
      <c r="J65" s="103" t="e">
        <f t="shared" si="24"/>
        <v>#REF!</v>
      </c>
      <c r="K65" s="75" t="e">
        <f t="shared" si="24"/>
        <v>#REF!</v>
      </c>
      <c r="L65" s="75" t="e">
        <f t="shared" si="24"/>
        <v>#REF!</v>
      </c>
      <c r="M65" s="75" t="e">
        <f t="shared" si="24"/>
        <v>#REF!</v>
      </c>
      <c r="N65" s="75" t="e">
        <f t="shared" si="24"/>
        <v>#REF!</v>
      </c>
      <c r="O65" s="75" t="e">
        <f t="shared" si="24"/>
        <v>#REF!</v>
      </c>
      <c r="P65" s="75" t="e">
        <f t="shared" si="24"/>
        <v>#REF!</v>
      </c>
      <c r="Q65" s="75" t="e">
        <f t="shared" si="24"/>
        <v>#REF!</v>
      </c>
      <c r="R65" s="75" t="e">
        <f t="shared" si="24"/>
        <v>#REF!</v>
      </c>
      <c r="S65" s="75" t="e">
        <f t="shared" si="24"/>
        <v>#REF!</v>
      </c>
      <c r="T65" s="75" t="e">
        <f t="shared" si="24"/>
        <v>#REF!</v>
      </c>
      <c r="U65" s="75" t="e">
        <f t="shared" si="24"/>
        <v>#REF!</v>
      </c>
      <c r="V65" s="75" t="e">
        <f t="shared" si="24"/>
        <v>#REF!</v>
      </c>
      <c r="W65" s="75" t="e">
        <f t="shared" si="24"/>
        <v>#REF!</v>
      </c>
      <c r="X65" s="75" t="e">
        <f t="shared" si="24"/>
        <v>#REF!</v>
      </c>
      <c r="Y65" s="75" t="e">
        <f t="shared" si="24"/>
        <v>#REF!</v>
      </c>
      <c r="Z65" s="75" t="e">
        <f t="shared" si="24"/>
        <v>#REF!</v>
      </c>
      <c r="AA65" s="75" t="e">
        <f t="shared" si="24"/>
        <v>#REF!</v>
      </c>
      <c r="AB65" s="75" t="e">
        <f t="shared" si="24"/>
        <v>#REF!</v>
      </c>
      <c r="AC65" s="73"/>
      <c r="AD65" s="89" t="e">
        <f>SUM(D65:AB65)</f>
        <v>#REF!</v>
      </c>
    </row>
    <row r="66" spans="1:31" hidden="1" x14ac:dyDescent="0.25">
      <c r="B66" s="47" t="s">
        <v>86</v>
      </c>
      <c r="C66" s="47"/>
      <c r="D66" s="75">
        <f>D61+D62-D65</f>
        <v>0</v>
      </c>
      <c r="E66" s="75" t="e">
        <f>E61+E62-E65+E63</f>
        <v>#REF!</v>
      </c>
      <c r="F66" s="75" t="e">
        <f t="shared" ref="F66:AB66" si="25">F61+F62-F65+F63</f>
        <v>#REF!</v>
      </c>
      <c r="G66" s="75" t="e">
        <f t="shared" si="25"/>
        <v>#REF!</v>
      </c>
      <c r="H66" s="75" t="e">
        <f t="shared" si="25"/>
        <v>#REF!</v>
      </c>
      <c r="I66" s="75" t="e">
        <f t="shared" si="25"/>
        <v>#REF!</v>
      </c>
      <c r="J66" s="103" t="e">
        <f t="shared" si="25"/>
        <v>#REF!</v>
      </c>
      <c r="K66" s="75" t="e">
        <f t="shared" si="25"/>
        <v>#REF!</v>
      </c>
      <c r="L66" s="75" t="e">
        <f t="shared" si="25"/>
        <v>#REF!</v>
      </c>
      <c r="M66" s="75" t="e">
        <f t="shared" si="25"/>
        <v>#REF!</v>
      </c>
      <c r="N66" s="75" t="e">
        <f t="shared" si="25"/>
        <v>#REF!</v>
      </c>
      <c r="O66" s="75" t="e">
        <f t="shared" si="25"/>
        <v>#REF!</v>
      </c>
      <c r="P66" s="75" t="e">
        <f t="shared" si="25"/>
        <v>#REF!</v>
      </c>
      <c r="Q66" s="75" t="e">
        <f t="shared" si="25"/>
        <v>#REF!</v>
      </c>
      <c r="R66" s="75" t="e">
        <f t="shared" si="25"/>
        <v>#REF!</v>
      </c>
      <c r="S66" s="75" t="e">
        <f t="shared" si="25"/>
        <v>#REF!</v>
      </c>
      <c r="T66" s="75" t="e">
        <f t="shared" si="25"/>
        <v>#REF!</v>
      </c>
      <c r="U66" s="75" t="e">
        <f t="shared" si="25"/>
        <v>#REF!</v>
      </c>
      <c r="V66" s="75" t="e">
        <f t="shared" si="25"/>
        <v>#REF!</v>
      </c>
      <c r="W66" s="75" t="e">
        <f t="shared" si="25"/>
        <v>#REF!</v>
      </c>
      <c r="X66" s="75" t="e">
        <f t="shared" si="25"/>
        <v>#REF!</v>
      </c>
      <c r="Y66" s="75" t="e">
        <f t="shared" si="25"/>
        <v>#REF!</v>
      </c>
      <c r="Z66" s="75" t="e">
        <f t="shared" si="25"/>
        <v>#REF!</v>
      </c>
      <c r="AA66" s="75" t="e">
        <f t="shared" si="25"/>
        <v>#REF!</v>
      </c>
      <c r="AB66" s="75" t="e">
        <f t="shared" si="25"/>
        <v>#REF!</v>
      </c>
      <c r="AC66" s="73"/>
      <c r="AD66" s="89"/>
    </row>
    <row r="67" spans="1:31" x14ac:dyDescent="0.25">
      <c r="B67" s="44"/>
      <c r="C67" s="71"/>
      <c r="T67" s="73"/>
      <c r="U67" s="73"/>
      <c r="V67" s="73"/>
      <c r="W67" s="73"/>
    </row>
    <row r="68" spans="1:31" x14ac:dyDescent="0.25">
      <c r="D68" s="73"/>
      <c r="E68" s="73"/>
      <c r="F68" s="73"/>
      <c r="G68" s="73"/>
      <c r="H68" s="73"/>
      <c r="I68" s="73"/>
      <c r="J68" s="73"/>
      <c r="K68" s="73"/>
      <c r="L68" s="73"/>
      <c r="M68" s="73"/>
      <c r="N68" s="73"/>
      <c r="O68" s="73"/>
      <c r="P68" s="73"/>
      <c r="Q68" s="73"/>
      <c r="R68" s="73"/>
      <c r="S68" s="73"/>
      <c r="T68" s="73"/>
      <c r="U68" s="73"/>
      <c r="V68" s="73"/>
      <c r="W68" s="73"/>
    </row>
    <row r="69" spans="1:31" x14ac:dyDescent="0.25">
      <c r="A69" s="63">
        <v>3</v>
      </c>
      <c r="B69" s="44" t="s">
        <v>331</v>
      </c>
      <c r="C69" s="97">
        <v>0.06</v>
      </c>
      <c r="D69" s="73"/>
      <c r="E69" s="73"/>
      <c r="F69" s="73"/>
      <c r="G69" s="73"/>
      <c r="H69" s="73"/>
      <c r="I69" s="73"/>
      <c r="J69" s="73"/>
      <c r="K69" s="73"/>
      <c r="L69" s="73"/>
      <c r="M69" s="73"/>
      <c r="N69" s="73"/>
      <c r="O69" s="73"/>
      <c r="P69" s="73"/>
      <c r="Q69" s="73"/>
      <c r="R69" s="73"/>
      <c r="S69" s="73"/>
      <c r="T69" s="73"/>
      <c r="U69" s="73"/>
      <c r="V69" s="73"/>
      <c r="W69" s="73"/>
    </row>
    <row r="70" spans="1:31" x14ac:dyDescent="0.25">
      <c r="A70" s="91"/>
      <c r="C70" s="71"/>
      <c r="D70" s="73"/>
      <c r="E70" s="73"/>
      <c r="F70" s="73"/>
      <c r="G70" s="73"/>
      <c r="H70" s="73"/>
      <c r="I70" s="73"/>
      <c r="J70" s="73"/>
      <c r="K70" s="73"/>
      <c r="L70" s="73"/>
      <c r="M70" s="73"/>
      <c r="N70" s="73"/>
      <c r="O70" s="73"/>
      <c r="P70" s="73"/>
      <c r="Q70" s="73"/>
      <c r="R70" s="73"/>
      <c r="S70" s="73"/>
      <c r="T70" s="73"/>
      <c r="U70" s="73"/>
      <c r="V70" s="73"/>
      <c r="W70" s="73"/>
    </row>
    <row r="71" spans="1:31" x14ac:dyDescent="0.25">
      <c r="A71" s="63">
        <v>4</v>
      </c>
      <c r="B71" s="44" t="s">
        <v>123</v>
      </c>
      <c r="C71" s="71"/>
      <c r="D71" s="73"/>
      <c r="E71" s="73"/>
      <c r="F71" s="73"/>
      <c r="G71" s="73"/>
      <c r="H71" s="73"/>
      <c r="I71" s="73"/>
      <c r="J71" s="73"/>
      <c r="K71" s="73"/>
      <c r="L71" s="73"/>
      <c r="M71" s="73"/>
      <c r="N71" s="73"/>
      <c r="O71" s="73"/>
      <c r="P71" s="73"/>
      <c r="Q71" s="73"/>
      <c r="R71" s="73"/>
      <c r="S71" s="73"/>
      <c r="T71" s="73"/>
      <c r="U71" s="73"/>
      <c r="V71" s="73"/>
      <c r="W71" s="73"/>
    </row>
    <row r="72" spans="1:31" ht="29.45" customHeight="1" x14ac:dyDescent="0.25">
      <c r="B72" t="s">
        <v>124</v>
      </c>
      <c r="C72" s="498" t="s">
        <v>128</v>
      </c>
      <c r="D72" s="498"/>
      <c r="E72" s="498"/>
      <c r="F72" s="498"/>
      <c r="G72" s="73"/>
      <c r="H72" s="73"/>
      <c r="I72" s="73"/>
      <c r="J72" s="73"/>
      <c r="K72" s="73"/>
      <c r="L72" s="73"/>
      <c r="M72" s="73"/>
      <c r="N72" s="73"/>
      <c r="O72" s="73"/>
      <c r="P72" s="73"/>
      <c r="Q72" s="73"/>
      <c r="R72" s="73"/>
      <c r="S72" s="73"/>
      <c r="T72" s="73"/>
      <c r="U72" s="73"/>
      <c r="V72" s="73"/>
      <c r="W72" s="73"/>
    </row>
    <row r="73" spans="1:31" x14ac:dyDescent="0.25">
      <c r="B73" s="65"/>
      <c r="C73" s="16" t="s">
        <v>19</v>
      </c>
      <c r="D73" s="16">
        <v>1</v>
      </c>
      <c r="E73" s="16">
        <v>2</v>
      </c>
      <c r="F73" s="16">
        <v>3</v>
      </c>
      <c r="G73" s="73"/>
      <c r="H73" s="73"/>
      <c r="I73" s="73"/>
      <c r="J73" s="73"/>
      <c r="K73" s="73"/>
      <c r="L73" s="73"/>
      <c r="M73" s="73"/>
      <c r="N73" s="73"/>
      <c r="O73" s="73"/>
      <c r="P73" s="73"/>
      <c r="Q73" s="73"/>
      <c r="R73" s="73"/>
      <c r="S73" s="73"/>
      <c r="T73" s="73"/>
      <c r="U73" s="73"/>
      <c r="V73" s="73"/>
      <c r="W73" s="73"/>
    </row>
    <row r="74" spans="1:31" x14ac:dyDescent="0.25">
      <c r="B74" t="s">
        <v>80</v>
      </c>
      <c r="C74" s="63"/>
      <c r="D74" s="68">
        <v>0</v>
      </c>
      <c r="E74" s="68">
        <v>0</v>
      </c>
      <c r="F74" s="68">
        <v>1</v>
      </c>
      <c r="G74" s="73"/>
      <c r="H74" s="73"/>
      <c r="I74" s="73"/>
      <c r="J74" s="73"/>
      <c r="K74" s="73"/>
      <c r="L74" s="73"/>
      <c r="M74" s="73"/>
      <c r="N74" s="73"/>
      <c r="O74" s="73"/>
      <c r="P74" s="73"/>
      <c r="Q74" s="73"/>
      <c r="R74" s="73"/>
      <c r="S74" s="73"/>
      <c r="T74" s="73"/>
      <c r="U74" s="73"/>
      <c r="V74" s="73"/>
      <c r="W74" s="73"/>
    </row>
    <row r="75" spans="1:31" x14ac:dyDescent="0.25">
      <c r="B75" t="s">
        <v>82</v>
      </c>
      <c r="C75" s="63"/>
      <c r="D75" s="139">
        <v>0</v>
      </c>
      <c r="E75" s="139">
        <v>0</v>
      </c>
      <c r="F75" s="139">
        <v>0.5</v>
      </c>
      <c r="G75" s="73"/>
      <c r="H75" s="73"/>
      <c r="I75" s="73"/>
      <c r="J75" s="73"/>
      <c r="K75" s="73"/>
      <c r="L75" s="73"/>
      <c r="M75" s="73"/>
      <c r="N75" s="73"/>
      <c r="O75" s="73"/>
      <c r="P75" s="73"/>
      <c r="Q75" s="73"/>
      <c r="R75" s="73"/>
      <c r="S75" s="73"/>
      <c r="T75" s="73"/>
      <c r="U75" s="73"/>
      <c r="V75" s="73"/>
      <c r="W75" s="73"/>
    </row>
    <row r="76" spans="1:31" x14ac:dyDescent="0.25">
      <c r="C76" s="91"/>
      <c r="D76" s="71"/>
      <c r="E76" s="71"/>
      <c r="F76" s="71"/>
      <c r="G76" s="73"/>
      <c r="H76" s="73"/>
      <c r="I76" s="73"/>
      <c r="J76" s="73"/>
      <c r="K76" s="73"/>
      <c r="L76" s="73"/>
      <c r="M76" s="73"/>
      <c r="N76" s="73"/>
      <c r="O76" s="73"/>
      <c r="P76" s="73"/>
      <c r="Q76" s="73"/>
      <c r="R76" s="73"/>
      <c r="S76" s="73"/>
      <c r="T76" s="73"/>
      <c r="U76" s="73"/>
      <c r="V76" s="73"/>
      <c r="W76" s="73"/>
    </row>
    <row r="78" spans="1:31" x14ac:dyDescent="0.25">
      <c r="B78" s="65"/>
      <c r="C78" s="16" t="s">
        <v>19</v>
      </c>
      <c r="D78" s="16">
        <v>0</v>
      </c>
      <c r="E78" s="16">
        <v>1</v>
      </c>
      <c r="F78" s="16">
        <v>2</v>
      </c>
      <c r="G78" s="16">
        <v>3</v>
      </c>
      <c r="H78" s="16">
        <v>4</v>
      </c>
      <c r="I78" s="16">
        <v>5</v>
      </c>
      <c r="J78" s="16">
        <v>6</v>
      </c>
      <c r="K78" s="16">
        <v>7</v>
      </c>
      <c r="L78" s="16">
        <v>8</v>
      </c>
      <c r="M78" s="16">
        <v>9</v>
      </c>
      <c r="N78" s="16">
        <v>10</v>
      </c>
      <c r="O78" s="16">
        <v>11</v>
      </c>
      <c r="P78" s="16">
        <v>12</v>
      </c>
      <c r="Q78" s="16">
        <v>13</v>
      </c>
      <c r="R78" s="16">
        <v>14</v>
      </c>
      <c r="S78" s="16">
        <v>15</v>
      </c>
      <c r="T78" s="16">
        <v>16</v>
      </c>
      <c r="U78" s="16">
        <v>17</v>
      </c>
      <c r="V78" s="16">
        <v>18</v>
      </c>
      <c r="W78" s="16">
        <v>19</v>
      </c>
      <c r="X78" s="16">
        <v>20</v>
      </c>
      <c r="Y78" s="16">
        <v>21</v>
      </c>
      <c r="Z78" s="16">
        <v>22</v>
      </c>
      <c r="AA78" s="16">
        <v>23</v>
      </c>
      <c r="AB78" s="16">
        <v>24</v>
      </c>
      <c r="AC78" s="16">
        <v>25</v>
      </c>
    </row>
    <row r="79" spans="1:31" x14ac:dyDescent="0.25">
      <c r="B79" t="s">
        <v>80</v>
      </c>
      <c r="C79" s="63"/>
      <c r="D79" s="63"/>
      <c r="E79" s="63">
        <f>D74</f>
        <v>0</v>
      </c>
      <c r="F79" s="63">
        <f>E74</f>
        <v>0</v>
      </c>
      <c r="G79" s="63">
        <f>F74</f>
        <v>1</v>
      </c>
      <c r="H79" s="63">
        <f>D74</f>
        <v>0</v>
      </c>
      <c r="I79" s="63">
        <f t="shared" ref="I79:J79" si="26">E74</f>
        <v>0</v>
      </c>
      <c r="J79" s="63">
        <f t="shared" si="26"/>
        <v>1</v>
      </c>
      <c r="K79" s="63">
        <f>D74</f>
        <v>0</v>
      </c>
      <c r="L79" s="63">
        <f t="shared" ref="L79:M79" si="27">E74</f>
        <v>0</v>
      </c>
      <c r="M79" s="63">
        <f t="shared" si="27"/>
        <v>1</v>
      </c>
      <c r="N79" s="63">
        <f>D74</f>
        <v>0</v>
      </c>
      <c r="O79" s="63">
        <f t="shared" ref="O79:P79" si="28">E74</f>
        <v>0</v>
      </c>
      <c r="P79" s="63">
        <f t="shared" si="28"/>
        <v>1</v>
      </c>
      <c r="Q79" s="63">
        <f>D74</f>
        <v>0</v>
      </c>
      <c r="R79" s="63">
        <f t="shared" ref="R79:S79" si="29">E74</f>
        <v>0</v>
      </c>
      <c r="S79" s="63">
        <f t="shared" si="29"/>
        <v>1</v>
      </c>
      <c r="T79" s="63">
        <f>D74</f>
        <v>0</v>
      </c>
      <c r="U79" s="63">
        <f t="shared" ref="U79:V79" si="30">E74</f>
        <v>0</v>
      </c>
      <c r="V79" s="63">
        <f t="shared" si="30"/>
        <v>1</v>
      </c>
      <c r="W79" s="63">
        <f>D74</f>
        <v>0</v>
      </c>
      <c r="X79" s="63">
        <f t="shared" ref="X79:Y79" si="31">E74</f>
        <v>0</v>
      </c>
      <c r="Y79" s="63">
        <f t="shared" si="31"/>
        <v>1</v>
      </c>
      <c r="Z79" s="63">
        <f>D74</f>
        <v>0</v>
      </c>
      <c r="AA79" s="63">
        <f t="shared" ref="AA79:AB79" si="32">E74</f>
        <v>0</v>
      </c>
      <c r="AB79" s="63">
        <f t="shared" si="32"/>
        <v>1</v>
      </c>
      <c r="AC79" s="91"/>
    </row>
    <row r="80" spans="1:31" x14ac:dyDescent="0.25">
      <c r="B80" t="s">
        <v>82</v>
      </c>
      <c r="C80" s="63"/>
      <c r="D80" s="68"/>
      <c r="E80" s="58">
        <f>$D75</f>
        <v>0</v>
      </c>
      <c r="F80" s="106">
        <f>$E75</f>
        <v>0</v>
      </c>
      <c r="G80" s="106">
        <f>$F75</f>
        <v>0.5</v>
      </c>
      <c r="H80" s="58">
        <f>$D75</f>
        <v>0</v>
      </c>
      <c r="I80" s="106">
        <f>$E75</f>
        <v>0</v>
      </c>
      <c r="J80" s="106">
        <f>$F75</f>
        <v>0.5</v>
      </c>
      <c r="K80" s="58">
        <f>$D75</f>
        <v>0</v>
      </c>
      <c r="L80" s="106">
        <f>$E75</f>
        <v>0</v>
      </c>
      <c r="M80" s="106">
        <f>$F75</f>
        <v>0.5</v>
      </c>
      <c r="N80" s="58">
        <f>$D75</f>
        <v>0</v>
      </c>
      <c r="O80" s="106">
        <f>$E75</f>
        <v>0</v>
      </c>
      <c r="P80" s="106">
        <f>$F75</f>
        <v>0.5</v>
      </c>
      <c r="Q80" s="58">
        <f>$D75</f>
        <v>0</v>
      </c>
      <c r="R80" s="106">
        <f>$E75</f>
        <v>0</v>
      </c>
      <c r="S80" s="106">
        <f>$F75</f>
        <v>0.5</v>
      </c>
      <c r="T80" s="58">
        <f>$D75</f>
        <v>0</v>
      </c>
      <c r="U80" s="106">
        <f>$E75</f>
        <v>0</v>
      </c>
      <c r="V80" s="106">
        <f>$F75</f>
        <v>0.5</v>
      </c>
      <c r="W80" s="58">
        <f>$D75</f>
        <v>0</v>
      </c>
      <c r="X80" s="106">
        <f>$E75</f>
        <v>0</v>
      </c>
      <c r="Y80" s="106">
        <f>$F75</f>
        <v>0.5</v>
      </c>
      <c r="Z80" s="58">
        <f>$D75</f>
        <v>0</v>
      </c>
      <c r="AA80" s="106">
        <f>$E75</f>
        <v>0</v>
      </c>
      <c r="AB80" s="106">
        <f>$F75</f>
        <v>0.5</v>
      </c>
      <c r="AC80" s="107"/>
      <c r="AD80" s="107"/>
      <c r="AE80" s="107"/>
    </row>
    <row r="81" spans="2:31" x14ac:dyDescent="0.25">
      <c r="C81" s="91"/>
      <c r="D81" s="71"/>
      <c r="E81" s="71"/>
      <c r="F81" s="71"/>
      <c r="G81" s="71"/>
      <c r="H81" s="71"/>
      <c r="I81" s="71"/>
      <c r="J81" s="71"/>
      <c r="K81" s="71"/>
      <c r="L81" s="71"/>
      <c r="M81" s="71"/>
      <c r="N81" s="71"/>
      <c r="O81" s="71"/>
      <c r="P81" s="71"/>
      <c r="Q81" s="71"/>
      <c r="R81" s="71"/>
      <c r="S81" s="71"/>
      <c r="T81" s="71"/>
      <c r="U81" s="71"/>
      <c r="V81" s="71"/>
      <c r="W81" s="71"/>
      <c r="X81" s="71"/>
      <c r="Y81" s="105"/>
      <c r="Z81" s="105"/>
      <c r="AA81" s="105"/>
      <c r="AB81" s="105"/>
      <c r="AC81" s="105"/>
      <c r="AD81" s="105"/>
    </row>
    <row r="82" spans="2:31" x14ac:dyDescent="0.25">
      <c r="C82" s="91"/>
      <c r="D82" s="104"/>
      <c r="E82" s="104"/>
      <c r="F82" s="104"/>
      <c r="G82" s="104"/>
      <c r="H82" s="104"/>
      <c r="I82" s="104"/>
      <c r="J82" s="104"/>
      <c r="K82" s="104"/>
      <c r="L82" s="104"/>
      <c r="M82" s="104"/>
      <c r="N82" s="104"/>
      <c r="O82" s="104"/>
      <c r="P82" s="104"/>
      <c r="Q82" s="104"/>
      <c r="R82" s="104"/>
      <c r="S82" s="104"/>
      <c r="T82" s="104"/>
      <c r="U82" s="104"/>
      <c r="V82" s="104"/>
      <c r="W82" s="104"/>
      <c r="X82" s="104"/>
    </row>
    <row r="83" spans="2:31" x14ac:dyDescent="0.25">
      <c r="C83" s="91"/>
      <c r="D83" s="104"/>
      <c r="E83" s="104"/>
      <c r="F83" s="104"/>
      <c r="G83" s="104"/>
      <c r="H83" s="104"/>
      <c r="I83" s="104"/>
      <c r="J83" s="104"/>
      <c r="K83" s="104"/>
      <c r="L83" s="104"/>
      <c r="M83" s="104"/>
      <c r="N83" s="104"/>
      <c r="O83" s="104"/>
      <c r="P83" s="104"/>
      <c r="Q83" s="104"/>
      <c r="R83" s="104"/>
      <c r="S83" s="104"/>
      <c r="T83" s="104"/>
      <c r="U83" s="104"/>
      <c r="V83" s="104"/>
      <c r="W83" s="104"/>
      <c r="X83" s="104"/>
    </row>
    <row r="84" spans="2:31" x14ac:dyDescent="0.25">
      <c r="B84" s="44" t="s">
        <v>125</v>
      </c>
      <c r="C84" s="91"/>
      <c r="D84" s="104"/>
      <c r="E84" s="104"/>
      <c r="F84" s="104"/>
      <c r="G84" s="104"/>
      <c r="H84" s="104"/>
      <c r="I84" s="104"/>
      <c r="J84" s="104"/>
      <c r="K84" s="104"/>
      <c r="L84" s="104"/>
      <c r="M84" s="104"/>
      <c r="N84" s="104"/>
      <c r="O84" s="104"/>
      <c r="P84" s="104"/>
      <c r="Q84" s="104"/>
      <c r="R84" s="104"/>
      <c r="S84" s="104"/>
      <c r="T84" s="104"/>
      <c r="U84" s="104"/>
      <c r="V84" s="104"/>
      <c r="W84" s="104"/>
      <c r="X84" s="104"/>
    </row>
    <row r="85" spans="2:31" x14ac:dyDescent="0.25">
      <c r="C85" s="91"/>
      <c r="D85" s="104"/>
      <c r="E85" s="104"/>
      <c r="F85" s="104"/>
      <c r="G85" s="104"/>
      <c r="H85" s="104"/>
      <c r="I85" s="104"/>
      <c r="J85" s="104"/>
      <c r="K85" s="104"/>
      <c r="L85" s="104"/>
      <c r="M85" s="104"/>
      <c r="N85" s="104"/>
      <c r="O85" s="104"/>
      <c r="P85" s="104"/>
      <c r="Q85" s="104"/>
      <c r="R85" s="104"/>
      <c r="S85" s="104"/>
      <c r="T85" s="104"/>
      <c r="U85" s="104"/>
      <c r="V85" s="104"/>
      <c r="W85" s="104"/>
      <c r="X85" s="104"/>
    </row>
    <row r="86" spans="2:31" ht="25.9" customHeight="1" x14ac:dyDescent="0.25">
      <c r="B86" t="s">
        <v>124</v>
      </c>
      <c r="C86" s="498" t="s">
        <v>127</v>
      </c>
      <c r="D86" s="498"/>
      <c r="E86" s="498"/>
      <c r="F86" s="498"/>
      <c r="G86" s="73"/>
      <c r="H86" s="73"/>
      <c r="I86" s="73"/>
      <c r="J86" s="73"/>
      <c r="K86" s="73"/>
      <c r="L86" s="73"/>
      <c r="M86" s="73"/>
      <c r="N86" s="73"/>
      <c r="O86" s="73"/>
      <c r="P86" s="73"/>
      <c r="Q86" s="73"/>
      <c r="R86" s="73"/>
      <c r="S86" s="73"/>
      <c r="T86" s="73"/>
      <c r="U86" s="73"/>
      <c r="V86" s="73"/>
      <c r="W86" s="73"/>
    </row>
    <row r="87" spans="2:31" x14ac:dyDescent="0.25">
      <c r="B87" s="65"/>
      <c r="C87" s="16" t="s">
        <v>19</v>
      </c>
      <c r="D87" s="216">
        <v>1</v>
      </c>
      <c r="E87" s="216">
        <v>2</v>
      </c>
      <c r="F87" s="216">
        <v>3</v>
      </c>
      <c r="G87" s="73"/>
      <c r="H87" s="73"/>
      <c r="I87" s="73"/>
      <c r="J87" s="73"/>
      <c r="K87" s="73"/>
      <c r="L87" s="73"/>
      <c r="M87" s="73"/>
      <c r="N87" s="73"/>
      <c r="O87" s="73"/>
      <c r="P87" s="73"/>
      <c r="Q87" s="73"/>
      <c r="R87" s="73"/>
      <c r="S87" s="73"/>
      <c r="T87" s="73"/>
      <c r="U87" s="73"/>
      <c r="V87" s="73"/>
      <c r="W87" s="73"/>
    </row>
    <row r="88" spans="2:31" x14ac:dyDescent="0.25">
      <c r="B88" t="s">
        <v>80</v>
      </c>
      <c r="C88" s="63"/>
      <c r="D88" s="68">
        <v>0</v>
      </c>
      <c r="E88" s="68">
        <v>0</v>
      </c>
      <c r="F88" s="68">
        <v>1</v>
      </c>
      <c r="G88" s="73"/>
      <c r="H88" s="73"/>
      <c r="I88" s="73"/>
      <c r="J88" s="73"/>
      <c r="K88" s="73"/>
      <c r="L88" s="73"/>
      <c r="M88" s="73"/>
      <c r="N88" s="73"/>
      <c r="O88" s="73"/>
      <c r="P88" s="73"/>
      <c r="Q88" s="73"/>
      <c r="R88" s="73"/>
      <c r="S88" s="73"/>
      <c r="T88" s="73"/>
      <c r="U88" s="73"/>
      <c r="V88" s="73"/>
      <c r="W88" s="73"/>
    </row>
    <row r="89" spans="2:31" x14ac:dyDescent="0.25">
      <c r="B89" t="s">
        <v>82</v>
      </c>
      <c r="C89" s="63"/>
      <c r="D89" s="139">
        <v>0</v>
      </c>
      <c r="E89" s="139">
        <v>0</v>
      </c>
      <c r="F89" s="139">
        <v>0.5</v>
      </c>
      <c r="G89" s="73"/>
      <c r="H89" s="73"/>
      <c r="I89" s="73"/>
      <c r="J89" s="73"/>
      <c r="K89" s="73"/>
      <c r="L89" s="73"/>
      <c r="M89" s="73"/>
      <c r="N89" s="73"/>
      <c r="O89" s="73"/>
      <c r="P89" s="73"/>
      <c r="Q89" s="73"/>
      <c r="R89" s="73"/>
      <c r="S89" s="73"/>
      <c r="T89" s="73"/>
      <c r="U89" s="73"/>
      <c r="V89" s="73"/>
      <c r="W89" s="73"/>
    </row>
    <row r="90" spans="2:31" x14ac:dyDescent="0.25">
      <c r="C90" s="91"/>
      <c r="D90" s="71"/>
      <c r="E90" s="71"/>
      <c r="F90" s="71"/>
      <c r="G90" s="73"/>
      <c r="H90" s="73"/>
      <c r="I90" s="73"/>
      <c r="J90" s="73"/>
      <c r="K90" s="73"/>
      <c r="L90" s="73"/>
      <c r="M90" s="73"/>
      <c r="N90" s="73"/>
      <c r="O90" s="73"/>
      <c r="P90" s="73"/>
      <c r="Q90" s="73"/>
      <c r="R90" s="73"/>
      <c r="S90" s="73"/>
      <c r="T90" s="73"/>
      <c r="U90" s="73"/>
      <c r="V90" s="73"/>
      <c r="W90" s="73"/>
    </row>
    <row r="92" spans="2:31" x14ac:dyDescent="0.25">
      <c r="B92" s="65"/>
      <c r="C92" s="16" t="s">
        <v>19</v>
      </c>
      <c r="D92" s="16">
        <v>0</v>
      </c>
      <c r="E92" s="16">
        <v>1</v>
      </c>
      <c r="F92" s="16">
        <v>2</v>
      </c>
      <c r="G92" s="16">
        <v>3</v>
      </c>
      <c r="H92" s="16">
        <v>4</v>
      </c>
      <c r="I92" s="16">
        <v>5</v>
      </c>
      <c r="J92" s="16">
        <v>6</v>
      </c>
      <c r="K92" s="16">
        <v>7</v>
      </c>
      <c r="L92" s="16">
        <v>8</v>
      </c>
      <c r="M92" s="16">
        <v>9</v>
      </c>
      <c r="N92" s="16">
        <v>10</v>
      </c>
      <c r="O92" s="16">
        <v>11</v>
      </c>
      <c r="P92" s="16">
        <v>12</v>
      </c>
      <c r="Q92" s="16">
        <v>13</v>
      </c>
      <c r="R92" s="16">
        <v>14</v>
      </c>
      <c r="S92" s="16">
        <v>15</v>
      </c>
      <c r="T92" s="16">
        <v>16</v>
      </c>
      <c r="U92" s="16">
        <v>17</v>
      </c>
      <c r="V92" s="16">
        <v>18</v>
      </c>
      <c r="W92" s="16">
        <v>19</v>
      </c>
      <c r="X92" s="16">
        <v>20</v>
      </c>
      <c r="Y92" s="16">
        <v>21</v>
      </c>
      <c r="Z92" s="16">
        <v>22</v>
      </c>
      <c r="AA92" s="16">
        <v>23</v>
      </c>
      <c r="AB92" s="16">
        <v>24</v>
      </c>
      <c r="AC92" s="16">
        <v>25</v>
      </c>
    </row>
    <row r="93" spans="2:31" x14ac:dyDescent="0.25">
      <c r="B93" t="s">
        <v>80</v>
      </c>
      <c r="C93" s="63"/>
      <c r="D93" s="63"/>
      <c r="E93" s="63">
        <f>D88</f>
        <v>0</v>
      </c>
      <c r="F93" s="63">
        <f>E88</f>
        <v>0</v>
      </c>
      <c r="G93" s="63">
        <f>F88</f>
        <v>1</v>
      </c>
      <c r="H93" s="63">
        <f>D88</f>
        <v>0</v>
      </c>
      <c r="I93" s="63">
        <f t="shared" ref="I93:J93" si="33">E88</f>
        <v>0</v>
      </c>
      <c r="J93" s="63">
        <f t="shared" si="33"/>
        <v>1</v>
      </c>
      <c r="K93" s="63">
        <f>D88</f>
        <v>0</v>
      </c>
      <c r="L93" s="63">
        <f t="shared" ref="L93:M93" si="34">E88</f>
        <v>0</v>
      </c>
      <c r="M93" s="63">
        <f t="shared" si="34"/>
        <v>1</v>
      </c>
      <c r="N93" s="63">
        <f>D88</f>
        <v>0</v>
      </c>
      <c r="O93" s="63">
        <f t="shared" ref="O93:P93" si="35">E88</f>
        <v>0</v>
      </c>
      <c r="P93" s="63">
        <f t="shared" si="35"/>
        <v>1</v>
      </c>
      <c r="Q93" s="63">
        <f>D88</f>
        <v>0</v>
      </c>
      <c r="R93" s="63">
        <f t="shared" ref="R93:S93" si="36">E88</f>
        <v>0</v>
      </c>
      <c r="S93" s="63">
        <f t="shared" si="36"/>
        <v>1</v>
      </c>
      <c r="T93" s="63">
        <f>D88</f>
        <v>0</v>
      </c>
      <c r="U93" s="63">
        <f t="shared" ref="U93:V93" si="37">E88</f>
        <v>0</v>
      </c>
      <c r="V93" s="63">
        <f t="shared" si="37"/>
        <v>1</v>
      </c>
      <c r="W93" s="63">
        <f>D88</f>
        <v>0</v>
      </c>
      <c r="X93" s="63">
        <f t="shared" ref="X93:Y93" si="38">E88</f>
        <v>0</v>
      </c>
      <c r="Y93" s="63">
        <f t="shared" si="38"/>
        <v>1</v>
      </c>
      <c r="Z93" s="63">
        <f>D88</f>
        <v>0</v>
      </c>
      <c r="AA93" s="63">
        <f t="shared" ref="AA93:AB93" si="39">E88</f>
        <v>0</v>
      </c>
      <c r="AB93" s="63">
        <f t="shared" si="39"/>
        <v>1</v>
      </c>
      <c r="AC93" s="91"/>
    </row>
    <row r="94" spans="2:31" x14ac:dyDescent="0.25">
      <c r="B94" t="s">
        <v>82</v>
      </c>
      <c r="C94" s="63"/>
      <c r="D94" s="68"/>
      <c r="E94" s="58">
        <f>$D89</f>
        <v>0</v>
      </c>
      <c r="F94" s="106">
        <f>$E89</f>
        <v>0</v>
      </c>
      <c r="G94" s="106">
        <f>$F89</f>
        <v>0.5</v>
      </c>
      <c r="H94" s="58">
        <f>$D89</f>
        <v>0</v>
      </c>
      <c r="I94" s="106">
        <f>$E89</f>
        <v>0</v>
      </c>
      <c r="J94" s="106">
        <f>$F89</f>
        <v>0.5</v>
      </c>
      <c r="K94" s="58">
        <f>$D89</f>
        <v>0</v>
      </c>
      <c r="L94" s="106">
        <f>$E89</f>
        <v>0</v>
      </c>
      <c r="M94" s="106">
        <f>$F89</f>
        <v>0.5</v>
      </c>
      <c r="N94" s="58">
        <f>$D89</f>
        <v>0</v>
      </c>
      <c r="O94" s="106">
        <f>$E89</f>
        <v>0</v>
      </c>
      <c r="P94" s="106">
        <f>$F89</f>
        <v>0.5</v>
      </c>
      <c r="Q94" s="58">
        <f>$D89</f>
        <v>0</v>
      </c>
      <c r="R94" s="106">
        <f>$E89</f>
        <v>0</v>
      </c>
      <c r="S94" s="106">
        <f>$F89</f>
        <v>0.5</v>
      </c>
      <c r="T94" s="58">
        <f>$D89</f>
        <v>0</v>
      </c>
      <c r="U94" s="106">
        <f>$E89</f>
        <v>0</v>
      </c>
      <c r="V94" s="106">
        <f>$F89</f>
        <v>0.5</v>
      </c>
      <c r="W94" s="58">
        <f>$D89</f>
        <v>0</v>
      </c>
      <c r="X94" s="106">
        <f>$E89</f>
        <v>0</v>
      </c>
      <c r="Y94" s="106">
        <f>$F89</f>
        <v>0.5</v>
      </c>
      <c r="Z94" s="58">
        <f>$D89</f>
        <v>0</v>
      </c>
      <c r="AA94" s="106">
        <f>$E89</f>
        <v>0</v>
      </c>
      <c r="AB94" s="106">
        <f>$F89</f>
        <v>0.5</v>
      </c>
      <c r="AC94" s="107"/>
      <c r="AD94" s="107"/>
      <c r="AE94" s="107"/>
    </row>
    <row r="95" spans="2:31" x14ac:dyDescent="0.25">
      <c r="C95" s="91"/>
      <c r="D95" s="104"/>
      <c r="E95" s="104"/>
      <c r="F95" s="104"/>
      <c r="G95" s="104"/>
      <c r="H95" s="104"/>
      <c r="I95" s="104"/>
      <c r="J95" s="104"/>
      <c r="K95" s="104"/>
      <c r="L95" s="104"/>
      <c r="M95" s="104"/>
      <c r="N95" s="104"/>
      <c r="O95" s="104"/>
      <c r="P95" s="104"/>
      <c r="Q95" s="104"/>
      <c r="R95" s="104"/>
      <c r="S95" s="104"/>
      <c r="T95" s="104"/>
      <c r="U95" s="104"/>
      <c r="V95" s="104"/>
      <c r="W95" s="104"/>
      <c r="X95" s="104"/>
    </row>
    <row r="96" spans="2:31" x14ac:dyDescent="0.25">
      <c r="B96" s="44" t="s">
        <v>126</v>
      </c>
      <c r="C96" s="91"/>
      <c r="D96" s="104"/>
      <c r="E96" s="104"/>
      <c r="F96" s="104"/>
      <c r="G96" s="104"/>
      <c r="H96" s="104"/>
      <c r="I96" s="104"/>
      <c r="J96" s="104"/>
      <c r="K96" s="104"/>
      <c r="L96" s="104"/>
      <c r="M96" s="104"/>
      <c r="N96" s="104"/>
      <c r="O96" s="104"/>
      <c r="P96" s="104"/>
      <c r="Q96" s="104"/>
      <c r="R96" s="104"/>
      <c r="S96" s="104"/>
      <c r="T96" s="104"/>
      <c r="U96" s="104"/>
      <c r="V96" s="104"/>
      <c r="W96" s="104"/>
      <c r="X96" s="104"/>
    </row>
    <row r="97" spans="1:31" x14ac:dyDescent="0.25">
      <c r="C97" s="91"/>
      <c r="D97" s="104"/>
      <c r="E97" s="104"/>
      <c r="F97" s="104"/>
      <c r="G97" s="104"/>
      <c r="H97" s="104"/>
      <c r="I97" s="104"/>
      <c r="J97" s="104"/>
      <c r="K97" s="104"/>
      <c r="L97" s="104"/>
      <c r="M97" s="104"/>
      <c r="N97" s="104"/>
      <c r="O97" s="104"/>
      <c r="P97" s="104"/>
      <c r="Q97" s="104"/>
      <c r="R97" s="104"/>
      <c r="S97" s="104"/>
      <c r="T97" s="104"/>
      <c r="U97" s="104"/>
      <c r="V97" s="104"/>
      <c r="W97" s="104"/>
      <c r="X97" s="104"/>
    </row>
    <row r="98" spans="1:31" ht="28.15" customHeight="1" x14ac:dyDescent="0.25">
      <c r="B98" t="s">
        <v>124</v>
      </c>
      <c r="C98" s="498" t="s">
        <v>127</v>
      </c>
      <c r="D98" s="498"/>
      <c r="E98" s="498"/>
      <c r="F98" s="498"/>
      <c r="G98" s="73"/>
      <c r="H98" s="73"/>
      <c r="I98" s="73"/>
      <c r="J98" s="73"/>
      <c r="K98" s="73"/>
      <c r="L98" s="73"/>
      <c r="M98" s="73"/>
      <c r="N98" s="73"/>
      <c r="O98" s="73"/>
      <c r="P98" s="73"/>
      <c r="Q98" s="73"/>
      <c r="R98" s="73"/>
      <c r="S98" s="73"/>
      <c r="T98" s="73"/>
      <c r="U98" s="73"/>
      <c r="V98" s="73"/>
      <c r="W98" s="73"/>
    </row>
    <row r="99" spans="1:31" x14ac:dyDescent="0.25">
      <c r="B99" s="65"/>
      <c r="C99" s="16" t="s">
        <v>19</v>
      </c>
      <c r="D99" s="216">
        <v>1</v>
      </c>
      <c r="E99" s="216">
        <v>2</v>
      </c>
      <c r="F99" s="216">
        <v>3</v>
      </c>
      <c r="G99" s="73"/>
      <c r="H99" s="73"/>
      <c r="I99" s="73"/>
      <c r="J99" s="73"/>
      <c r="K99" s="73"/>
      <c r="L99" s="73"/>
      <c r="M99" s="73"/>
      <c r="N99" s="73"/>
      <c r="O99" s="73"/>
      <c r="P99" s="73"/>
      <c r="Q99" s="73"/>
      <c r="R99" s="73"/>
      <c r="S99" s="73"/>
      <c r="T99" s="73"/>
      <c r="U99" s="73"/>
      <c r="V99" s="73"/>
      <c r="W99" s="73"/>
    </row>
    <row r="100" spans="1:31" x14ac:dyDescent="0.25">
      <c r="B100" t="s">
        <v>80</v>
      </c>
      <c r="C100" s="63"/>
      <c r="D100" s="68">
        <v>0</v>
      </c>
      <c r="E100" s="68">
        <v>0</v>
      </c>
      <c r="F100" s="68">
        <v>1</v>
      </c>
      <c r="G100" s="73"/>
      <c r="H100" s="73"/>
      <c r="I100" s="73"/>
      <c r="J100" s="73"/>
      <c r="K100" s="73"/>
      <c r="L100" s="73"/>
      <c r="M100" s="73"/>
      <c r="N100" s="73"/>
      <c r="O100" s="73"/>
      <c r="P100" s="73"/>
      <c r="Q100" s="73"/>
      <c r="R100" s="73"/>
      <c r="S100" s="73"/>
      <c r="T100" s="73"/>
      <c r="U100" s="73"/>
      <c r="V100" s="73"/>
      <c r="W100" s="73"/>
    </row>
    <row r="101" spans="1:31" x14ac:dyDescent="0.25">
      <c r="B101" t="s">
        <v>82</v>
      </c>
      <c r="C101" s="63"/>
      <c r="D101" s="139">
        <v>0</v>
      </c>
      <c r="E101" s="139">
        <v>0</v>
      </c>
      <c r="F101" s="139">
        <v>0.5</v>
      </c>
      <c r="G101" s="73"/>
      <c r="H101" s="73"/>
      <c r="I101" s="73"/>
      <c r="J101" s="73"/>
      <c r="K101" s="73"/>
      <c r="L101" s="73"/>
      <c r="M101" s="73"/>
      <c r="N101" s="73"/>
      <c r="O101" s="73"/>
      <c r="P101" s="73"/>
      <c r="Q101" s="73"/>
      <c r="R101" s="73"/>
      <c r="S101" s="73"/>
      <c r="T101" s="73"/>
      <c r="U101" s="73"/>
      <c r="V101" s="73"/>
      <c r="W101" s="73"/>
    </row>
    <row r="102" spans="1:31" x14ac:dyDescent="0.25">
      <c r="C102" s="91"/>
      <c r="D102" s="71"/>
      <c r="E102" s="71"/>
      <c r="F102" s="71"/>
      <c r="G102" s="73"/>
      <c r="H102" s="73"/>
      <c r="I102" s="73"/>
      <c r="J102" s="73"/>
      <c r="K102" s="73"/>
      <c r="L102" s="73"/>
      <c r="M102" s="73"/>
      <c r="N102" s="73"/>
      <c r="O102" s="73"/>
      <c r="P102" s="73"/>
      <c r="Q102" s="73"/>
      <c r="R102" s="73"/>
      <c r="S102" s="73"/>
      <c r="T102" s="73"/>
      <c r="U102" s="73"/>
      <c r="V102" s="73"/>
      <c r="W102" s="73"/>
    </row>
    <row r="104" spans="1:31" x14ac:dyDescent="0.25">
      <c r="B104" s="65"/>
      <c r="C104" s="16" t="s">
        <v>19</v>
      </c>
      <c r="D104" s="16">
        <v>0</v>
      </c>
      <c r="E104" s="16">
        <v>1</v>
      </c>
      <c r="F104" s="16">
        <v>2</v>
      </c>
      <c r="G104" s="16">
        <v>3</v>
      </c>
      <c r="H104" s="16">
        <v>4</v>
      </c>
      <c r="I104" s="16">
        <v>5</v>
      </c>
      <c r="J104" s="16">
        <v>6</v>
      </c>
      <c r="K104" s="16">
        <v>7</v>
      </c>
      <c r="L104" s="16">
        <v>8</v>
      </c>
      <c r="M104" s="16">
        <v>9</v>
      </c>
      <c r="N104" s="16">
        <v>10</v>
      </c>
      <c r="O104" s="16">
        <v>11</v>
      </c>
      <c r="P104" s="16">
        <v>12</v>
      </c>
      <c r="Q104" s="16">
        <v>13</v>
      </c>
      <c r="R104" s="16">
        <v>14</v>
      </c>
      <c r="S104" s="16">
        <v>15</v>
      </c>
      <c r="T104" s="16">
        <v>16</v>
      </c>
      <c r="U104" s="16">
        <v>17</v>
      </c>
      <c r="V104" s="16">
        <v>18</v>
      </c>
      <c r="W104" s="16">
        <v>19</v>
      </c>
      <c r="X104" s="16">
        <v>20</v>
      </c>
      <c r="Y104" s="16">
        <v>21</v>
      </c>
      <c r="Z104" s="16">
        <v>22</v>
      </c>
      <c r="AA104" s="16">
        <v>23</v>
      </c>
      <c r="AB104" s="16">
        <v>24</v>
      </c>
      <c r="AC104" s="15"/>
    </row>
    <row r="105" spans="1:31" x14ac:dyDescent="0.25">
      <c r="B105" t="s">
        <v>80</v>
      </c>
      <c r="C105" s="63"/>
      <c r="D105" s="63"/>
      <c r="E105" s="63">
        <f>D100</f>
        <v>0</v>
      </c>
      <c r="F105" s="63">
        <f>E100</f>
        <v>0</v>
      </c>
      <c r="G105" s="63">
        <f>F100</f>
        <v>1</v>
      </c>
      <c r="H105" s="63">
        <f>D100</f>
        <v>0</v>
      </c>
      <c r="I105" s="63">
        <f t="shared" ref="I105:J105" si="40">E100</f>
        <v>0</v>
      </c>
      <c r="J105" s="63">
        <f t="shared" si="40"/>
        <v>1</v>
      </c>
      <c r="K105" s="63">
        <f>D100</f>
        <v>0</v>
      </c>
      <c r="L105" s="63">
        <f t="shared" ref="L105:M105" si="41">E100</f>
        <v>0</v>
      </c>
      <c r="M105" s="63">
        <f t="shared" si="41"/>
        <v>1</v>
      </c>
      <c r="N105" s="63">
        <f>D100</f>
        <v>0</v>
      </c>
      <c r="O105" s="63">
        <f t="shared" ref="O105:P105" si="42">E100</f>
        <v>0</v>
      </c>
      <c r="P105" s="63">
        <f t="shared" si="42"/>
        <v>1</v>
      </c>
      <c r="Q105" s="63">
        <f>D100</f>
        <v>0</v>
      </c>
      <c r="R105" s="63">
        <f t="shared" ref="R105:S105" si="43">E100</f>
        <v>0</v>
      </c>
      <c r="S105" s="63">
        <f t="shared" si="43"/>
        <v>1</v>
      </c>
      <c r="T105" s="63">
        <f>D100</f>
        <v>0</v>
      </c>
      <c r="U105" s="63">
        <f t="shared" ref="U105:V105" si="44">E100</f>
        <v>0</v>
      </c>
      <c r="V105" s="63">
        <f t="shared" si="44"/>
        <v>1</v>
      </c>
      <c r="W105" s="63">
        <f>D100</f>
        <v>0</v>
      </c>
      <c r="X105" s="63">
        <f t="shared" ref="X105:Y105" si="45">E100</f>
        <v>0</v>
      </c>
      <c r="Y105" s="63">
        <f t="shared" si="45"/>
        <v>1</v>
      </c>
      <c r="Z105" s="63">
        <f>D100</f>
        <v>0</v>
      </c>
      <c r="AA105" s="63">
        <f t="shared" ref="AA105:AB105" si="46">E100</f>
        <v>0</v>
      </c>
      <c r="AB105" s="63">
        <f t="shared" si="46"/>
        <v>1</v>
      </c>
      <c r="AC105" s="91"/>
    </row>
    <row r="106" spans="1:31" x14ac:dyDescent="0.25">
      <c r="B106" t="s">
        <v>82</v>
      </c>
      <c r="C106" s="63"/>
      <c r="D106" s="68"/>
      <c r="E106" s="58">
        <f>$D101</f>
        <v>0</v>
      </c>
      <c r="F106" s="106">
        <f>$E101</f>
        <v>0</v>
      </c>
      <c r="G106" s="106">
        <f>$F101</f>
        <v>0.5</v>
      </c>
      <c r="H106" s="58">
        <f>$D101</f>
        <v>0</v>
      </c>
      <c r="I106" s="106">
        <f>$E101</f>
        <v>0</v>
      </c>
      <c r="J106" s="106">
        <f>$F101</f>
        <v>0.5</v>
      </c>
      <c r="K106" s="58">
        <f>$D101</f>
        <v>0</v>
      </c>
      <c r="L106" s="106">
        <f>$E101</f>
        <v>0</v>
      </c>
      <c r="M106" s="106">
        <f>$F101</f>
        <v>0.5</v>
      </c>
      <c r="N106" s="58">
        <f>$D101</f>
        <v>0</v>
      </c>
      <c r="O106" s="106">
        <f>$E101</f>
        <v>0</v>
      </c>
      <c r="P106" s="106">
        <f>$F101</f>
        <v>0.5</v>
      </c>
      <c r="Q106" s="58">
        <f>$D101</f>
        <v>0</v>
      </c>
      <c r="R106" s="106">
        <f>$E101</f>
        <v>0</v>
      </c>
      <c r="S106" s="106">
        <f>$F101</f>
        <v>0.5</v>
      </c>
      <c r="T106" s="58">
        <f>$D101</f>
        <v>0</v>
      </c>
      <c r="U106" s="106">
        <f>$E101</f>
        <v>0</v>
      </c>
      <c r="V106" s="106">
        <f>$F101</f>
        <v>0.5</v>
      </c>
      <c r="W106" s="58">
        <f>$D101</f>
        <v>0</v>
      </c>
      <c r="X106" s="106">
        <f>$E101</f>
        <v>0</v>
      </c>
      <c r="Y106" s="106">
        <f>$F101</f>
        <v>0.5</v>
      </c>
      <c r="Z106" s="58">
        <f>$D101</f>
        <v>0</v>
      </c>
      <c r="AA106" s="106">
        <f>$E101</f>
        <v>0</v>
      </c>
      <c r="AB106" s="106">
        <f>$F101</f>
        <v>0.5</v>
      </c>
      <c r="AC106" s="107"/>
      <c r="AD106" s="107"/>
      <c r="AE106" s="107"/>
    </row>
    <row r="107" spans="1:31" x14ac:dyDescent="0.25">
      <c r="C107" s="91"/>
      <c r="D107" s="104"/>
      <c r="E107" s="104"/>
      <c r="F107" s="104"/>
      <c r="G107" s="104"/>
      <c r="H107" s="104"/>
      <c r="I107" s="104"/>
      <c r="J107" s="104"/>
      <c r="K107" s="104"/>
      <c r="L107" s="104"/>
      <c r="M107" s="104"/>
      <c r="N107" s="104"/>
      <c r="O107" s="104"/>
      <c r="P107" s="104"/>
      <c r="Q107" s="104"/>
      <c r="R107" s="104"/>
      <c r="S107" s="104"/>
      <c r="T107" s="104"/>
      <c r="U107" s="104"/>
      <c r="V107" s="104"/>
      <c r="W107" s="104"/>
      <c r="X107" s="104"/>
    </row>
    <row r="108" spans="1:31" ht="15.75" x14ac:dyDescent="0.25">
      <c r="A108" s="63">
        <v>5</v>
      </c>
      <c r="B108" s="340" t="s">
        <v>312</v>
      </c>
      <c r="C108" s="91"/>
      <c r="D108" s="104"/>
      <c r="E108" s="104"/>
      <c r="F108" s="104"/>
      <c r="G108" s="104"/>
      <c r="H108" s="104"/>
      <c r="I108" s="104"/>
      <c r="J108" s="104"/>
      <c r="K108" s="104"/>
      <c r="L108" s="104"/>
      <c r="M108" s="104"/>
      <c r="N108" s="104"/>
      <c r="O108" s="104"/>
      <c r="P108" s="104"/>
      <c r="Q108" s="104"/>
      <c r="R108" s="104"/>
      <c r="S108" s="104"/>
      <c r="T108" s="104"/>
      <c r="U108" s="104"/>
      <c r="V108" s="104"/>
      <c r="W108" s="104"/>
      <c r="X108" s="104"/>
    </row>
    <row r="109" spans="1:31" x14ac:dyDescent="0.25">
      <c r="C109" s="91"/>
      <c r="D109" s="104"/>
      <c r="E109" s="104"/>
      <c r="F109" s="104"/>
      <c r="G109" s="104"/>
      <c r="H109" s="104"/>
      <c r="I109" s="104"/>
      <c r="J109" s="104"/>
      <c r="K109" s="104"/>
      <c r="L109" s="104"/>
      <c r="M109" s="104"/>
      <c r="N109" s="104"/>
      <c r="O109" s="104"/>
      <c r="P109" s="104"/>
      <c r="Q109" s="104"/>
      <c r="R109" s="104"/>
      <c r="S109" s="104"/>
      <c r="T109" s="104"/>
      <c r="U109" s="104"/>
      <c r="V109" s="104"/>
      <c r="W109" s="104"/>
      <c r="X109" s="104"/>
    </row>
    <row r="110" spans="1:31" x14ac:dyDescent="0.25">
      <c r="B110" s="203"/>
      <c r="C110" s="214"/>
      <c r="D110" s="215"/>
      <c r="E110" s="104"/>
      <c r="F110" s="104"/>
      <c r="G110" s="104"/>
      <c r="H110" s="104"/>
      <c r="I110" s="104"/>
      <c r="J110" s="104"/>
      <c r="K110" s="104"/>
      <c r="L110" s="104"/>
      <c r="M110" s="104"/>
      <c r="N110" s="104"/>
      <c r="O110" s="104"/>
      <c r="P110" s="104"/>
      <c r="Q110" s="104"/>
      <c r="R110" s="104"/>
      <c r="S110" s="104"/>
      <c r="T110" s="104"/>
      <c r="U110" s="104"/>
      <c r="V110" s="104"/>
      <c r="W110" s="104"/>
      <c r="X110" s="104"/>
    </row>
    <row r="111" spans="1:31" x14ac:dyDescent="0.25">
      <c r="B111" s="17" t="s">
        <v>3</v>
      </c>
      <c r="C111" s="13" t="s">
        <v>178</v>
      </c>
      <c r="D111" s="20" t="s">
        <v>5</v>
      </c>
      <c r="E111" s="484" t="s">
        <v>248</v>
      </c>
      <c r="F111" s="484"/>
      <c r="G111" s="484"/>
      <c r="H111" s="484"/>
      <c r="I111" s="104"/>
      <c r="J111" s="104"/>
      <c r="K111" s="104"/>
      <c r="L111" s="104"/>
      <c r="M111" s="104"/>
      <c r="N111" s="104"/>
      <c r="O111" s="104"/>
      <c r="P111" s="104"/>
      <c r="Q111" s="104"/>
      <c r="R111" s="104"/>
      <c r="S111" s="104"/>
      <c r="T111" s="104"/>
      <c r="U111" s="104"/>
      <c r="V111" s="104"/>
      <c r="W111" s="104"/>
      <c r="X111" s="104"/>
    </row>
    <row r="112" spans="1:31" x14ac:dyDescent="0.25">
      <c r="B112" s="18" t="s">
        <v>21</v>
      </c>
      <c r="C112" s="167">
        <v>4</v>
      </c>
      <c r="D112" s="5" t="s">
        <v>22</v>
      </c>
      <c r="E112" s="500" t="s">
        <v>385</v>
      </c>
      <c r="F112" s="500"/>
      <c r="G112" s="500"/>
      <c r="H112" s="500"/>
      <c r="I112" s="104"/>
      <c r="J112" s="104"/>
      <c r="K112" s="104"/>
      <c r="L112" s="104"/>
      <c r="M112" s="104"/>
      <c r="N112" s="104"/>
      <c r="O112" s="104"/>
      <c r="P112" s="104"/>
      <c r="Q112" s="104"/>
      <c r="R112" s="104"/>
      <c r="S112" s="104"/>
      <c r="T112" s="104"/>
      <c r="U112" s="104"/>
      <c r="V112" s="104"/>
      <c r="W112" s="104"/>
      <c r="X112" s="104"/>
    </row>
    <row r="113" spans="2:24" x14ac:dyDescent="0.25">
      <c r="B113" s="18" t="s">
        <v>23</v>
      </c>
      <c r="C113" s="186">
        <f>C134</f>
        <v>63.5</v>
      </c>
      <c r="D113" s="5" t="s">
        <v>24</v>
      </c>
      <c r="E113" s="500" t="s">
        <v>231</v>
      </c>
      <c r="F113" s="500"/>
      <c r="G113" s="500"/>
      <c r="H113" s="500"/>
      <c r="I113" s="104"/>
      <c r="J113" s="104"/>
      <c r="K113" s="104"/>
      <c r="L113" s="104"/>
      <c r="M113" s="104"/>
      <c r="N113" s="104"/>
      <c r="O113" s="104"/>
      <c r="P113" s="104"/>
      <c r="Q113" s="104"/>
      <c r="R113" s="104"/>
      <c r="S113" s="104"/>
      <c r="T113" s="104"/>
      <c r="U113" s="104"/>
      <c r="V113" s="104"/>
      <c r="W113" s="104"/>
      <c r="X113" s="104"/>
    </row>
    <row r="114" spans="2:24" x14ac:dyDescent="0.25">
      <c r="B114" s="18" t="s">
        <v>25</v>
      </c>
      <c r="C114" s="168">
        <v>0.01</v>
      </c>
      <c r="D114" s="5" t="s">
        <v>26</v>
      </c>
      <c r="E114" s="500" t="s">
        <v>27</v>
      </c>
      <c r="F114" s="500"/>
      <c r="G114" s="500"/>
      <c r="H114" s="500"/>
      <c r="I114" s="104"/>
      <c r="J114" s="104"/>
      <c r="K114" s="104"/>
      <c r="L114" s="104"/>
      <c r="M114" s="104"/>
      <c r="N114" s="104"/>
      <c r="O114" s="104"/>
      <c r="P114" s="104"/>
      <c r="Q114" s="104"/>
      <c r="R114" s="104"/>
      <c r="S114" s="104"/>
      <c r="T114" s="104"/>
      <c r="U114" s="104"/>
      <c r="V114" s="104"/>
      <c r="W114" s="104"/>
      <c r="X114" s="104"/>
    </row>
    <row r="115" spans="2:24" ht="60" x14ac:dyDescent="0.25">
      <c r="B115" s="18" t="s">
        <v>8</v>
      </c>
      <c r="C115" s="168">
        <v>0.2</v>
      </c>
      <c r="D115" s="7" t="s">
        <v>28</v>
      </c>
      <c r="E115" s="487" t="s">
        <v>172</v>
      </c>
      <c r="F115" s="488"/>
      <c r="G115" s="488"/>
      <c r="H115" s="489"/>
      <c r="I115" s="104"/>
      <c r="J115" s="104"/>
      <c r="K115" s="104"/>
      <c r="L115" s="104"/>
      <c r="M115" s="104"/>
      <c r="N115" s="104"/>
      <c r="O115" s="104"/>
      <c r="P115" s="104"/>
      <c r="Q115" s="104"/>
      <c r="R115" s="104"/>
      <c r="S115" s="104"/>
      <c r="T115" s="104"/>
      <c r="U115" s="104"/>
      <c r="V115" s="104"/>
      <c r="W115" s="104"/>
      <c r="X115" s="104"/>
    </row>
    <row r="116" spans="2:24" x14ac:dyDescent="0.25">
      <c r="B116" s="18" t="s">
        <v>29</v>
      </c>
      <c r="C116" s="167">
        <f>E134*2</f>
        <v>165</v>
      </c>
      <c r="D116" s="5" t="s">
        <v>81</v>
      </c>
      <c r="E116" s="487" t="s">
        <v>232</v>
      </c>
      <c r="F116" s="488"/>
      <c r="G116" s="488"/>
      <c r="H116" s="489"/>
      <c r="I116" s="104"/>
      <c r="J116" s="104"/>
      <c r="K116" s="104"/>
      <c r="L116" s="104"/>
      <c r="M116" s="104"/>
      <c r="N116" s="104"/>
      <c r="O116" s="104"/>
      <c r="P116" s="104"/>
      <c r="Q116" s="104"/>
      <c r="R116" s="104"/>
      <c r="S116" s="104"/>
      <c r="T116" s="104"/>
      <c r="U116" s="104"/>
      <c r="V116" s="104"/>
      <c r="W116" s="104"/>
      <c r="X116" s="104"/>
    </row>
    <row r="117" spans="2:24" x14ac:dyDescent="0.25">
      <c r="I117" s="104"/>
      <c r="J117" s="104"/>
      <c r="K117" s="104"/>
      <c r="L117" s="104"/>
      <c r="M117" s="104"/>
      <c r="N117" s="104"/>
      <c r="O117" s="104"/>
      <c r="P117" s="104"/>
      <c r="Q117" s="104"/>
      <c r="R117" s="104"/>
      <c r="S117" s="104"/>
      <c r="T117" s="104"/>
      <c r="U117" s="104"/>
      <c r="V117" s="104"/>
      <c r="W117" s="104"/>
      <c r="X117" s="104"/>
    </row>
    <row r="118" spans="2:24" x14ac:dyDescent="0.25">
      <c r="I118" s="104"/>
      <c r="J118" s="104"/>
      <c r="K118" s="104"/>
      <c r="L118" s="104"/>
      <c r="M118" s="104"/>
      <c r="N118" s="104"/>
      <c r="O118" s="104"/>
      <c r="P118" s="104"/>
      <c r="Q118" s="104"/>
      <c r="R118" s="104"/>
      <c r="S118" s="104"/>
      <c r="T118" s="104"/>
      <c r="U118" s="104"/>
      <c r="V118" s="104"/>
      <c r="W118" s="104"/>
      <c r="X118" s="104"/>
    </row>
    <row r="119" spans="2:24" x14ac:dyDescent="0.25">
      <c r="B119" s="17" t="s">
        <v>10</v>
      </c>
      <c r="C119" s="14" t="s">
        <v>4</v>
      </c>
      <c r="D119" s="21" t="s">
        <v>5</v>
      </c>
      <c r="E119" s="474" t="s">
        <v>6</v>
      </c>
      <c r="F119" s="474"/>
      <c r="G119" s="474"/>
      <c r="H119" s="474"/>
      <c r="I119" s="104"/>
      <c r="J119" s="104"/>
      <c r="K119" s="104"/>
      <c r="L119" s="104"/>
      <c r="M119" s="104"/>
      <c r="N119" s="104"/>
      <c r="O119" s="104"/>
      <c r="P119" s="104"/>
      <c r="Q119" s="104"/>
      <c r="R119" s="104"/>
      <c r="S119" s="104"/>
      <c r="T119" s="104"/>
      <c r="U119" s="104"/>
      <c r="V119" s="104"/>
      <c r="W119" s="104"/>
      <c r="X119" s="104"/>
    </row>
    <row r="120" spans="2:24" x14ac:dyDescent="0.25">
      <c r="B120" s="18" t="s">
        <v>30</v>
      </c>
      <c r="C120" s="186">
        <f>C23</f>
        <v>112</v>
      </c>
      <c r="D120" s="5" t="s">
        <v>9</v>
      </c>
      <c r="E120" s="481" t="s">
        <v>11</v>
      </c>
      <c r="F120" s="482"/>
      <c r="G120" s="482"/>
      <c r="H120" s="483"/>
      <c r="I120" s="104"/>
      <c r="J120" s="104"/>
      <c r="K120" s="104"/>
      <c r="L120" s="104"/>
      <c r="M120" s="104"/>
      <c r="N120" s="104"/>
      <c r="O120" s="104"/>
      <c r="P120" s="104"/>
      <c r="Q120" s="104"/>
      <c r="R120" s="104"/>
      <c r="S120" s="104"/>
      <c r="T120" s="104"/>
      <c r="U120" s="104"/>
      <c r="V120" s="104"/>
      <c r="W120" s="104"/>
      <c r="X120" s="104"/>
    </row>
    <row r="121" spans="2:24" x14ac:dyDescent="0.25">
      <c r="B121" s="18" t="s">
        <v>31</v>
      </c>
      <c r="C121" s="186">
        <f>D133*2</f>
        <v>150</v>
      </c>
      <c r="D121" s="5" t="s">
        <v>9</v>
      </c>
      <c r="E121" s="491" t="s">
        <v>227</v>
      </c>
      <c r="F121" s="492"/>
      <c r="G121" s="492"/>
      <c r="H121" s="493"/>
      <c r="I121" s="104"/>
      <c r="J121" s="104"/>
      <c r="K121" s="104"/>
      <c r="L121" s="104"/>
      <c r="M121" s="104"/>
      <c r="N121" s="104"/>
      <c r="O121" s="104"/>
      <c r="P121" s="104"/>
      <c r="Q121" s="104"/>
      <c r="R121" s="104"/>
      <c r="S121" s="104"/>
      <c r="T121" s="104"/>
      <c r="U121" s="104"/>
      <c r="V121" s="104"/>
      <c r="W121" s="104"/>
      <c r="X121" s="104"/>
    </row>
    <row r="122" spans="2:24" x14ac:dyDescent="0.25">
      <c r="B122" s="18" t="s">
        <v>32</v>
      </c>
      <c r="C122" s="167">
        <v>12</v>
      </c>
      <c r="D122" s="5" t="s">
        <v>7</v>
      </c>
      <c r="E122" s="481" t="s">
        <v>33</v>
      </c>
      <c r="F122" s="482"/>
      <c r="G122" s="482"/>
      <c r="H122" s="483"/>
      <c r="I122" s="104"/>
      <c r="J122" s="104"/>
      <c r="K122" s="104"/>
      <c r="L122" s="104"/>
      <c r="M122" s="104"/>
      <c r="N122" s="104"/>
      <c r="O122" s="104"/>
      <c r="P122" s="104"/>
      <c r="Q122" s="104"/>
      <c r="R122" s="104"/>
      <c r="S122" s="104"/>
      <c r="T122" s="104"/>
      <c r="U122" s="104"/>
      <c r="V122" s="104"/>
      <c r="W122" s="104"/>
      <c r="X122" s="104"/>
    </row>
    <row r="123" spans="2:24" x14ac:dyDescent="0.25">
      <c r="B123" s="18" t="s">
        <v>35</v>
      </c>
      <c r="C123" s="167">
        <v>20</v>
      </c>
      <c r="D123" s="5" t="s">
        <v>7</v>
      </c>
      <c r="E123" s="481" t="s">
        <v>173</v>
      </c>
      <c r="F123" s="482"/>
      <c r="G123" s="482"/>
      <c r="H123" s="483"/>
      <c r="I123" s="104"/>
      <c r="J123" s="104"/>
      <c r="K123" s="104"/>
      <c r="L123" s="104"/>
      <c r="M123" s="104"/>
      <c r="N123" s="104"/>
      <c r="O123" s="104"/>
      <c r="P123" s="104"/>
      <c r="Q123" s="104"/>
      <c r="R123" s="104"/>
      <c r="S123" s="104"/>
      <c r="T123" s="104"/>
      <c r="U123" s="104"/>
      <c r="V123" s="104"/>
      <c r="W123" s="104"/>
      <c r="X123" s="104"/>
    </row>
    <row r="124" spans="2:24" x14ac:dyDescent="0.25">
      <c r="B124" s="9" t="s">
        <v>15</v>
      </c>
      <c r="C124" s="102">
        <v>0.24</v>
      </c>
      <c r="D124" s="27" t="s">
        <v>16</v>
      </c>
      <c r="E124" s="490" t="s">
        <v>17</v>
      </c>
      <c r="F124" s="490"/>
      <c r="G124" s="490"/>
      <c r="H124" s="490"/>
      <c r="I124" s="104"/>
      <c r="J124" s="104"/>
      <c r="K124" s="104"/>
      <c r="L124" s="104"/>
      <c r="M124" s="104"/>
      <c r="N124" s="104"/>
      <c r="O124" s="104"/>
      <c r="P124" s="104"/>
      <c r="Q124" s="104"/>
      <c r="R124" s="104"/>
      <c r="S124" s="104"/>
      <c r="T124" s="104"/>
      <c r="U124" s="104"/>
      <c r="V124" s="104"/>
      <c r="W124" s="104"/>
      <c r="X124" s="104"/>
    </row>
    <row r="125" spans="2:24" x14ac:dyDescent="0.25">
      <c r="B125" s="109" t="s">
        <v>12</v>
      </c>
      <c r="C125" s="112">
        <v>19</v>
      </c>
      <c r="D125" s="28" t="s">
        <v>100</v>
      </c>
      <c r="E125" s="164"/>
      <c r="F125" s="165"/>
      <c r="G125" s="165"/>
      <c r="H125" s="166"/>
      <c r="I125" s="104"/>
      <c r="J125" s="104"/>
      <c r="K125" s="104"/>
      <c r="L125" s="104"/>
      <c r="M125" s="104"/>
      <c r="N125" s="104"/>
      <c r="O125" s="104"/>
      <c r="P125" s="104"/>
      <c r="Q125" s="104"/>
      <c r="R125" s="104"/>
      <c r="S125" s="104"/>
      <c r="T125" s="104"/>
      <c r="U125" s="104"/>
      <c r="V125" s="104"/>
      <c r="W125" s="104"/>
      <c r="X125" s="104"/>
    </row>
    <row r="126" spans="2:24" x14ac:dyDescent="0.25">
      <c r="B126" s="109" t="s">
        <v>13</v>
      </c>
      <c r="C126" s="112">
        <v>7</v>
      </c>
      <c r="D126" s="28" t="s">
        <v>36</v>
      </c>
      <c r="E126" s="164"/>
      <c r="F126" s="165"/>
      <c r="G126" s="165"/>
      <c r="H126" s="166"/>
      <c r="I126" s="104"/>
      <c r="J126" s="104"/>
      <c r="K126" s="104"/>
      <c r="L126" s="104"/>
      <c r="M126" s="104"/>
      <c r="N126" s="104"/>
      <c r="O126" s="104"/>
      <c r="P126" s="104"/>
      <c r="Q126" s="104"/>
      <c r="R126" s="104"/>
      <c r="S126" s="104"/>
      <c r="T126" s="104"/>
      <c r="U126" s="104"/>
      <c r="V126" s="104"/>
      <c r="W126" s="104"/>
      <c r="X126" s="104"/>
    </row>
    <row r="127" spans="2:24" x14ac:dyDescent="0.25">
      <c r="B127" s="109" t="s">
        <v>132</v>
      </c>
      <c r="C127" s="102">
        <v>0.01</v>
      </c>
      <c r="D127" s="28" t="s">
        <v>16</v>
      </c>
      <c r="E127" s="164"/>
      <c r="F127" s="165"/>
      <c r="G127" s="165"/>
      <c r="H127" s="166"/>
      <c r="I127" s="104"/>
      <c r="J127" s="104"/>
      <c r="K127" s="104"/>
      <c r="L127" s="104"/>
      <c r="M127" s="104"/>
      <c r="N127" s="104"/>
      <c r="O127" s="104"/>
      <c r="P127" s="104"/>
      <c r="Q127" s="104"/>
      <c r="R127" s="104"/>
      <c r="S127" s="104"/>
      <c r="T127" s="104"/>
      <c r="U127" s="104"/>
      <c r="V127" s="104"/>
      <c r="W127" s="104"/>
      <c r="X127" s="104"/>
    </row>
    <row r="128" spans="2:24" x14ac:dyDescent="0.25">
      <c r="B128" s="9"/>
      <c r="C128" s="134"/>
      <c r="D128" s="27"/>
      <c r="E128" s="501" t="s">
        <v>191</v>
      </c>
      <c r="F128" s="502"/>
      <c r="G128" s="502"/>
      <c r="H128" s="503"/>
      <c r="I128" s="104"/>
      <c r="J128" s="104"/>
      <c r="K128" s="104"/>
      <c r="L128" s="104"/>
      <c r="M128" s="104"/>
      <c r="N128" s="104"/>
      <c r="O128" s="104"/>
      <c r="P128" s="104"/>
      <c r="Q128" s="104"/>
      <c r="R128" s="104"/>
      <c r="S128" s="104"/>
      <c r="T128" s="104"/>
      <c r="U128" s="104"/>
      <c r="V128" s="104"/>
      <c r="W128" s="104"/>
      <c r="X128" s="104"/>
    </row>
    <row r="129" spans="1:24" x14ac:dyDescent="0.25">
      <c r="B129" s="10"/>
      <c r="C129" s="62"/>
      <c r="D129" s="100"/>
      <c r="E129" s="101"/>
      <c r="F129" s="101"/>
      <c r="G129" s="101"/>
      <c r="H129" s="101"/>
      <c r="I129" s="104"/>
      <c r="J129" s="104"/>
      <c r="K129" s="104"/>
      <c r="L129" s="104"/>
      <c r="M129" s="104"/>
      <c r="N129" s="104"/>
      <c r="O129" s="104"/>
      <c r="P129" s="104"/>
      <c r="Q129" s="104"/>
      <c r="R129" s="104"/>
      <c r="S129" s="104"/>
      <c r="T129" s="104"/>
      <c r="U129" s="104"/>
      <c r="V129" s="104"/>
      <c r="W129" s="104"/>
      <c r="X129" s="104"/>
    </row>
    <row r="130" spans="1:24" x14ac:dyDescent="0.25">
      <c r="B130" s="10"/>
      <c r="C130" s="62" t="s">
        <v>9</v>
      </c>
      <c r="D130" s="100" t="s">
        <v>9</v>
      </c>
      <c r="E130" s="211" t="s">
        <v>9</v>
      </c>
      <c r="F130" s="101"/>
      <c r="G130" s="101"/>
      <c r="H130" s="101"/>
      <c r="I130" s="104"/>
      <c r="J130" s="104"/>
      <c r="K130" s="104"/>
      <c r="L130" s="104"/>
      <c r="M130" s="104"/>
      <c r="N130" s="104"/>
      <c r="O130" s="104"/>
      <c r="P130" s="104"/>
      <c r="Q130" s="104"/>
      <c r="R130" s="104"/>
      <c r="S130" s="104"/>
      <c r="T130" s="104"/>
      <c r="U130" s="104"/>
      <c r="V130" s="104"/>
      <c r="W130" s="104"/>
      <c r="X130" s="104"/>
    </row>
    <row r="131" spans="1:24" x14ac:dyDescent="0.25">
      <c r="B131" s="115" t="s">
        <v>181</v>
      </c>
      <c r="C131" s="134" t="s">
        <v>182</v>
      </c>
      <c r="D131" s="134" t="s">
        <v>183</v>
      </c>
      <c r="E131" s="150" t="s">
        <v>233</v>
      </c>
      <c r="F131" s="504" t="s">
        <v>187</v>
      </c>
      <c r="G131" s="499"/>
      <c r="H131" s="499"/>
      <c r="I131" s="104"/>
      <c r="J131" s="104"/>
      <c r="K131" s="104"/>
      <c r="L131" s="104"/>
      <c r="M131" s="104"/>
      <c r="N131" s="104"/>
      <c r="O131" s="104"/>
      <c r="P131" s="104"/>
      <c r="Q131" s="104"/>
      <c r="R131" s="104"/>
      <c r="S131" s="104"/>
      <c r="T131" s="104"/>
      <c r="U131" s="104"/>
      <c r="V131" s="104"/>
      <c r="W131" s="104"/>
      <c r="X131" s="104"/>
    </row>
    <row r="132" spans="1:24" x14ac:dyDescent="0.25">
      <c r="B132" s="115" t="s">
        <v>184</v>
      </c>
      <c r="C132" s="187">
        <v>66</v>
      </c>
      <c r="D132" s="187">
        <v>80</v>
      </c>
      <c r="E132" s="150">
        <v>85</v>
      </c>
      <c r="F132" s="477" t="s">
        <v>192</v>
      </c>
      <c r="G132" s="477"/>
      <c r="H132" s="478"/>
      <c r="I132" s="104"/>
      <c r="J132" s="104"/>
      <c r="K132" s="104"/>
      <c r="L132" s="104"/>
      <c r="M132" s="104"/>
      <c r="N132" s="104"/>
      <c r="O132" s="104"/>
      <c r="P132" s="104"/>
      <c r="Q132" s="104"/>
      <c r="R132" s="104"/>
      <c r="S132" s="104"/>
      <c r="T132" s="104"/>
      <c r="U132" s="104"/>
      <c r="V132" s="104"/>
      <c r="W132" s="104"/>
      <c r="X132" s="104"/>
    </row>
    <row r="133" spans="1:24" x14ac:dyDescent="0.25">
      <c r="B133" s="115" t="s">
        <v>185</v>
      </c>
      <c r="C133" s="187">
        <v>61</v>
      </c>
      <c r="D133" s="187">
        <v>75</v>
      </c>
      <c r="E133" s="217">
        <v>80</v>
      </c>
      <c r="F133" s="479"/>
      <c r="G133" s="479"/>
      <c r="H133" s="480"/>
      <c r="I133" s="104"/>
      <c r="J133" s="104"/>
      <c r="K133" s="104"/>
      <c r="L133" s="104"/>
      <c r="M133" s="104"/>
      <c r="N133" s="104"/>
      <c r="O133" s="104"/>
      <c r="P133" s="104"/>
      <c r="Q133" s="104"/>
      <c r="R133" s="104"/>
      <c r="S133" s="104"/>
      <c r="T133" s="104"/>
      <c r="U133" s="104"/>
      <c r="V133" s="104"/>
      <c r="W133" s="104"/>
      <c r="X133" s="104"/>
    </row>
    <row r="134" spans="1:24" x14ac:dyDescent="0.25">
      <c r="B134" s="10" t="s">
        <v>186</v>
      </c>
      <c r="C134" s="187">
        <f>(C132+C133)/2</f>
        <v>63.5</v>
      </c>
      <c r="D134" s="187">
        <f t="shared" ref="D134:E134" si="47">(D132+D133)/2</f>
        <v>77.5</v>
      </c>
      <c r="E134" s="187">
        <f t="shared" si="47"/>
        <v>82.5</v>
      </c>
      <c r="F134" s="101"/>
      <c r="G134" s="101"/>
      <c r="H134" s="101"/>
      <c r="I134" s="104"/>
      <c r="J134" s="104"/>
      <c r="K134" s="104"/>
      <c r="L134" s="104"/>
      <c r="M134" s="104"/>
      <c r="N134" s="104"/>
      <c r="O134" s="104"/>
      <c r="P134" s="104"/>
      <c r="Q134" s="104"/>
      <c r="R134" s="104"/>
      <c r="S134" s="104"/>
      <c r="T134" s="104"/>
      <c r="U134" s="104"/>
      <c r="V134" s="104"/>
      <c r="W134" s="104"/>
      <c r="X134" s="104"/>
    </row>
    <row r="135" spans="1:24" x14ac:dyDescent="0.25">
      <c r="B135" s="10"/>
      <c r="C135" s="62"/>
      <c r="D135" s="100"/>
      <c r="E135" s="101"/>
      <c r="F135" s="101"/>
      <c r="G135" s="101"/>
      <c r="H135" s="101"/>
      <c r="I135" s="104"/>
      <c r="J135" s="104"/>
      <c r="K135" s="104"/>
      <c r="L135" s="104"/>
      <c r="M135" s="104"/>
      <c r="N135" s="104"/>
      <c r="O135" s="104"/>
      <c r="P135" s="104"/>
      <c r="Q135" s="104"/>
      <c r="R135" s="104"/>
      <c r="S135" s="104"/>
      <c r="T135" s="104"/>
      <c r="U135" s="104"/>
      <c r="V135" s="104"/>
      <c r="W135" s="104"/>
      <c r="X135" s="104"/>
    </row>
    <row r="136" spans="1:24" x14ac:dyDescent="0.25">
      <c r="B136" s="203"/>
      <c r="C136" s="214"/>
      <c r="D136" s="215"/>
      <c r="E136" s="104"/>
      <c r="F136" s="104"/>
      <c r="G136" s="104"/>
      <c r="H136" s="104"/>
      <c r="I136" s="104"/>
      <c r="J136" s="104"/>
      <c r="K136" s="104"/>
      <c r="L136" s="104"/>
      <c r="M136" s="104"/>
      <c r="N136" s="104"/>
      <c r="O136" s="104"/>
      <c r="P136" s="104"/>
      <c r="Q136" s="104"/>
      <c r="R136" s="104"/>
      <c r="S136" s="104"/>
      <c r="T136" s="104"/>
      <c r="U136" s="104"/>
      <c r="V136" s="104"/>
      <c r="W136" s="104"/>
      <c r="X136" s="104"/>
    </row>
    <row r="137" spans="1:24" x14ac:dyDescent="0.25">
      <c r="C137" s="71"/>
      <c r="D137" s="73"/>
      <c r="E137" s="73"/>
      <c r="F137" s="73"/>
      <c r="G137" s="73"/>
      <c r="H137" s="73"/>
      <c r="I137" s="73"/>
      <c r="J137" s="73"/>
      <c r="K137" s="73"/>
      <c r="L137" s="73"/>
      <c r="M137" s="73"/>
      <c r="N137" s="73"/>
      <c r="O137" s="73"/>
      <c r="P137" s="73"/>
      <c r="Q137" s="73"/>
      <c r="R137" s="73"/>
      <c r="S137" s="73"/>
      <c r="T137" s="73"/>
      <c r="U137" s="73"/>
      <c r="V137" s="73"/>
      <c r="W137" s="73"/>
    </row>
    <row r="138" spans="1:24" x14ac:dyDescent="0.25">
      <c r="A138" s="63">
        <v>6</v>
      </c>
      <c r="B138" s="44" t="s">
        <v>313</v>
      </c>
      <c r="C138" s="73"/>
      <c r="D138" s="89"/>
      <c r="E138" s="73"/>
      <c r="F138" s="73"/>
      <c r="G138" s="73"/>
      <c r="H138" s="73"/>
      <c r="P138" s="73"/>
      <c r="U138" s="73"/>
      <c r="V138" s="73"/>
      <c r="W138" s="73"/>
    </row>
    <row r="139" spans="1:24" x14ac:dyDescent="0.25">
      <c r="A139" s="91"/>
      <c r="B139" s="44"/>
      <c r="C139" s="73"/>
      <c r="D139" s="89"/>
      <c r="E139" s="73"/>
      <c r="F139" s="73"/>
      <c r="G139" s="73"/>
      <c r="H139" s="73"/>
      <c r="P139" s="73"/>
      <c r="U139" s="73"/>
      <c r="V139" s="73"/>
      <c r="W139" s="73"/>
    </row>
    <row r="140" spans="1:24" x14ac:dyDescent="0.25">
      <c r="A140" s="91"/>
      <c r="B140" s="347" t="s">
        <v>239</v>
      </c>
      <c r="C140" s="348"/>
      <c r="D140" s="349"/>
      <c r="E140" s="73"/>
      <c r="F140" s="73"/>
      <c r="G140" s="73"/>
      <c r="H140" s="73"/>
      <c r="P140" s="73"/>
      <c r="U140" s="73"/>
      <c r="V140" s="73"/>
      <c r="W140" s="73"/>
    </row>
    <row r="141" spans="1:24" x14ac:dyDescent="0.25">
      <c r="A141" s="91"/>
      <c r="B141" s="213"/>
      <c r="C141" s="219" t="s">
        <v>240</v>
      </c>
      <c r="D141" s="350"/>
      <c r="E141" s="73"/>
      <c r="F141" s="73"/>
      <c r="G141" s="73"/>
      <c r="H141" s="73"/>
      <c r="P141" s="73"/>
      <c r="U141" s="73"/>
      <c r="V141" s="73"/>
      <c r="W141" s="73"/>
    </row>
    <row r="142" spans="1:24" x14ac:dyDescent="0.25">
      <c r="A142" s="91"/>
      <c r="B142" s="218" t="s">
        <v>241</v>
      </c>
      <c r="C142" s="220">
        <v>1</v>
      </c>
      <c r="D142" s="351"/>
      <c r="E142" s="73"/>
      <c r="F142" s="73"/>
      <c r="G142" s="73"/>
      <c r="H142" s="73"/>
      <c r="P142" s="73"/>
      <c r="U142" s="73"/>
      <c r="V142" s="73"/>
      <c r="W142" s="73"/>
    </row>
    <row r="143" spans="1:24" x14ac:dyDescent="0.25">
      <c r="A143" s="91"/>
      <c r="B143" s="218" t="s">
        <v>242</v>
      </c>
      <c r="C143" s="220">
        <f>'CFs Derivation_Goat'!C45</f>
        <v>1.0119090909090909</v>
      </c>
      <c r="D143" s="351"/>
      <c r="E143" s="73"/>
      <c r="F143" s="73"/>
      <c r="G143" s="73"/>
      <c r="H143" s="73"/>
      <c r="P143" s="73"/>
      <c r="U143" s="73"/>
      <c r="V143" s="73"/>
      <c r="W143" s="73"/>
    </row>
    <row r="144" spans="1:24" x14ac:dyDescent="0.25">
      <c r="A144" s="91"/>
      <c r="B144" s="218" t="s">
        <v>243</v>
      </c>
      <c r="C144" s="220">
        <v>1</v>
      </c>
      <c r="D144" s="351"/>
      <c r="E144" s="73"/>
      <c r="F144" s="73"/>
      <c r="G144" s="73"/>
      <c r="H144" s="73"/>
      <c r="P144" s="73"/>
      <c r="U144" s="73"/>
      <c r="V144" s="73"/>
      <c r="W144" s="73"/>
    </row>
    <row r="145" spans="1:24" x14ac:dyDescent="0.25">
      <c r="A145" s="91"/>
      <c r="B145" s="218" t="s">
        <v>311</v>
      </c>
      <c r="C145" s="220">
        <v>1</v>
      </c>
      <c r="D145" s="351"/>
      <c r="E145" s="73"/>
      <c r="F145" s="73"/>
      <c r="G145" s="73"/>
      <c r="H145" s="73"/>
      <c r="P145" s="73"/>
      <c r="U145" s="73"/>
      <c r="V145" s="73"/>
      <c r="W145" s="73"/>
    </row>
    <row r="146" spans="1:24" x14ac:dyDescent="0.25">
      <c r="A146" s="91"/>
      <c r="B146" s="352" t="s">
        <v>245</v>
      </c>
      <c r="C146" s="220">
        <v>1</v>
      </c>
      <c r="D146" s="353"/>
      <c r="E146" s="73"/>
      <c r="F146" s="73"/>
      <c r="G146" s="73"/>
      <c r="H146" s="73"/>
      <c r="P146" s="73"/>
      <c r="U146" s="73"/>
      <c r="V146" s="73"/>
      <c r="W146" s="73"/>
    </row>
    <row r="147" spans="1:24" x14ac:dyDescent="0.25">
      <c r="A147" s="91"/>
      <c r="B147" s="44"/>
      <c r="C147" s="73"/>
      <c r="D147" s="89"/>
      <c r="E147" s="73"/>
      <c r="F147" s="73"/>
      <c r="G147" s="73"/>
      <c r="H147" s="73"/>
      <c r="P147" s="73"/>
      <c r="U147" s="73"/>
      <c r="V147" s="73"/>
      <c r="W147" s="73"/>
    </row>
    <row r="148" spans="1:24" x14ac:dyDescent="0.25">
      <c r="A148" s="91"/>
      <c r="B148" s="44"/>
      <c r="C148" s="73"/>
      <c r="D148" s="89"/>
      <c r="E148" s="73"/>
      <c r="F148" s="135"/>
      <c r="G148" s="135"/>
      <c r="H148" s="135"/>
      <c r="K148" s="499" t="s">
        <v>175</v>
      </c>
      <c r="L148" s="499"/>
      <c r="M148" s="499"/>
      <c r="N148" s="499"/>
      <c r="P148" s="494" t="s">
        <v>176</v>
      </c>
      <c r="Q148" s="494"/>
      <c r="R148" s="494"/>
      <c r="S148" s="494"/>
      <c r="U148" s="494" t="s">
        <v>177</v>
      </c>
      <c r="V148" s="494"/>
      <c r="W148" s="494"/>
      <c r="X148" s="494"/>
    </row>
    <row r="149" spans="1:24" ht="22.15" customHeight="1" x14ac:dyDescent="0.25">
      <c r="K149" s="495" t="s">
        <v>129</v>
      </c>
      <c r="L149" s="496"/>
      <c r="M149" s="496"/>
      <c r="N149" s="497"/>
      <c r="P149" s="495" t="s">
        <v>129</v>
      </c>
      <c r="Q149" s="496"/>
      <c r="R149" s="496"/>
      <c r="S149" s="497"/>
      <c r="U149" s="495" t="s">
        <v>129</v>
      </c>
      <c r="V149" s="496"/>
      <c r="W149" s="496"/>
      <c r="X149" s="497"/>
    </row>
    <row r="150" spans="1:24" ht="45" x14ac:dyDescent="0.25">
      <c r="B150" s="17" t="s">
        <v>3</v>
      </c>
      <c r="C150" s="88" t="s">
        <v>246</v>
      </c>
      <c r="D150" s="341" t="s">
        <v>247</v>
      </c>
      <c r="E150" s="20" t="s">
        <v>5</v>
      </c>
      <c r="F150" s="222"/>
      <c r="G150" s="222"/>
      <c r="H150" s="222"/>
      <c r="K150" s="88"/>
      <c r="L150" s="110" t="s">
        <v>130</v>
      </c>
      <c r="M150" s="110" t="s">
        <v>180</v>
      </c>
      <c r="N150" s="88" t="s">
        <v>96</v>
      </c>
      <c r="P150" s="88"/>
      <c r="Q150" s="110" t="s">
        <v>130</v>
      </c>
      <c r="R150" s="110" t="s">
        <v>180</v>
      </c>
      <c r="S150" s="88" t="s">
        <v>96</v>
      </c>
      <c r="U150" s="88"/>
      <c r="V150" s="110" t="s">
        <v>130</v>
      </c>
      <c r="W150" s="110" t="s">
        <v>180</v>
      </c>
      <c r="X150" s="88" t="s">
        <v>96</v>
      </c>
    </row>
    <row r="151" spans="1:24" ht="18.600000000000001" customHeight="1" x14ac:dyDescent="0.25">
      <c r="B151" s="18" t="s">
        <v>21</v>
      </c>
      <c r="C151" s="88">
        <f>C112</f>
        <v>4</v>
      </c>
      <c r="D151" s="186">
        <f>C151</f>
        <v>4</v>
      </c>
      <c r="E151" s="5" t="s">
        <v>22</v>
      </c>
      <c r="F151" s="223"/>
      <c r="G151" s="223"/>
      <c r="H151" s="223"/>
      <c r="K151" s="47" t="s">
        <v>77</v>
      </c>
      <c r="L151" s="152">
        <f>D170-1</f>
        <v>-0.24</v>
      </c>
      <c r="M151" s="58">
        <f>$F75*F74</f>
        <v>0.5</v>
      </c>
      <c r="N151" s="108">
        <f>L151*M151</f>
        <v>-0.12</v>
      </c>
      <c r="P151" s="47" t="s">
        <v>77</v>
      </c>
      <c r="Q151" s="139">
        <f>E170-1</f>
        <v>-0.26</v>
      </c>
      <c r="R151" s="58">
        <f>F89*F88</f>
        <v>0.5</v>
      </c>
      <c r="S151" s="108">
        <f>Q151*R151</f>
        <v>-0.13</v>
      </c>
      <c r="U151" s="47" t="s">
        <v>77</v>
      </c>
      <c r="V151" s="139">
        <f>F170-1</f>
        <v>-0.30000000000000004</v>
      </c>
      <c r="W151" s="58">
        <f>F101*F100</f>
        <v>0.5</v>
      </c>
      <c r="X151" s="108">
        <f>V151*W151</f>
        <v>-0.15000000000000002</v>
      </c>
    </row>
    <row r="152" spans="1:24" ht="17.25" customHeight="1" x14ac:dyDescent="0.25">
      <c r="B152" s="18" t="s">
        <v>23</v>
      </c>
      <c r="C152" s="88">
        <f>C113</f>
        <v>63.5</v>
      </c>
      <c r="D152" s="186">
        <f>C152*C145</f>
        <v>63.5</v>
      </c>
      <c r="E152" s="5" t="s">
        <v>24</v>
      </c>
      <c r="F152" s="223"/>
      <c r="G152" s="223"/>
      <c r="H152" s="223"/>
      <c r="K152" s="47" t="s">
        <v>71</v>
      </c>
      <c r="L152" s="97">
        <v>0</v>
      </c>
      <c r="M152" s="58">
        <f>M151</f>
        <v>0.5</v>
      </c>
      <c r="N152" s="108">
        <f t="shared" ref="N152:N155" si="48">L152*M152</f>
        <v>0</v>
      </c>
      <c r="P152" s="47" t="s">
        <v>71</v>
      </c>
      <c r="Q152" s="97">
        <v>0</v>
      </c>
      <c r="R152" s="58">
        <f>R151</f>
        <v>0.5</v>
      </c>
      <c r="S152" s="108">
        <f t="shared" ref="S152:S155" si="49">Q152*R152</f>
        <v>0</v>
      </c>
      <c r="U152" s="47" t="s">
        <v>71</v>
      </c>
      <c r="V152" s="97">
        <v>0</v>
      </c>
      <c r="W152" s="58">
        <f>W151</f>
        <v>0.5</v>
      </c>
      <c r="X152" s="108">
        <f t="shared" ref="X152:X155" si="50">V152*W152</f>
        <v>0</v>
      </c>
    </row>
    <row r="153" spans="1:24" ht="17.25" customHeight="1" x14ac:dyDescent="0.25">
      <c r="B153" s="18" t="s">
        <v>25</v>
      </c>
      <c r="C153" s="224">
        <f>C114</f>
        <v>0.01</v>
      </c>
      <c r="D153" s="221">
        <f>C114</f>
        <v>0.01</v>
      </c>
      <c r="E153" s="5" t="s">
        <v>26</v>
      </c>
      <c r="F153" s="223"/>
      <c r="G153" s="223"/>
      <c r="H153" s="223"/>
      <c r="K153" s="47" t="s">
        <v>71</v>
      </c>
      <c r="L153" s="97">
        <v>0</v>
      </c>
      <c r="M153" s="58">
        <f t="shared" ref="M153" si="51">M152</f>
        <v>0.5</v>
      </c>
      <c r="N153" s="108">
        <f t="shared" si="48"/>
        <v>0</v>
      </c>
      <c r="P153" s="47" t="s">
        <v>71</v>
      </c>
      <c r="Q153" s="97">
        <v>0</v>
      </c>
      <c r="R153" s="58">
        <f t="shared" ref="R153" si="52">R152</f>
        <v>0.5</v>
      </c>
      <c r="S153" s="108">
        <f t="shared" si="49"/>
        <v>0</v>
      </c>
      <c r="U153" s="47" t="s">
        <v>71</v>
      </c>
      <c r="V153" s="97">
        <v>0</v>
      </c>
      <c r="W153" s="58">
        <f t="shared" ref="W153" si="53">W152</f>
        <v>0.5</v>
      </c>
      <c r="X153" s="108">
        <f t="shared" si="50"/>
        <v>0</v>
      </c>
    </row>
    <row r="154" spans="1:24" ht="56.45" customHeight="1" x14ac:dyDescent="0.25">
      <c r="B154" s="18" t="s">
        <v>8</v>
      </c>
      <c r="C154" s="224">
        <f>C115</f>
        <v>0.2</v>
      </c>
      <c r="D154" s="221">
        <f>C154*C146</f>
        <v>0.2</v>
      </c>
      <c r="E154" s="7" t="s">
        <v>28</v>
      </c>
      <c r="F154" s="223"/>
      <c r="G154" s="223"/>
      <c r="H154" s="223"/>
      <c r="K154" s="47" t="s">
        <v>77</v>
      </c>
      <c r="L154" s="97">
        <v>-0.1</v>
      </c>
      <c r="M154" s="58">
        <f>M153</f>
        <v>0.5</v>
      </c>
      <c r="N154" s="108">
        <f t="shared" si="48"/>
        <v>-0.05</v>
      </c>
      <c r="P154" s="47" t="s">
        <v>77</v>
      </c>
      <c r="Q154" s="97">
        <v>-0.13</v>
      </c>
      <c r="R154" s="58">
        <f>R153</f>
        <v>0.5</v>
      </c>
      <c r="S154" s="108">
        <f t="shared" si="49"/>
        <v>-6.5000000000000002E-2</v>
      </c>
      <c r="U154" s="47" t="s">
        <v>77</v>
      </c>
      <c r="V154" s="97">
        <v>-0.2</v>
      </c>
      <c r="W154" s="58">
        <f>W153</f>
        <v>0.5</v>
      </c>
      <c r="X154" s="108">
        <f t="shared" si="50"/>
        <v>-0.1</v>
      </c>
    </row>
    <row r="155" spans="1:24" ht="17.25" customHeight="1" x14ac:dyDescent="0.25">
      <c r="B155" s="18" t="s">
        <v>29</v>
      </c>
      <c r="C155" s="88">
        <f>C116</f>
        <v>165</v>
      </c>
      <c r="D155" s="186">
        <f>C155*C144</f>
        <v>165</v>
      </c>
      <c r="E155" s="5" t="s">
        <v>81</v>
      </c>
      <c r="F155" s="223"/>
      <c r="G155" s="223"/>
      <c r="H155" s="223"/>
      <c r="K155" s="47" t="s">
        <v>71</v>
      </c>
      <c r="L155" s="97">
        <v>0</v>
      </c>
      <c r="M155" s="58">
        <f>M154</f>
        <v>0.5</v>
      </c>
      <c r="N155" s="108">
        <f t="shared" si="48"/>
        <v>0</v>
      </c>
      <c r="P155" s="47" t="s">
        <v>71</v>
      </c>
      <c r="Q155" s="97">
        <v>0</v>
      </c>
      <c r="R155" s="58">
        <f>R154</f>
        <v>0.5</v>
      </c>
      <c r="S155" s="108">
        <f t="shared" si="49"/>
        <v>0</v>
      </c>
      <c r="U155" s="47" t="s">
        <v>71</v>
      </c>
      <c r="V155" s="97">
        <v>0</v>
      </c>
      <c r="W155" s="58">
        <f>W154</f>
        <v>0.5</v>
      </c>
      <c r="X155" s="108">
        <f t="shared" si="50"/>
        <v>0</v>
      </c>
    </row>
    <row r="156" spans="1:24" x14ac:dyDescent="0.25">
      <c r="L156" s="91"/>
      <c r="M156" s="91"/>
      <c r="N156" s="91"/>
      <c r="Q156" s="91"/>
      <c r="R156" s="91"/>
      <c r="S156" s="91"/>
      <c r="V156" s="91"/>
      <c r="W156" s="91"/>
      <c r="X156" s="91"/>
    </row>
    <row r="157" spans="1:24" x14ac:dyDescent="0.25">
      <c r="L157" s="91"/>
      <c r="M157" s="91"/>
      <c r="N157" s="91"/>
      <c r="Q157" s="91"/>
      <c r="R157" s="91"/>
      <c r="S157" s="91"/>
      <c r="V157" s="91"/>
      <c r="W157" s="91"/>
      <c r="X157" s="91"/>
    </row>
    <row r="158" spans="1:24" x14ac:dyDescent="0.25">
      <c r="B158" s="17" t="s">
        <v>10</v>
      </c>
      <c r="C158" s="88" t="s">
        <v>246</v>
      </c>
      <c r="D158" s="13" t="s">
        <v>247</v>
      </c>
      <c r="E158" s="21" t="s">
        <v>5</v>
      </c>
      <c r="F158" s="222"/>
      <c r="G158" s="222"/>
      <c r="H158" s="222"/>
      <c r="L158" s="91"/>
      <c r="M158" s="91"/>
      <c r="N158" s="91"/>
      <c r="Q158" s="91"/>
      <c r="R158" s="91"/>
      <c r="S158" s="91"/>
      <c r="V158" s="91"/>
      <c r="W158" s="91"/>
      <c r="X158" s="91"/>
    </row>
    <row r="159" spans="1:24" ht="16.899999999999999" customHeight="1" x14ac:dyDescent="0.25">
      <c r="B159" s="18" t="s">
        <v>30</v>
      </c>
      <c r="C159" s="88">
        <f t="shared" ref="C159:C166" si="54">C120</f>
        <v>112</v>
      </c>
      <c r="D159" s="186">
        <f>C159</f>
        <v>112</v>
      </c>
      <c r="E159" s="5" t="s">
        <v>9</v>
      </c>
      <c r="F159" s="225"/>
      <c r="G159" s="225"/>
      <c r="H159" s="225"/>
      <c r="K159" s="47" t="s">
        <v>71</v>
      </c>
      <c r="L159" s="97">
        <v>0</v>
      </c>
      <c r="M159" s="58">
        <f>M151</f>
        <v>0.5</v>
      </c>
      <c r="N159" s="64">
        <f>L159*M159</f>
        <v>0</v>
      </c>
      <c r="P159" s="47" t="s">
        <v>71</v>
      </c>
      <c r="Q159" s="97">
        <v>0</v>
      </c>
      <c r="R159" s="58">
        <f>R153</f>
        <v>0.5</v>
      </c>
      <c r="S159" s="111">
        <f>Q159*R159</f>
        <v>0</v>
      </c>
      <c r="U159" s="47" t="s">
        <v>71</v>
      </c>
      <c r="V159" s="97">
        <v>0</v>
      </c>
      <c r="W159" s="58">
        <f>W153</f>
        <v>0.5</v>
      </c>
      <c r="X159" s="138">
        <f>V159*W159</f>
        <v>0</v>
      </c>
    </row>
    <row r="160" spans="1:24" ht="74.45" customHeight="1" x14ac:dyDescent="0.25">
      <c r="B160" s="18" t="s">
        <v>31</v>
      </c>
      <c r="C160" s="88">
        <f t="shared" si="54"/>
        <v>150</v>
      </c>
      <c r="D160" s="186">
        <f>C160*C144</f>
        <v>150</v>
      </c>
      <c r="E160" s="5" t="s">
        <v>9</v>
      </c>
      <c r="F160" s="226"/>
      <c r="G160" s="226"/>
      <c r="H160" s="226"/>
      <c r="K160" s="47" t="s">
        <v>71</v>
      </c>
      <c r="L160" s="97">
        <v>0</v>
      </c>
      <c r="M160" s="58">
        <f t="shared" ref="M160" si="55">M152</f>
        <v>0.5</v>
      </c>
      <c r="N160" s="108">
        <f>L160*M160</f>
        <v>0</v>
      </c>
      <c r="P160" s="47" t="s">
        <v>71</v>
      </c>
      <c r="Q160" s="97">
        <v>0</v>
      </c>
      <c r="R160" s="58">
        <f>R159</f>
        <v>0.5</v>
      </c>
      <c r="S160" s="111">
        <f t="shared" ref="S160:S166" si="56">Q160*R160</f>
        <v>0</v>
      </c>
      <c r="U160" s="47" t="s">
        <v>71</v>
      </c>
      <c r="V160" s="97">
        <v>0</v>
      </c>
      <c r="W160" s="58">
        <f>W159</f>
        <v>0.5</v>
      </c>
      <c r="X160" s="138">
        <f t="shared" ref="X160:X163" si="57">V160*W160</f>
        <v>0</v>
      </c>
    </row>
    <row r="161" spans="1:29" ht="14.45" customHeight="1" x14ac:dyDescent="0.25">
      <c r="B161" s="18" t="s">
        <v>32</v>
      </c>
      <c r="C161" s="88">
        <f t="shared" si="54"/>
        <v>12</v>
      </c>
      <c r="D161" s="186">
        <f>C161</f>
        <v>12</v>
      </c>
      <c r="E161" s="5" t="s">
        <v>7</v>
      </c>
      <c r="F161" s="225"/>
      <c r="G161" s="225"/>
      <c r="H161" s="225"/>
      <c r="K161" s="90" t="s">
        <v>74</v>
      </c>
      <c r="L161" s="97">
        <v>0.1</v>
      </c>
      <c r="M161" s="58">
        <f>M160</f>
        <v>0.5</v>
      </c>
      <c r="N161" s="108">
        <f t="shared" ref="N161:N162" si="58">L161*M161</f>
        <v>0.05</v>
      </c>
      <c r="P161" s="90" t="s">
        <v>74</v>
      </c>
      <c r="Q161" s="97">
        <v>0.12</v>
      </c>
      <c r="R161" s="58">
        <f t="shared" ref="R161:R162" si="59">R160</f>
        <v>0.5</v>
      </c>
      <c r="S161" s="111">
        <f t="shared" si="56"/>
        <v>0.06</v>
      </c>
      <c r="U161" s="90" t="s">
        <v>74</v>
      </c>
      <c r="V161" s="97">
        <v>0.2</v>
      </c>
      <c r="W161" s="58">
        <f t="shared" ref="W161:W162" si="60">W160</f>
        <v>0.5</v>
      </c>
      <c r="X161" s="138">
        <f t="shared" si="57"/>
        <v>0.1</v>
      </c>
    </row>
    <row r="162" spans="1:29" ht="14.45" customHeight="1" x14ac:dyDescent="0.25">
      <c r="B162" s="424" t="s">
        <v>35</v>
      </c>
      <c r="C162" s="434">
        <f t="shared" si="54"/>
        <v>20</v>
      </c>
      <c r="D162" s="435">
        <f>C162*C143</f>
        <v>20.238181818181818</v>
      </c>
      <c r="E162" s="436" t="s">
        <v>7</v>
      </c>
      <c r="F162" s="225"/>
      <c r="G162" s="225"/>
      <c r="H162" s="225"/>
      <c r="K162" s="90" t="s">
        <v>74</v>
      </c>
      <c r="L162" s="97">
        <v>0.12</v>
      </c>
      <c r="M162" s="58">
        <f>M161</f>
        <v>0.5</v>
      </c>
      <c r="N162" s="108">
        <f t="shared" si="58"/>
        <v>0.06</v>
      </c>
      <c r="P162" s="90" t="s">
        <v>74</v>
      </c>
      <c r="Q162" s="97">
        <v>0.13</v>
      </c>
      <c r="R162" s="58">
        <f t="shared" si="59"/>
        <v>0.5</v>
      </c>
      <c r="S162" s="111">
        <f t="shared" si="56"/>
        <v>6.5000000000000002E-2</v>
      </c>
      <c r="U162" s="90" t="s">
        <v>74</v>
      </c>
      <c r="V162" s="97">
        <v>0.2</v>
      </c>
      <c r="W162" s="58">
        <f t="shared" si="60"/>
        <v>0.5</v>
      </c>
      <c r="X162" s="138">
        <f t="shared" si="57"/>
        <v>0.1</v>
      </c>
    </row>
    <row r="163" spans="1:29" x14ac:dyDescent="0.25">
      <c r="B163" s="9" t="s">
        <v>15</v>
      </c>
      <c r="C163" s="224">
        <f t="shared" si="54"/>
        <v>0.24</v>
      </c>
      <c r="D163" s="221">
        <f>C163</f>
        <v>0.24</v>
      </c>
      <c r="E163" s="27" t="s">
        <v>16</v>
      </c>
      <c r="F163" s="225"/>
      <c r="G163" s="225"/>
      <c r="H163" s="225"/>
      <c r="K163" s="47" t="s">
        <v>71</v>
      </c>
      <c r="L163" s="97">
        <v>0</v>
      </c>
      <c r="M163" s="58">
        <f>M162</f>
        <v>0.5</v>
      </c>
      <c r="N163" s="108">
        <f>L163*M163</f>
        <v>0</v>
      </c>
      <c r="P163" s="47" t="s">
        <v>71</v>
      </c>
      <c r="Q163" s="97">
        <v>0</v>
      </c>
      <c r="R163" s="58">
        <f>R162</f>
        <v>0.5</v>
      </c>
      <c r="S163" s="111">
        <f t="shared" si="56"/>
        <v>0</v>
      </c>
      <c r="U163" s="47" t="s">
        <v>71</v>
      </c>
      <c r="V163" s="97">
        <v>0</v>
      </c>
      <c r="W163" s="58">
        <f>W162</f>
        <v>0.5</v>
      </c>
      <c r="X163" s="138">
        <f t="shared" si="57"/>
        <v>0</v>
      </c>
    </row>
    <row r="164" spans="1:29" x14ac:dyDescent="0.25">
      <c r="B164" s="109" t="s">
        <v>12</v>
      </c>
      <c r="C164" s="88">
        <f t="shared" si="54"/>
        <v>19</v>
      </c>
      <c r="D164" s="186">
        <f>C164</f>
        <v>19</v>
      </c>
      <c r="E164" s="28" t="s">
        <v>100</v>
      </c>
      <c r="F164" s="211"/>
      <c r="G164" s="211"/>
      <c r="H164" s="211"/>
      <c r="K164" s="47" t="s">
        <v>71</v>
      </c>
      <c r="L164" s="97">
        <v>0</v>
      </c>
      <c r="M164" s="58">
        <f t="shared" ref="M164:M166" si="61">M163</f>
        <v>0.5</v>
      </c>
      <c r="N164" s="108">
        <f t="shared" ref="N164:N166" si="62">L164*M164</f>
        <v>0</v>
      </c>
      <c r="P164" s="47" t="s">
        <v>71</v>
      </c>
      <c r="Q164" s="97">
        <v>0</v>
      </c>
      <c r="R164" s="58">
        <f t="shared" ref="R164:R166" si="63">R163</f>
        <v>0.5</v>
      </c>
      <c r="S164" s="111">
        <f t="shared" si="56"/>
        <v>0</v>
      </c>
      <c r="U164" s="47" t="s">
        <v>71</v>
      </c>
      <c r="V164" s="97">
        <v>0</v>
      </c>
      <c r="W164" s="58">
        <f t="shared" ref="W164:W166" si="64">W163</f>
        <v>0.5</v>
      </c>
      <c r="X164" s="138">
        <f t="shared" ref="X164:X166" si="65">V164*W164</f>
        <v>0</v>
      </c>
    </row>
    <row r="165" spans="1:29" x14ac:dyDescent="0.25">
      <c r="B165" s="109" t="s">
        <v>13</v>
      </c>
      <c r="C165" s="88">
        <f t="shared" si="54"/>
        <v>7</v>
      </c>
      <c r="D165" s="186">
        <f>C165*C142</f>
        <v>7</v>
      </c>
      <c r="E165" s="28" t="s">
        <v>36</v>
      </c>
      <c r="F165" s="211"/>
      <c r="G165" s="211"/>
      <c r="H165" s="211"/>
      <c r="K165" s="47" t="s">
        <v>71</v>
      </c>
      <c r="L165" s="97">
        <v>0</v>
      </c>
      <c r="M165" s="58">
        <f t="shared" si="61"/>
        <v>0.5</v>
      </c>
      <c r="N165" s="108">
        <f t="shared" si="62"/>
        <v>0</v>
      </c>
      <c r="P165" s="47" t="s">
        <v>71</v>
      </c>
      <c r="Q165" s="97">
        <v>0</v>
      </c>
      <c r="R165" s="58">
        <f t="shared" si="63"/>
        <v>0.5</v>
      </c>
      <c r="S165" s="111">
        <f t="shared" si="56"/>
        <v>0</v>
      </c>
      <c r="U165" s="47" t="s">
        <v>71</v>
      </c>
      <c r="V165" s="97">
        <v>0</v>
      </c>
      <c r="W165" s="58">
        <f t="shared" si="64"/>
        <v>0.5</v>
      </c>
      <c r="X165" s="138">
        <f t="shared" si="65"/>
        <v>0</v>
      </c>
    </row>
    <row r="166" spans="1:29" x14ac:dyDescent="0.25">
      <c r="B166" s="109" t="s">
        <v>132</v>
      </c>
      <c r="C166" s="224">
        <f t="shared" si="54"/>
        <v>0.01</v>
      </c>
      <c r="D166" s="221">
        <f>C127</f>
        <v>0.01</v>
      </c>
      <c r="E166" s="28" t="s">
        <v>16</v>
      </c>
      <c r="F166" s="211"/>
      <c r="G166" s="211"/>
      <c r="H166" s="211"/>
      <c r="K166" s="47" t="s">
        <v>71</v>
      </c>
      <c r="L166" s="97">
        <v>0</v>
      </c>
      <c r="M166" s="58">
        <f t="shared" si="61"/>
        <v>0.5</v>
      </c>
      <c r="N166" s="108">
        <f t="shared" si="62"/>
        <v>0</v>
      </c>
      <c r="P166" s="47" t="s">
        <v>71</v>
      </c>
      <c r="Q166" s="97">
        <v>0</v>
      </c>
      <c r="R166" s="58">
        <f t="shared" si="63"/>
        <v>0.5</v>
      </c>
      <c r="S166" s="111">
        <f t="shared" si="56"/>
        <v>0</v>
      </c>
      <c r="U166" s="47" t="s">
        <v>71</v>
      </c>
      <c r="V166" s="97">
        <v>0</v>
      </c>
      <c r="W166" s="58">
        <f t="shared" si="64"/>
        <v>0.5</v>
      </c>
      <c r="X166" s="138">
        <f t="shared" si="65"/>
        <v>0</v>
      </c>
    </row>
    <row r="167" spans="1:29" ht="21" customHeight="1" x14ac:dyDescent="0.25">
      <c r="B167" s="10"/>
      <c r="C167" s="62"/>
      <c r="D167" s="100"/>
      <c r="E167" s="101"/>
      <c r="F167" s="101"/>
      <c r="G167" s="101"/>
      <c r="H167" s="101"/>
      <c r="L167" s="71"/>
      <c r="M167" s="107"/>
      <c r="N167" s="141"/>
      <c r="O167" s="105"/>
      <c r="P167" s="105"/>
      <c r="Q167" s="71"/>
      <c r="R167" s="107"/>
      <c r="S167" s="142"/>
      <c r="T167" s="105"/>
      <c r="U167" s="105"/>
      <c r="V167" s="71"/>
      <c r="W167" s="107"/>
      <c r="X167" s="143"/>
    </row>
    <row r="168" spans="1:29" ht="12.6" customHeight="1" x14ac:dyDescent="0.25">
      <c r="B168" s="10" t="s">
        <v>149</v>
      </c>
      <c r="F168" s="101"/>
      <c r="G168" s="101"/>
      <c r="H168" s="101"/>
      <c r="L168" s="71"/>
      <c r="M168" s="107"/>
      <c r="N168" s="141"/>
      <c r="O168" s="105"/>
      <c r="P168" s="105"/>
      <c r="Q168" s="71"/>
      <c r="R168" s="107"/>
      <c r="S168" s="142"/>
      <c r="T168" s="105"/>
      <c r="U168" s="105"/>
      <c r="V168" s="71"/>
      <c r="W168" s="107"/>
      <c r="X168" s="143"/>
    </row>
    <row r="169" spans="1:29" ht="31.15" customHeight="1" x14ac:dyDescent="0.25">
      <c r="B169" s="47"/>
      <c r="C169" s="68"/>
      <c r="D169" s="173" t="str">
        <f>K148</f>
        <v>BaU (Present climate)</v>
      </c>
      <c r="E169" s="174" t="str">
        <f>P148</f>
        <v>RCP 4.5 (Moderate climate)</v>
      </c>
      <c r="F169" s="172" t="str">
        <f>U148</f>
        <v>RCP 8.5 (Extreme climate)</v>
      </c>
      <c r="G169" s="101"/>
      <c r="H169" s="101"/>
      <c r="L169" s="71"/>
      <c r="M169" s="107"/>
      <c r="N169" s="141"/>
      <c r="O169" s="105"/>
      <c r="P169" s="105"/>
      <c r="Q169" s="71"/>
      <c r="R169" s="107"/>
      <c r="S169" s="142"/>
      <c r="T169" s="105"/>
      <c r="U169" s="105"/>
      <c r="V169" s="71"/>
      <c r="W169" s="107"/>
      <c r="X169" s="143"/>
    </row>
    <row r="170" spans="1:29" ht="12.6" customHeight="1" x14ac:dyDescent="0.25">
      <c r="B170" s="9" t="s">
        <v>179</v>
      </c>
      <c r="C170" s="139"/>
      <c r="D170" s="147">
        <v>0.76</v>
      </c>
      <c r="E170" s="147">
        <v>0.74</v>
      </c>
      <c r="F170" s="153">
        <v>0.7</v>
      </c>
      <c r="G170" s="101"/>
      <c r="H170" s="101"/>
      <c r="L170" s="71"/>
      <c r="M170" s="107"/>
      <c r="N170" s="141"/>
      <c r="O170" s="105"/>
      <c r="P170" s="105"/>
      <c r="Q170" s="71"/>
      <c r="R170" s="107"/>
      <c r="S170" s="142"/>
      <c r="T170" s="105"/>
      <c r="U170" s="105"/>
      <c r="V170" s="71"/>
      <c r="W170" s="107"/>
      <c r="X170" s="143"/>
    </row>
    <row r="171" spans="1:29" ht="12.6" customHeight="1" x14ac:dyDescent="0.25">
      <c r="B171" s="10"/>
      <c r="C171" s="149"/>
      <c r="D171" s="100"/>
      <c r="E171" s="101"/>
      <c r="F171" s="101"/>
      <c r="G171" s="101"/>
      <c r="H171" s="101"/>
      <c r="L171" s="71"/>
      <c r="M171" s="107"/>
      <c r="N171" s="141"/>
      <c r="O171" s="105"/>
      <c r="P171" s="105"/>
      <c r="Q171" s="71"/>
      <c r="R171" s="107"/>
      <c r="S171" s="142"/>
      <c r="T171" s="105"/>
      <c r="U171" s="105"/>
      <c r="V171" s="71"/>
      <c r="W171" s="107"/>
      <c r="X171" s="143"/>
    </row>
    <row r="172" spans="1:29" x14ac:dyDescent="0.25">
      <c r="B172" s="10"/>
      <c r="C172" s="62"/>
      <c r="D172" s="100"/>
      <c r="E172" s="101"/>
      <c r="F172" s="101"/>
      <c r="G172" s="101"/>
      <c r="H172" s="101"/>
    </row>
    <row r="173" spans="1:29" x14ac:dyDescent="0.25">
      <c r="A173" s="63">
        <v>7</v>
      </c>
      <c r="B173" s="44" t="s">
        <v>316</v>
      </c>
      <c r="C173" s="91"/>
      <c r="D173" s="104"/>
      <c r="E173" s="104"/>
      <c r="F173" s="104"/>
      <c r="G173" s="104"/>
      <c r="H173" s="104"/>
      <c r="I173" s="104"/>
      <c r="J173" s="104"/>
      <c r="K173" s="104"/>
      <c r="L173" s="104"/>
      <c r="M173" s="104"/>
      <c r="N173" s="104"/>
      <c r="O173" s="104"/>
      <c r="P173" s="104"/>
      <c r="Q173" s="104"/>
      <c r="R173" s="104"/>
      <c r="S173" s="104"/>
      <c r="T173" s="104"/>
      <c r="U173" s="104"/>
      <c r="V173" s="104"/>
      <c r="W173" s="104"/>
      <c r="X173" s="104"/>
    </row>
    <row r="174" spans="1:29" x14ac:dyDescent="0.25">
      <c r="C174" s="91"/>
      <c r="D174" s="104"/>
      <c r="E174" s="104"/>
      <c r="F174" s="104"/>
      <c r="G174" s="104"/>
      <c r="H174" s="104"/>
      <c r="I174" s="104"/>
      <c r="J174" s="104"/>
      <c r="K174" s="104"/>
      <c r="L174" s="104"/>
      <c r="M174" s="104"/>
      <c r="N174" s="104"/>
      <c r="O174" s="104"/>
      <c r="P174" s="104"/>
      <c r="Q174" s="104"/>
      <c r="R174" s="104"/>
      <c r="S174" s="104"/>
      <c r="T174" s="104"/>
      <c r="U174" s="104"/>
      <c r="V174" s="104"/>
      <c r="W174" s="104"/>
      <c r="X174" s="104"/>
    </row>
    <row r="175" spans="1:29" x14ac:dyDescent="0.25">
      <c r="B175" s="17" t="s">
        <v>3</v>
      </c>
      <c r="C175" s="16" t="s">
        <v>19</v>
      </c>
      <c r="D175" s="16">
        <v>0</v>
      </c>
      <c r="E175" s="16">
        <v>1</v>
      </c>
      <c r="F175" s="16">
        <v>2</v>
      </c>
      <c r="G175" s="122">
        <v>3</v>
      </c>
      <c r="H175" s="16">
        <v>4</v>
      </c>
      <c r="I175" s="16">
        <v>5</v>
      </c>
      <c r="J175" s="122">
        <v>6</v>
      </c>
      <c r="K175" s="16">
        <v>7</v>
      </c>
      <c r="L175" s="16">
        <v>8</v>
      </c>
      <c r="M175" s="122">
        <v>9</v>
      </c>
      <c r="N175" s="16">
        <v>10</v>
      </c>
      <c r="O175" s="16">
        <v>11</v>
      </c>
      <c r="P175" s="122">
        <v>12</v>
      </c>
      <c r="Q175" s="16">
        <v>13</v>
      </c>
      <c r="R175" s="16">
        <v>14</v>
      </c>
      <c r="S175" s="179"/>
      <c r="T175" s="15"/>
      <c r="U175" s="15"/>
      <c r="V175" s="179"/>
      <c r="W175" s="15"/>
      <c r="X175" s="15"/>
      <c r="Y175" s="179"/>
      <c r="Z175" s="15"/>
      <c r="AA175" s="15"/>
      <c r="AB175" s="179"/>
      <c r="AC175" s="15"/>
    </row>
    <row r="176" spans="1:29" x14ac:dyDescent="0.25">
      <c r="B176" s="156" t="str">
        <f>B151</f>
        <v>Goat Production</v>
      </c>
      <c r="C176" s="63" t="str">
        <f>K151</f>
        <v>Decrease</v>
      </c>
      <c r="D176" s="118">
        <f>D151</f>
        <v>4</v>
      </c>
      <c r="E176" s="118">
        <f>D176</f>
        <v>4</v>
      </c>
      <c r="F176" s="118">
        <f>E176</f>
        <v>4</v>
      </c>
      <c r="G176" s="185">
        <f>F176*(1+$N151)</f>
        <v>3.52</v>
      </c>
      <c r="H176" s="118">
        <f>E176</f>
        <v>4</v>
      </c>
      <c r="I176" s="118">
        <f t="shared" ref="I176" si="66">F176</f>
        <v>4</v>
      </c>
      <c r="J176" s="185">
        <f>I176*(1+$N151)</f>
        <v>3.52</v>
      </c>
      <c r="K176" s="118">
        <f>H176</f>
        <v>4</v>
      </c>
      <c r="L176" s="118">
        <f>K176</f>
        <v>4</v>
      </c>
      <c r="M176" s="185">
        <f>L176*(1+$N151)</f>
        <v>3.52</v>
      </c>
      <c r="N176" s="118">
        <f>K176</f>
        <v>4</v>
      </c>
      <c r="O176" s="118">
        <f t="shared" ref="O176" si="67">L176</f>
        <v>4</v>
      </c>
      <c r="P176" s="185">
        <f>O176*(1+$N151)</f>
        <v>3.52</v>
      </c>
      <c r="Q176" s="118">
        <f>N176</f>
        <v>4</v>
      </c>
      <c r="R176" s="118">
        <f>O176</f>
        <v>4</v>
      </c>
      <c r="S176" s="91"/>
      <c r="T176" s="180"/>
      <c r="U176" s="180"/>
      <c r="V176" s="91"/>
      <c r="W176" s="180"/>
      <c r="X176" s="180"/>
      <c r="Y176" s="91"/>
      <c r="Z176" s="180"/>
      <c r="AA176" s="180"/>
      <c r="AB176" s="91"/>
      <c r="AC176" s="181"/>
    </row>
    <row r="177" spans="2:29" x14ac:dyDescent="0.25">
      <c r="B177" s="109" t="str">
        <f>B152</f>
        <v>Price of Goat</v>
      </c>
      <c r="C177" s="63" t="str">
        <f>K152</f>
        <v>No change</v>
      </c>
      <c r="D177" s="119">
        <f>D152</f>
        <v>63.5</v>
      </c>
      <c r="E177" s="119">
        <f>D177</f>
        <v>63.5</v>
      </c>
      <c r="F177" s="119">
        <f t="shared" ref="F177:R178" si="68">E177</f>
        <v>63.5</v>
      </c>
      <c r="G177" s="119">
        <f t="shared" si="68"/>
        <v>63.5</v>
      </c>
      <c r="H177" s="119">
        <f t="shared" si="68"/>
        <v>63.5</v>
      </c>
      <c r="I177" s="119">
        <f t="shared" si="68"/>
        <v>63.5</v>
      </c>
      <c r="J177" s="119">
        <f t="shared" si="68"/>
        <v>63.5</v>
      </c>
      <c r="K177" s="119">
        <f t="shared" si="68"/>
        <v>63.5</v>
      </c>
      <c r="L177" s="119">
        <f t="shared" si="68"/>
        <v>63.5</v>
      </c>
      <c r="M177" s="119">
        <f t="shared" si="68"/>
        <v>63.5</v>
      </c>
      <c r="N177" s="119">
        <f t="shared" si="68"/>
        <v>63.5</v>
      </c>
      <c r="O177" s="119">
        <f t="shared" si="68"/>
        <v>63.5</v>
      </c>
      <c r="P177" s="119">
        <f t="shared" si="68"/>
        <v>63.5</v>
      </c>
      <c r="Q177" s="119">
        <f t="shared" si="68"/>
        <v>63.5</v>
      </c>
      <c r="R177" s="119">
        <f t="shared" si="68"/>
        <v>63.5</v>
      </c>
      <c r="S177" s="182"/>
      <c r="T177" s="182"/>
      <c r="U177" s="182"/>
      <c r="V177" s="182"/>
      <c r="W177" s="182"/>
      <c r="X177" s="182"/>
      <c r="Y177" s="182"/>
      <c r="Z177" s="182"/>
      <c r="AA177" s="182"/>
      <c r="AB177" s="182"/>
      <c r="AC177" s="182"/>
    </row>
    <row r="178" spans="2:29" x14ac:dyDescent="0.25">
      <c r="B178" s="109" t="str">
        <f>B153</f>
        <v>Change in Goat Price</v>
      </c>
      <c r="C178" s="63" t="str">
        <f>K153</f>
        <v>No change</v>
      </c>
      <c r="D178" s="58">
        <f>D153</f>
        <v>0.01</v>
      </c>
      <c r="E178" s="58">
        <f>D178</f>
        <v>0.01</v>
      </c>
      <c r="F178" s="58">
        <f>E178</f>
        <v>0.01</v>
      </c>
      <c r="G178" s="58">
        <f t="shared" si="68"/>
        <v>0.01</v>
      </c>
      <c r="H178" s="58">
        <f t="shared" si="68"/>
        <v>0.01</v>
      </c>
      <c r="I178" s="58">
        <f t="shared" si="68"/>
        <v>0.01</v>
      </c>
      <c r="J178" s="58">
        <f t="shared" si="68"/>
        <v>0.01</v>
      </c>
      <c r="K178" s="58">
        <f t="shared" si="68"/>
        <v>0.01</v>
      </c>
      <c r="L178" s="58">
        <f t="shared" si="68"/>
        <v>0.01</v>
      </c>
      <c r="M178" s="58">
        <f t="shared" si="68"/>
        <v>0.01</v>
      </c>
      <c r="N178" s="58">
        <f t="shared" si="68"/>
        <v>0.01</v>
      </c>
      <c r="O178" s="58">
        <f t="shared" si="68"/>
        <v>0.01</v>
      </c>
      <c r="P178" s="58">
        <f t="shared" si="68"/>
        <v>0.01</v>
      </c>
      <c r="Q178" s="58">
        <f t="shared" si="68"/>
        <v>0.01</v>
      </c>
      <c r="R178" s="58">
        <f t="shared" si="68"/>
        <v>0.01</v>
      </c>
      <c r="S178" s="78"/>
      <c r="T178" s="78"/>
      <c r="U178" s="78"/>
      <c r="V178" s="78"/>
      <c r="W178" s="78"/>
      <c r="X178" s="78"/>
      <c r="Y178" s="78"/>
      <c r="Z178" s="78"/>
      <c r="AA178" s="78"/>
      <c r="AB178" s="78"/>
      <c r="AC178" s="78"/>
    </row>
    <row r="179" spans="2:29" x14ac:dyDescent="0.25">
      <c r="B179" s="109" t="str">
        <f>B154</f>
        <v>Residual Value</v>
      </c>
      <c r="C179" s="63" t="str">
        <f>K154</f>
        <v>Decrease</v>
      </c>
      <c r="D179" s="58">
        <f>D154</f>
        <v>0.2</v>
      </c>
      <c r="E179" s="58">
        <f>D179</f>
        <v>0.2</v>
      </c>
      <c r="F179" s="58">
        <f t="shared" ref="F179" si="69">E179</f>
        <v>0.2</v>
      </c>
      <c r="G179" s="171">
        <f>F179*(1+$N154)</f>
        <v>0.19</v>
      </c>
      <c r="H179" s="58">
        <f>F179</f>
        <v>0.2</v>
      </c>
      <c r="I179" s="58">
        <f>F179</f>
        <v>0.2</v>
      </c>
      <c r="J179" s="171">
        <f>I179*(1+$N154)</f>
        <v>0.19</v>
      </c>
      <c r="K179" s="58">
        <f>I179</f>
        <v>0.2</v>
      </c>
      <c r="L179" s="58">
        <f>K179</f>
        <v>0.2</v>
      </c>
      <c r="M179" s="171">
        <f>L179*(1+$N154)</f>
        <v>0.19</v>
      </c>
      <c r="N179" s="58">
        <f>L179</f>
        <v>0.2</v>
      </c>
      <c r="O179" s="58">
        <f>N179</f>
        <v>0.2</v>
      </c>
      <c r="P179" s="171">
        <f>O179*(1+$N154)</f>
        <v>0.19</v>
      </c>
      <c r="Q179" s="58">
        <f>O179</f>
        <v>0.2</v>
      </c>
      <c r="R179" s="58">
        <f>Q179</f>
        <v>0.2</v>
      </c>
      <c r="S179" s="78"/>
      <c r="T179" s="78"/>
      <c r="U179" s="78"/>
      <c r="V179" s="78"/>
      <c r="W179" s="78"/>
      <c r="X179" s="78"/>
      <c r="Y179" s="78"/>
      <c r="Z179" s="78"/>
      <c r="AA179" s="78"/>
      <c r="AB179" s="78"/>
      <c r="AC179" s="78"/>
    </row>
    <row r="180" spans="2:29" x14ac:dyDescent="0.25">
      <c r="B180" s="109" t="str">
        <f>B155</f>
        <v>Mother Goat Sale at Project end</v>
      </c>
      <c r="C180" s="63" t="str">
        <f>K155</f>
        <v>No change</v>
      </c>
      <c r="D180" s="170">
        <f>D155</f>
        <v>165</v>
      </c>
      <c r="E180" s="170">
        <f>D180</f>
        <v>165</v>
      </c>
      <c r="F180" s="170">
        <f t="shared" ref="F180:R180" si="70">E180</f>
        <v>165</v>
      </c>
      <c r="G180" s="170">
        <f t="shared" si="70"/>
        <v>165</v>
      </c>
      <c r="H180" s="170">
        <f t="shared" si="70"/>
        <v>165</v>
      </c>
      <c r="I180" s="170">
        <f t="shared" si="70"/>
        <v>165</v>
      </c>
      <c r="J180" s="170">
        <f t="shared" si="70"/>
        <v>165</v>
      </c>
      <c r="K180" s="170">
        <f t="shared" si="70"/>
        <v>165</v>
      </c>
      <c r="L180" s="170">
        <f t="shared" si="70"/>
        <v>165</v>
      </c>
      <c r="M180" s="170">
        <f t="shared" si="70"/>
        <v>165</v>
      </c>
      <c r="N180" s="170">
        <f t="shared" si="70"/>
        <v>165</v>
      </c>
      <c r="O180" s="170">
        <f t="shared" si="70"/>
        <v>165</v>
      </c>
      <c r="P180" s="170">
        <f t="shared" si="70"/>
        <v>165</v>
      </c>
      <c r="Q180" s="170">
        <f t="shared" si="70"/>
        <v>165</v>
      </c>
      <c r="R180" s="170">
        <f t="shared" si="70"/>
        <v>165</v>
      </c>
      <c r="S180" s="183"/>
      <c r="T180" s="183"/>
      <c r="U180" s="183"/>
      <c r="V180" s="183"/>
      <c r="W180" s="183"/>
      <c r="X180" s="183"/>
      <c r="Y180" s="183"/>
      <c r="Z180" s="183"/>
      <c r="AA180" s="183"/>
      <c r="AB180" s="183"/>
      <c r="AC180" s="183"/>
    </row>
    <row r="181" spans="2:29" x14ac:dyDescent="0.25">
      <c r="B181" s="169"/>
      <c r="C181" s="91"/>
      <c r="D181" s="78"/>
      <c r="E181" s="78"/>
      <c r="F181" s="78"/>
      <c r="G181" s="78"/>
      <c r="H181" s="78"/>
      <c r="I181" s="78"/>
      <c r="J181" s="78"/>
      <c r="K181" s="78"/>
      <c r="L181" s="78"/>
      <c r="M181" s="78"/>
      <c r="N181" s="78"/>
      <c r="O181" s="78"/>
      <c r="P181" s="78"/>
      <c r="Q181" s="78"/>
      <c r="R181" s="78"/>
      <c r="S181" s="78"/>
      <c r="T181" s="78"/>
      <c r="U181" s="78"/>
      <c r="V181" s="78"/>
      <c r="W181" s="78"/>
      <c r="X181" s="78"/>
      <c r="Y181" s="78"/>
      <c r="Z181" s="78"/>
      <c r="AA181" s="78"/>
      <c r="AB181" s="78"/>
      <c r="AC181" s="78"/>
    </row>
    <row r="182" spans="2:29" x14ac:dyDescent="0.25">
      <c r="J182" s="127"/>
      <c r="M182" s="127"/>
      <c r="P182" s="127"/>
      <c r="S182" s="127"/>
      <c r="V182" s="127"/>
      <c r="Y182" s="127"/>
      <c r="AB182" s="127"/>
      <c r="AC182" s="127"/>
    </row>
    <row r="183" spans="2:29" x14ac:dyDescent="0.25">
      <c r="J183" s="127"/>
      <c r="M183" s="127"/>
      <c r="P183" s="127"/>
      <c r="S183" s="127"/>
      <c r="V183" s="127"/>
      <c r="Y183" s="127"/>
      <c r="AB183" s="127"/>
      <c r="AC183" s="127"/>
    </row>
    <row r="184" spans="2:29" x14ac:dyDescent="0.25">
      <c r="B184" s="17" t="s">
        <v>10</v>
      </c>
      <c r="C184" s="16" t="s">
        <v>19</v>
      </c>
      <c r="D184" s="16">
        <v>0</v>
      </c>
      <c r="E184" s="16">
        <v>1</v>
      </c>
      <c r="F184" s="16">
        <v>2</v>
      </c>
      <c r="G184" s="157">
        <v>3</v>
      </c>
      <c r="H184" s="16">
        <v>4</v>
      </c>
      <c r="I184" s="16">
        <v>5</v>
      </c>
      <c r="J184" s="122">
        <v>6</v>
      </c>
      <c r="K184" s="16">
        <v>7</v>
      </c>
      <c r="L184" s="16">
        <v>8</v>
      </c>
      <c r="M184" s="122">
        <v>9</v>
      </c>
      <c r="N184" s="16">
        <v>10</v>
      </c>
      <c r="O184" s="16">
        <v>11</v>
      </c>
      <c r="P184" s="122">
        <v>12</v>
      </c>
      <c r="Q184" s="16">
        <v>13</v>
      </c>
      <c r="R184" s="16">
        <v>14</v>
      </c>
      <c r="S184" s="179"/>
      <c r="T184" s="15"/>
      <c r="U184" s="15"/>
      <c r="V184" s="179"/>
      <c r="W184" s="15"/>
      <c r="X184" s="15"/>
      <c r="Y184" s="179"/>
      <c r="Z184" s="15"/>
      <c r="AA184" s="15"/>
      <c r="AB184" s="179"/>
      <c r="AC184" s="15"/>
    </row>
    <row r="185" spans="2:29" x14ac:dyDescent="0.25">
      <c r="B185" s="109" t="str">
        <f>B159</f>
        <v>Slated House Construction</v>
      </c>
      <c r="C185" s="63" t="str">
        <f t="shared" ref="C185:C191" si="71">K159</f>
        <v>No change</v>
      </c>
      <c r="D185" s="118">
        <f>D159</f>
        <v>112</v>
      </c>
      <c r="E185" s="118">
        <f t="shared" ref="E185:R192" si="72">D185</f>
        <v>112</v>
      </c>
      <c r="F185" s="118">
        <f t="shared" si="72"/>
        <v>112</v>
      </c>
      <c r="G185" s="118">
        <f t="shared" si="72"/>
        <v>112</v>
      </c>
      <c r="H185" s="118">
        <f t="shared" si="72"/>
        <v>112</v>
      </c>
      <c r="I185" s="118">
        <f t="shared" si="72"/>
        <v>112</v>
      </c>
      <c r="J185" s="118">
        <f t="shared" si="72"/>
        <v>112</v>
      </c>
      <c r="K185" s="118">
        <f t="shared" si="72"/>
        <v>112</v>
      </c>
      <c r="L185" s="118">
        <f t="shared" si="72"/>
        <v>112</v>
      </c>
      <c r="M185" s="118">
        <f t="shared" si="72"/>
        <v>112</v>
      </c>
      <c r="N185" s="118">
        <f t="shared" si="72"/>
        <v>112</v>
      </c>
      <c r="O185" s="118">
        <f t="shared" si="72"/>
        <v>112</v>
      </c>
      <c r="P185" s="118">
        <f t="shared" si="72"/>
        <v>112</v>
      </c>
      <c r="Q185" s="118">
        <f t="shared" si="72"/>
        <v>112</v>
      </c>
      <c r="R185" s="118">
        <f t="shared" si="72"/>
        <v>112</v>
      </c>
      <c r="S185" s="180"/>
      <c r="T185" s="180"/>
      <c r="U185" s="180"/>
      <c r="V185" s="180"/>
      <c r="W185" s="180"/>
      <c r="X185" s="180"/>
      <c r="Y185" s="180"/>
      <c r="Z185" s="180"/>
      <c r="AA185" s="180"/>
      <c r="AB185" s="180"/>
      <c r="AC185" s="180"/>
    </row>
    <row r="186" spans="2:29" x14ac:dyDescent="0.25">
      <c r="B186" s="109" t="str">
        <f>B160</f>
        <v>Mother Goat Purchase</v>
      </c>
      <c r="C186" s="63" t="str">
        <f t="shared" si="71"/>
        <v>No change</v>
      </c>
      <c r="D186" s="118">
        <f>D160</f>
        <v>150</v>
      </c>
      <c r="E186" s="118">
        <f t="shared" si="72"/>
        <v>150</v>
      </c>
      <c r="F186" s="118">
        <f t="shared" si="72"/>
        <v>150</v>
      </c>
      <c r="G186" s="118">
        <f t="shared" si="72"/>
        <v>150</v>
      </c>
      <c r="H186" s="118">
        <f t="shared" si="72"/>
        <v>150</v>
      </c>
      <c r="I186" s="118">
        <f t="shared" si="72"/>
        <v>150</v>
      </c>
      <c r="J186" s="118">
        <f t="shared" si="72"/>
        <v>150</v>
      </c>
      <c r="K186" s="118">
        <f t="shared" si="72"/>
        <v>150</v>
      </c>
      <c r="L186" s="118">
        <f t="shared" si="72"/>
        <v>150</v>
      </c>
      <c r="M186" s="118">
        <f t="shared" si="72"/>
        <v>150</v>
      </c>
      <c r="N186" s="118">
        <f t="shared" si="72"/>
        <v>150</v>
      </c>
      <c r="O186" s="118">
        <f t="shared" si="72"/>
        <v>150</v>
      </c>
      <c r="P186" s="118">
        <f t="shared" si="72"/>
        <v>150</v>
      </c>
      <c r="Q186" s="118">
        <f t="shared" si="72"/>
        <v>150</v>
      </c>
      <c r="R186" s="118">
        <f t="shared" si="72"/>
        <v>150</v>
      </c>
      <c r="S186" s="180"/>
      <c r="T186" s="180"/>
      <c r="U186" s="180"/>
      <c r="V186" s="180"/>
      <c r="W186" s="180"/>
      <c r="X186" s="180"/>
      <c r="Y186" s="180"/>
      <c r="Z186" s="180"/>
      <c r="AA186" s="180"/>
      <c r="AB186" s="180"/>
      <c r="AC186" s="180"/>
    </row>
    <row r="187" spans="2:29" x14ac:dyDescent="0.25">
      <c r="B187" s="156" t="str">
        <f>B161</f>
        <v>Maintenance Cost</v>
      </c>
      <c r="C187" s="63" t="str">
        <f t="shared" si="71"/>
        <v>Increase</v>
      </c>
      <c r="D187" s="118">
        <f>D161</f>
        <v>12</v>
      </c>
      <c r="E187" s="118">
        <f t="shared" si="72"/>
        <v>12</v>
      </c>
      <c r="F187" s="118">
        <f t="shared" si="72"/>
        <v>12</v>
      </c>
      <c r="G187" s="158">
        <f>F187*(1+$N161)</f>
        <v>12.600000000000001</v>
      </c>
      <c r="H187" s="118">
        <f>F187</f>
        <v>12</v>
      </c>
      <c r="I187" s="118">
        <f>H187</f>
        <v>12</v>
      </c>
      <c r="J187" s="158">
        <f>I187*(1+$N161)</f>
        <v>12.600000000000001</v>
      </c>
      <c r="K187" s="118">
        <f>I187</f>
        <v>12</v>
      </c>
      <c r="L187" s="118">
        <f>K187</f>
        <v>12</v>
      </c>
      <c r="M187" s="158">
        <f>L187*(1+$N161)</f>
        <v>12.600000000000001</v>
      </c>
      <c r="N187" s="118">
        <f>L187</f>
        <v>12</v>
      </c>
      <c r="O187" s="118">
        <f>N187</f>
        <v>12</v>
      </c>
      <c r="P187" s="158">
        <f>O187*(1+$N161)</f>
        <v>12.600000000000001</v>
      </c>
      <c r="Q187" s="118">
        <f>O187</f>
        <v>12</v>
      </c>
      <c r="R187" s="118">
        <f>Q187</f>
        <v>12</v>
      </c>
      <c r="S187" s="184"/>
      <c r="T187" s="180"/>
      <c r="U187" s="180"/>
      <c r="V187" s="184"/>
      <c r="W187" s="180"/>
      <c r="X187" s="180"/>
      <c r="Y187" s="184"/>
      <c r="Z187" s="180"/>
      <c r="AA187" s="180"/>
      <c r="AB187" s="184"/>
      <c r="AC187" s="91"/>
    </row>
    <row r="188" spans="2:29" x14ac:dyDescent="0.25">
      <c r="B188" s="156" t="str">
        <f>B162</f>
        <v>Medicine</v>
      </c>
      <c r="C188" s="63" t="str">
        <f t="shared" si="71"/>
        <v>Increase</v>
      </c>
      <c r="D188" s="118">
        <f>D162</f>
        <v>20.238181818181818</v>
      </c>
      <c r="E188" s="118">
        <f t="shared" si="72"/>
        <v>20.238181818181818</v>
      </c>
      <c r="F188" s="118">
        <f t="shared" si="72"/>
        <v>20.238181818181818</v>
      </c>
      <c r="G188" s="158">
        <f>F188*(1+$N162)</f>
        <v>21.452472727272728</v>
      </c>
      <c r="H188" s="118">
        <f t="shared" ref="H188" si="73">F188</f>
        <v>20.238181818181818</v>
      </c>
      <c r="I188" s="118">
        <f t="shared" ref="I188:I189" si="74">H188</f>
        <v>20.238181818181818</v>
      </c>
      <c r="J188" s="158">
        <f>I188*(1+$N162)</f>
        <v>21.452472727272728</v>
      </c>
      <c r="K188" s="118">
        <f t="shared" ref="K188" si="75">I188</f>
        <v>20.238181818181818</v>
      </c>
      <c r="L188" s="118">
        <f t="shared" ref="L188:L189" si="76">K188</f>
        <v>20.238181818181818</v>
      </c>
      <c r="M188" s="158">
        <f>L188*(1+$N162)</f>
        <v>21.452472727272728</v>
      </c>
      <c r="N188" s="118">
        <f t="shared" ref="N188" si="77">L188</f>
        <v>20.238181818181818</v>
      </c>
      <c r="O188" s="118">
        <f t="shared" ref="O188:O189" si="78">N188</f>
        <v>20.238181818181818</v>
      </c>
      <c r="P188" s="158">
        <f>O188*(1+$N162)</f>
        <v>21.452472727272728</v>
      </c>
      <c r="Q188" s="118">
        <f t="shared" ref="Q188" si="79">O188</f>
        <v>20.238181818181818</v>
      </c>
      <c r="R188" s="118">
        <f t="shared" ref="R188:R189" si="80">Q188</f>
        <v>20.238181818181818</v>
      </c>
      <c r="S188" s="184"/>
      <c r="T188" s="180"/>
      <c r="U188" s="180"/>
      <c r="V188" s="184"/>
      <c r="W188" s="180"/>
      <c r="X188" s="180"/>
      <c r="Y188" s="184"/>
      <c r="Z188" s="180"/>
      <c r="AA188" s="180"/>
      <c r="AB188" s="184"/>
      <c r="AC188" s="91"/>
    </row>
    <row r="189" spans="2:29" x14ac:dyDescent="0.25">
      <c r="B189" s="159" t="str">
        <f>B164</f>
        <v>Labor</v>
      </c>
      <c r="C189" s="63" t="str">
        <f t="shared" si="71"/>
        <v>No change</v>
      </c>
      <c r="D189" s="118">
        <f>D164</f>
        <v>19</v>
      </c>
      <c r="E189" s="118">
        <f t="shared" si="72"/>
        <v>19</v>
      </c>
      <c r="F189" s="118">
        <f t="shared" si="72"/>
        <v>19</v>
      </c>
      <c r="G189" s="118">
        <f t="shared" ref="G189" si="81">F189</f>
        <v>19</v>
      </c>
      <c r="H189" s="118">
        <f t="shared" ref="H189" si="82">G189</f>
        <v>19</v>
      </c>
      <c r="I189" s="118">
        <f t="shared" si="74"/>
        <v>19</v>
      </c>
      <c r="J189" s="118">
        <f t="shared" ref="J189" si="83">I189</f>
        <v>19</v>
      </c>
      <c r="K189" s="118">
        <f t="shared" ref="K189" si="84">J189</f>
        <v>19</v>
      </c>
      <c r="L189" s="118">
        <f t="shared" si="76"/>
        <v>19</v>
      </c>
      <c r="M189" s="118">
        <f t="shared" ref="M189" si="85">L189</f>
        <v>19</v>
      </c>
      <c r="N189" s="118">
        <f t="shared" ref="N189" si="86">M189</f>
        <v>19</v>
      </c>
      <c r="O189" s="118">
        <f t="shared" si="78"/>
        <v>19</v>
      </c>
      <c r="P189" s="118">
        <f t="shared" ref="P189" si="87">O189</f>
        <v>19</v>
      </c>
      <c r="Q189" s="118">
        <f t="shared" ref="Q189" si="88">P189</f>
        <v>19</v>
      </c>
      <c r="R189" s="118">
        <f t="shared" si="80"/>
        <v>19</v>
      </c>
      <c r="S189" s="91"/>
      <c r="T189" s="180"/>
      <c r="U189" s="180"/>
      <c r="V189" s="91"/>
      <c r="W189" s="180"/>
      <c r="X189" s="180"/>
      <c r="Y189" s="91"/>
      <c r="Z189" s="180"/>
      <c r="AA189" s="180"/>
      <c r="AB189" s="91"/>
      <c r="AC189" s="91"/>
    </row>
    <row r="190" spans="2:29" x14ac:dyDescent="0.25">
      <c r="B190" s="159" t="str">
        <f>B165</f>
        <v>Wage</v>
      </c>
      <c r="C190" s="63" t="str">
        <f t="shared" si="71"/>
        <v>No change</v>
      </c>
      <c r="D190" s="118">
        <f>D165</f>
        <v>7</v>
      </c>
      <c r="E190" s="118">
        <f t="shared" si="72"/>
        <v>7</v>
      </c>
      <c r="F190" s="118">
        <f t="shared" si="72"/>
        <v>7</v>
      </c>
      <c r="G190" s="118">
        <f>F190</f>
        <v>7</v>
      </c>
      <c r="H190" s="118">
        <f t="shared" ref="H190:R191" si="89">G190</f>
        <v>7</v>
      </c>
      <c r="I190" s="118">
        <f t="shared" si="89"/>
        <v>7</v>
      </c>
      <c r="J190" s="118">
        <f t="shared" si="89"/>
        <v>7</v>
      </c>
      <c r="K190" s="118">
        <f t="shared" si="89"/>
        <v>7</v>
      </c>
      <c r="L190" s="118">
        <f t="shared" si="89"/>
        <v>7</v>
      </c>
      <c r="M190" s="118">
        <f t="shared" si="89"/>
        <v>7</v>
      </c>
      <c r="N190" s="118">
        <f t="shared" si="89"/>
        <v>7</v>
      </c>
      <c r="O190" s="118">
        <f t="shared" si="89"/>
        <v>7</v>
      </c>
      <c r="P190" s="118">
        <f t="shared" si="89"/>
        <v>7</v>
      </c>
      <c r="Q190" s="118">
        <f t="shared" si="89"/>
        <v>7</v>
      </c>
      <c r="R190" s="118">
        <f t="shared" si="89"/>
        <v>7</v>
      </c>
      <c r="S190" s="91"/>
      <c r="T190" s="180"/>
      <c r="U190" s="180"/>
      <c r="V190" s="91"/>
      <c r="W190" s="180"/>
      <c r="X190" s="180"/>
      <c r="Y190" s="91"/>
      <c r="Z190" s="180"/>
      <c r="AA190" s="180"/>
      <c r="AB190" s="91"/>
      <c r="AC190" s="91"/>
    </row>
    <row r="191" spans="2:29" x14ac:dyDescent="0.25">
      <c r="B191" s="159" t="str">
        <f>B166</f>
        <v>Wage Increment</v>
      </c>
      <c r="C191" s="63" t="str">
        <f t="shared" si="71"/>
        <v>No change</v>
      </c>
      <c r="D191" s="64">
        <f>D166</f>
        <v>0.01</v>
      </c>
      <c r="E191" s="64">
        <f>D191</f>
        <v>0.01</v>
      </c>
      <c r="F191" s="64">
        <f t="shared" si="72"/>
        <v>0.01</v>
      </c>
      <c r="G191" s="64">
        <f t="shared" ref="G191" si="90">F191</f>
        <v>0.01</v>
      </c>
      <c r="H191" s="64">
        <f t="shared" si="89"/>
        <v>0.01</v>
      </c>
      <c r="I191" s="64">
        <f t="shared" si="89"/>
        <v>0.01</v>
      </c>
      <c r="J191" s="64">
        <f t="shared" si="89"/>
        <v>0.01</v>
      </c>
      <c r="K191" s="64">
        <f t="shared" si="89"/>
        <v>0.01</v>
      </c>
      <c r="L191" s="64">
        <f t="shared" si="89"/>
        <v>0.01</v>
      </c>
      <c r="M191" s="64">
        <f t="shared" si="89"/>
        <v>0.01</v>
      </c>
      <c r="N191" s="64">
        <f t="shared" si="89"/>
        <v>0.01</v>
      </c>
      <c r="O191" s="64">
        <f t="shared" si="89"/>
        <v>0.01</v>
      </c>
      <c r="P191" s="64">
        <f t="shared" si="89"/>
        <v>0.01</v>
      </c>
      <c r="Q191" s="64">
        <f t="shared" si="89"/>
        <v>0.01</v>
      </c>
      <c r="R191" s="64">
        <f t="shared" si="89"/>
        <v>0.01</v>
      </c>
      <c r="S191" s="91"/>
      <c r="T191" s="180"/>
      <c r="U191" s="180"/>
      <c r="V191" s="91"/>
      <c r="W191" s="180"/>
      <c r="X191" s="180"/>
      <c r="Y191" s="91"/>
      <c r="Z191" s="180"/>
      <c r="AA191" s="180"/>
      <c r="AB191" s="91"/>
      <c r="AC191" s="91"/>
    </row>
    <row r="192" spans="2:29" x14ac:dyDescent="0.25">
      <c r="B192" s="159" t="str">
        <f>B163</f>
        <v>Interest Rate (Capital Cost)</v>
      </c>
      <c r="C192" s="63" t="str">
        <f>K163</f>
        <v>No change</v>
      </c>
      <c r="D192" s="58">
        <f>D163</f>
        <v>0.24</v>
      </c>
      <c r="E192" s="64">
        <f t="shared" si="72"/>
        <v>0.24</v>
      </c>
      <c r="F192" s="64">
        <f t="shared" si="72"/>
        <v>0.24</v>
      </c>
      <c r="G192" s="64">
        <f t="shared" si="72"/>
        <v>0.24</v>
      </c>
      <c r="H192" s="64">
        <f t="shared" si="72"/>
        <v>0.24</v>
      </c>
      <c r="I192" s="64">
        <f t="shared" si="72"/>
        <v>0.24</v>
      </c>
      <c r="J192" s="64">
        <f t="shared" si="72"/>
        <v>0.24</v>
      </c>
      <c r="K192" s="64">
        <f t="shared" si="72"/>
        <v>0.24</v>
      </c>
      <c r="L192" s="64">
        <f t="shared" si="72"/>
        <v>0.24</v>
      </c>
      <c r="M192" s="64">
        <f t="shared" si="72"/>
        <v>0.24</v>
      </c>
      <c r="N192" s="64">
        <f t="shared" si="72"/>
        <v>0.24</v>
      </c>
      <c r="O192" s="64">
        <f t="shared" si="72"/>
        <v>0.24</v>
      </c>
      <c r="P192" s="64">
        <f t="shared" si="72"/>
        <v>0.24</v>
      </c>
      <c r="Q192" s="64">
        <f t="shared" si="72"/>
        <v>0.24</v>
      </c>
      <c r="R192" s="64">
        <f t="shared" si="72"/>
        <v>0.24</v>
      </c>
      <c r="S192" s="104"/>
      <c r="T192" s="104"/>
      <c r="U192" s="104"/>
      <c r="V192" s="104"/>
      <c r="W192" s="104"/>
      <c r="X192" s="104"/>
      <c r="Y192" s="104"/>
      <c r="Z192" s="104"/>
      <c r="AA192" s="104"/>
      <c r="AB192" s="104"/>
      <c r="AC192" s="104"/>
    </row>
    <row r="193" spans="1:29" x14ac:dyDescent="0.25">
      <c r="G193" s="127"/>
      <c r="J193" s="127"/>
      <c r="M193" s="127"/>
      <c r="P193" s="127"/>
      <c r="S193" s="127"/>
      <c r="V193" s="127"/>
      <c r="Y193" s="127"/>
      <c r="AB193" s="127"/>
      <c r="AC193" s="127"/>
    </row>
    <row r="194" spans="1:29" x14ac:dyDescent="0.25">
      <c r="G194" s="127"/>
    </row>
    <row r="195" spans="1:29" x14ac:dyDescent="0.25">
      <c r="A195" s="63">
        <v>8</v>
      </c>
      <c r="B195" s="44" t="s">
        <v>324</v>
      </c>
      <c r="G195" s="127"/>
    </row>
    <row r="198" spans="1:29" x14ac:dyDescent="0.25">
      <c r="B198" s="17" t="s">
        <v>3</v>
      </c>
      <c r="C198" s="13" t="s">
        <v>299</v>
      </c>
      <c r="D198" s="20" t="s">
        <v>5</v>
      </c>
      <c r="E198" s="484" t="s">
        <v>321</v>
      </c>
      <c r="F198" s="484"/>
      <c r="G198" s="484"/>
      <c r="H198" s="484"/>
    </row>
    <row r="199" spans="1:29" x14ac:dyDescent="0.25">
      <c r="B199" s="18" t="s">
        <v>322</v>
      </c>
      <c r="C199" s="167">
        <f>2*90*0.02</f>
        <v>3.6</v>
      </c>
      <c r="D199" s="5" t="s">
        <v>323</v>
      </c>
      <c r="E199" s="485" t="s">
        <v>334</v>
      </c>
      <c r="F199" s="485"/>
      <c r="G199" s="485"/>
      <c r="H199" s="485"/>
    </row>
    <row r="200" spans="1:29" x14ac:dyDescent="0.25">
      <c r="B200" s="18" t="s">
        <v>384</v>
      </c>
      <c r="C200" s="167">
        <v>30</v>
      </c>
      <c r="D200" s="415" t="s">
        <v>323</v>
      </c>
      <c r="E200" s="473" t="s">
        <v>326</v>
      </c>
      <c r="F200" s="473"/>
      <c r="G200" s="473"/>
      <c r="H200" s="473"/>
    </row>
    <row r="202" spans="1:29" x14ac:dyDescent="0.25">
      <c r="B202" s="17" t="s">
        <v>10</v>
      </c>
      <c r="C202" s="13" t="s">
        <v>299</v>
      </c>
      <c r="D202" s="21" t="s">
        <v>5</v>
      </c>
      <c r="E202" s="474" t="s">
        <v>6</v>
      </c>
      <c r="F202" s="474"/>
      <c r="G202" s="474"/>
      <c r="H202" s="474"/>
    </row>
    <row r="203" spans="1:29" ht="29.45" customHeight="1" x14ac:dyDescent="0.25">
      <c r="B203" s="18" t="s">
        <v>325</v>
      </c>
      <c r="C203" s="167">
        <f>5*(D165/2)</f>
        <v>17.5</v>
      </c>
      <c r="D203" s="5" t="s">
        <v>323</v>
      </c>
      <c r="E203" s="475" t="s">
        <v>386</v>
      </c>
      <c r="F203" s="475"/>
      <c r="G203" s="475"/>
      <c r="H203" s="475"/>
    </row>
    <row r="204" spans="1:29" x14ac:dyDescent="0.25">
      <c r="B204" s="18" t="s">
        <v>327</v>
      </c>
      <c r="C204" s="167">
        <v>0</v>
      </c>
      <c r="D204" s="5" t="s">
        <v>323</v>
      </c>
      <c r="E204" s="476" t="s">
        <v>328</v>
      </c>
      <c r="F204" s="476"/>
      <c r="G204" s="476"/>
      <c r="H204" s="476"/>
    </row>
    <row r="205" spans="1:29" x14ac:dyDescent="0.25">
      <c r="B205" s="47" t="s">
        <v>329</v>
      </c>
      <c r="C205" s="98">
        <v>0</v>
      </c>
      <c r="D205" s="415" t="s">
        <v>323</v>
      </c>
      <c r="E205" s="472" t="s">
        <v>328</v>
      </c>
      <c r="F205" s="472"/>
      <c r="G205" s="472"/>
      <c r="H205" s="472"/>
    </row>
  </sheetData>
  <mergeCells count="33">
    <mergeCell ref="U148:X148"/>
    <mergeCell ref="K149:N149"/>
    <mergeCell ref="P149:S149"/>
    <mergeCell ref="U149:X149"/>
    <mergeCell ref="B16:J16"/>
    <mergeCell ref="C72:F72"/>
    <mergeCell ref="C86:F86"/>
    <mergeCell ref="C98:F98"/>
    <mergeCell ref="K148:N148"/>
    <mergeCell ref="P148:S148"/>
    <mergeCell ref="E111:H111"/>
    <mergeCell ref="E112:H112"/>
    <mergeCell ref="E113:H113"/>
    <mergeCell ref="E114:H114"/>
    <mergeCell ref="E128:H128"/>
    <mergeCell ref="F131:H131"/>
    <mergeCell ref="B15:K15"/>
    <mergeCell ref="E116:H116"/>
    <mergeCell ref="E124:H124"/>
    <mergeCell ref="E115:H115"/>
    <mergeCell ref="E119:H119"/>
    <mergeCell ref="E120:H120"/>
    <mergeCell ref="E121:H121"/>
    <mergeCell ref="F132:H133"/>
    <mergeCell ref="E122:H122"/>
    <mergeCell ref="E123:H123"/>
    <mergeCell ref="E198:H198"/>
    <mergeCell ref="E199:H199"/>
    <mergeCell ref="E205:H205"/>
    <mergeCell ref="E200:H200"/>
    <mergeCell ref="E202:H202"/>
    <mergeCell ref="E203:H203"/>
    <mergeCell ref="E204:H204"/>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sheetPr>
  <dimension ref="A3:AD203"/>
  <sheetViews>
    <sheetView showGridLines="0" topLeftCell="A149" zoomScale="70" zoomScaleNormal="70" workbookViewId="0">
      <selection activeCell="F147" sqref="F147"/>
    </sheetView>
  </sheetViews>
  <sheetFormatPr defaultRowHeight="15" x14ac:dyDescent="0.25"/>
  <cols>
    <col min="2" max="2" width="50" customWidth="1"/>
    <col min="3" max="3" width="11.85546875" customWidth="1"/>
    <col min="4" max="4" width="14" customWidth="1"/>
    <col min="5" max="5" width="18.4257812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8" width="10.140625" customWidth="1"/>
    <col min="29" max="29" width="15.7109375" customWidth="1"/>
  </cols>
  <sheetData>
    <row r="3" spans="1:29" x14ac:dyDescent="0.25">
      <c r="A3" s="63">
        <v>1</v>
      </c>
      <c r="B3" s="550" t="s">
        <v>105</v>
      </c>
      <c r="C3" s="551"/>
      <c r="D3" s="551"/>
      <c r="E3" s="551"/>
    </row>
    <row r="5" spans="1:29" x14ac:dyDescent="0.25">
      <c r="C5" s="8" t="s">
        <v>19</v>
      </c>
      <c r="D5" s="15">
        <v>0</v>
      </c>
      <c r="E5" s="15">
        <v>1</v>
      </c>
      <c r="F5" s="15">
        <v>2</v>
      </c>
      <c r="G5" s="15">
        <v>3</v>
      </c>
      <c r="H5" s="15">
        <v>4</v>
      </c>
      <c r="I5" s="15">
        <v>5</v>
      </c>
      <c r="J5" s="15">
        <v>6</v>
      </c>
      <c r="K5" s="15">
        <v>7</v>
      </c>
      <c r="L5" s="15">
        <v>8</v>
      </c>
      <c r="M5" s="15">
        <v>9</v>
      </c>
      <c r="N5" s="15">
        <v>10</v>
      </c>
      <c r="O5" s="15">
        <v>11</v>
      </c>
      <c r="P5" s="15">
        <v>12</v>
      </c>
      <c r="Q5" s="15">
        <v>13</v>
      </c>
      <c r="R5" s="15">
        <v>14</v>
      </c>
      <c r="S5" s="15">
        <v>15</v>
      </c>
      <c r="T5" s="15">
        <v>16</v>
      </c>
      <c r="U5" s="15">
        <v>17</v>
      </c>
      <c r="V5" s="15">
        <v>18</v>
      </c>
      <c r="W5" s="15">
        <v>19</v>
      </c>
      <c r="X5" s="15">
        <v>20</v>
      </c>
      <c r="Y5" s="15">
        <v>21</v>
      </c>
      <c r="Z5" s="15">
        <v>22</v>
      </c>
      <c r="AA5" s="15">
        <v>23</v>
      </c>
      <c r="AB5" s="15">
        <v>24</v>
      </c>
      <c r="AC5" s="53" t="s">
        <v>109</v>
      </c>
    </row>
    <row r="6" spans="1:29" x14ac:dyDescent="0.25">
      <c r="B6" s="66" t="s">
        <v>108</v>
      </c>
      <c r="C6" s="47"/>
      <c r="D6" s="94"/>
      <c r="E6" s="94">
        <v>10</v>
      </c>
      <c r="F6" s="94">
        <v>15</v>
      </c>
      <c r="G6" s="94">
        <v>20</v>
      </c>
      <c r="H6" s="94">
        <v>5</v>
      </c>
      <c r="I6" s="94"/>
      <c r="J6" s="94"/>
      <c r="K6" s="94"/>
      <c r="L6" s="94"/>
      <c r="M6" s="94"/>
      <c r="N6" s="94"/>
      <c r="O6" s="94"/>
      <c r="P6" s="94"/>
      <c r="Q6" s="94"/>
      <c r="R6" s="94"/>
      <c r="S6" s="94"/>
      <c r="T6" s="94"/>
      <c r="U6" s="94"/>
      <c r="V6" s="94"/>
      <c r="W6" s="94"/>
      <c r="X6" s="94"/>
      <c r="Y6" s="94"/>
      <c r="Z6" s="94"/>
      <c r="AA6" s="94"/>
      <c r="AB6" s="94"/>
      <c r="AC6" s="53">
        <f>SUM(D6:AB6)</f>
        <v>50</v>
      </c>
    </row>
    <row r="7" spans="1:29" x14ac:dyDescent="0.25">
      <c r="B7" s="66" t="s">
        <v>107</v>
      </c>
      <c r="C7" s="47"/>
      <c r="D7" s="94"/>
      <c r="E7" s="94">
        <v>100</v>
      </c>
      <c r="F7" s="94">
        <v>150</v>
      </c>
      <c r="G7" s="94">
        <v>150</v>
      </c>
      <c r="H7" s="94">
        <v>100</v>
      </c>
      <c r="I7" s="94"/>
      <c r="J7" s="94"/>
      <c r="K7" s="94"/>
      <c r="L7" s="94"/>
      <c r="M7" s="94"/>
      <c r="N7" s="94"/>
      <c r="O7" s="94"/>
      <c r="P7" s="94"/>
      <c r="Q7" s="94"/>
      <c r="R7" s="94"/>
      <c r="S7" s="94"/>
      <c r="T7" s="94"/>
      <c r="U7" s="94"/>
      <c r="V7" s="94"/>
      <c r="W7" s="94"/>
      <c r="X7" s="94"/>
      <c r="Y7" s="94"/>
      <c r="Z7" s="94"/>
      <c r="AA7" s="94"/>
      <c r="AB7" s="94"/>
      <c r="AC7" s="53">
        <f>SUM(D7:AB7)</f>
        <v>500</v>
      </c>
    </row>
    <row r="8" spans="1:29" x14ac:dyDescent="0.25">
      <c r="B8" s="66" t="s">
        <v>106</v>
      </c>
      <c r="C8" s="47"/>
      <c r="D8" s="94"/>
      <c r="E8" s="94">
        <v>3000</v>
      </c>
      <c r="F8" s="94">
        <v>7000</v>
      </c>
      <c r="G8" s="94">
        <v>7000</v>
      </c>
      <c r="H8" s="94">
        <v>2000</v>
      </c>
      <c r="I8" s="94">
        <v>1000</v>
      </c>
      <c r="J8" s="94"/>
      <c r="K8" s="94"/>
      <c r="L8" s="94"/>
      <c r="M8" s="94"/>
      <c r="N8" s="94"/>
      <c r="O8" s="94"/>
      <c r="P8" s="94"/>
      <c r="Q8" s="94"/>
      <c r="R8" s="94"/>
      <c r="S8" s="94"/>
      <c r="T8" s="94"/>
      <c r="U8" s="94"/>
      <c r="V8" s="94"/>
      <c r="W8" s="94"/>
      <c r="X8" s="94"/>
      <c r="Y8" s="94"/>
      <c r="Z8" s="94"/>
      <c r="AA8" s="94"/>
      <c r="AB8" s="94"/>
      <c r="AC8" s="53">
        <f>SUM(D8:AB8)</f>
        <v>20000</v>
      </c>
    </row>
    <row r="11" spans="1:29" x14ac:dyDescent="0.25">
      <c r="A11" s="63">
        <v>2</v>
      </c>
      <c r="B11" s="44" t="s">
        <v>110</v>
      </c>
    </row>
    <row r="13" spans="1:29" x14ac:dyDescent="0.25">
      <c r="B13" s="66" t="s">
        <v>108</v>
      </c>
      <c r="C13" s="68">
        <f>SUM(D16:S16)</f>
        <v>50</v>
      </c>
      <c r="D13" t="s">
        <v>101</v>
      </c>
    </row>
    <row r="15" spans="1:29" x14ac:dyDescent="0.25">
      <c r="C15" s="8" t="s">
        <v>19</v>
      </c>
      <c r="D15" s="15">
        <v>0</v>
      </c>
      <c r="E15" s="15">
        <v>1</v>
      </c>
      <c r="F15" s="15">
        <v>2</v>
      </c>
      <c r="G15" s="15">
        <v>3</v>
      </c>
      <c r="H15" s="15">
        <v>4</v>
      </c>
      <c r="I15" s="15">
        <v>5</v>
      </c>
      <c r="J15" s="15">
        <v>6</v>
      </c>
      <c r="K15" s="15">
        <v>7</v>
      </c>
      <c r="L15" s="15">
        <v>8</v>
      </c>
      <c r="M15" s="15">
        <v>9</v>
      </c>
      <c r="N15" s="15">
        <v>10</v>
      </c>
      <c r="O15" s="15">
        <v>11</v>
      </c>
      <c r="P15" s="15">
        <v>12</v>
      </c>
      <c r="Q15" s="15">
        <v>13</v>
      </c>
      <c r="R15" s="15">
        <v>14</v>
      </c>
      <c r="S15" s="15">
        <v>15</v>
      </c>
      <c r="T15" s="15">
        <v>16</v>
      </c>
      <c r="U15" s="15">
        <v>17</v>
      </c>
      <c r="V15" s="15">
        <v>18</v>
      </c>
      <c r="W15" s="15">
        <v>19</v>
      </c>
      <c r="X15" s="15">
        <v>20</v>
      </c>
      <c r="Y15" s="15">
        <v>21</v>
      </c>
      <c r="Z15" s="15">
        <v>22</v>
      </c>
      <c r="AA15" s="15">
        <v>23</v>
      </c>
      <c r="AB15" s="15">
        <v>24</v>
      </c>
      <c r="AC15" s="95" t="s">
        <v>109</v>
      </c>
    </row>
    <row r="16" spans="1:29" x14ac:dyDescent="0.25">
      <c r="B16" s="66" t="s">
        <v>111</v>
      </c>
      <c r="C16" s="47"/>
      <c r="D16" s="94">
        <f>D6</f>
        <v>0</v>
      </c>
      <c r="E16" s="94">
        <f t="shared" ref="E16:AB16" si="0">E6</f>
        <v>10</v>
      </c>
      <c r="F16" s="94">
        <f t="shared" si="0"/>
        <v>15</v>
      </c>
      <c r="G16" s="94">
        <f t="shared" si="0"/>
        <v>20</v>
      </c>
      <c r="H16" s="94">
        <f t="shared" si="0"/>
        <v>5</v>
      </c>
      <c r="I16" s="94">
        <f t="shared" si="0"/>
        <v>0</v>
      </c>
      <c r="J16" s="94">
        <f t="shared" si="0"/>
        <v>0</v>
      </c>
      <c r="K16" s="94">
        <f t="shared" si="0"/>
        <v>0</v>
      </c>
      <c r="L16" s="94">
        <f t="shared" si="0"/>
        <v>0</v>
      </c>
      <c r="M16" s="94">
        <f t="shared" si="0"/>
        <v>0</v>
      </c>
      <c r="N16" s="94">
        <f t="shared" si="0"/>
        <v>0</v>
      </c>
      <c r="O16" s="94">
        <f t="shared" si="0"/>
        <v>0</v>
      </c>
      <c r="P16" s="94">
        <f t="shared" si="0"/>
        <v>0</v>
      </c>
      <c r="Q16" s="94">
        <f t="shared" si="0"/>
        <v>0</v>
      </c>
      <c r="R16" s="94">
        <f t="shared" si="0"/>
        <v>0</v>
      </c>
      <c r="S16" s="94">
        <f t="shared" si="0"/>
        <v>0</v>
      </c>
      <c r="T16" s="94">
        <f t="shared" si="0"/>
        <v>0</v>
      </c>
      <c r="U16" s="94">
        <f t="shared" si="0"/>
        <v>0</v>
      </c>
      <c r="V16" s="94">
        <f t="shared" si="0"/>
        <v>0</v>
      </c>
      <c r="W16" s="94">
        <f t="shared" si="0"/>
        <v>0</v>
      </c>
      <c r="X16" s="94">
        <f t="shared" si="0"/>
        <v>0</v>
      </c>
      <c r="Y16" s="94">
        <f t="shared" si="0"/>
        <v>0</v>
      </c>
      <c r="Z16" s="94">
        <f t="shared" si="0"/>
        <v>0</v>
      </c>
      <c r="AA16" s="94">
        <f t="shared" si="0"/>
        <v>0</v>
      </c>
      <c r="AB16" s="94">
        <f t="shared" si="0"/>
        <v>0</v>
      </c>
      <c r="AC16" s="53">
        <f>SUM(D16:AB16)</f>
        <v>50</v>
      </c>
    </row>
    <row r="17" spans="1:29" x14ac:dyDescent="0.25">
      <c r="B17" s="66" t="s">
        <v>112</v>
      </c>
      <c r="C17" s="47"/>
      <c r="D17" s="94"/>
      <c r="E17" s="94"/>
      <c r="F17" s="94"/>
      <c r="G17" s="94"/>
      <c r="H17" s="94"/>
      <c r="I17" s="94"/>
      <c r="J17" s="94"/>
      <c r="K17" s="94"/>
      <c r="L17" s="94"/>
      <c r="M17" s="94"/>
      <c r="N17" s="94"/>
      <c r="O17" s="94"/>
      <c r="P17" s="94"/>
      <c r="Q17" s="94"/>
      <c r="R17" s="94"/>
      <c r="S17" s="94"/>
      <c r="T17" s="94"/>
      <c r="U17" s="94"/>
      <c r="V17" s="94"/>
      <c r="W17" s="94"/>
      <c r="X17" s="94"/>
      <c r="Y17" s="94">
        <f>E16</f>
        <v>10</v>
      </c>
      <c r="Z17" s="94">
        <f t="shared" ref="Z17:AB17" si="1">F16</f>
        <v>15</v>
      </c>
      <c r="AA17" s="94">
        <f t="shared" si="1"/>
        <v>20</v>
      </c>
      <c r="AB17" s="94">
        <f t="shared" si="1"/>
        <v>5</v>
      </c>
      <c r="AC17" s="53">
        <f>SUM(D17:AB17)</f>
        <v>50</v>
      </c>
    </row>
    <row r="18" spans="1:29" ht="19.149999999999999" customHeight="1" x14ac:dyDescent="0.25">
      <c r="B18" s="66" t="s">
        <v>116</v>
      </c>
      <c r="C18" s="47"/>
      <c r="D18" s="63"/>
      <c r="E18" s="63">
        <f>E16</f>
        <v>10</v>
      </c>
      <c r="F18" s="63">
        <f>F16+E18-F17</f>
        <v>25</v>
      </c>
      <c r="G18" s="63">
        <f t="shared" ref="G18:S18" si="2">G16+F18-G17</f>
        <v>45</v>
      </c>
      <c r="H18" s="63">
        <f t="shared" si="2"/>
        <v>50</v>
      </c>
      <c r="I18" s="63">
        <f t="shared" si="2"/>
        <v>50</v>
      </c>
      <c r="J18" s="63">
        <f t="shared" si="2"/>
        <v>50</v>
      </c>
      <c r="K18" s="63">
        <f t="shared" si="2"/>
        <v>50</v>
      </c>
      <c r="L18" s="63">
        <f t="shared" si="2"/>
        <v>50</v>
      </c>
      <c r="M18" s="63">
        <f t="shared" si="2"/>
        <v>50</v>
      </c>
      <c r="N18" s="63">
        <f t="shared" si="2"/>
        <v>50</v>
      </c>
      <c r="O18" s="63">
        <f t="shared" si="2"/>
        <v>50</v>
      </c>
      <c r="P18" s="63">
        <f t="shared" si="2"/>
        <v>50</v>
      </c>
      <c r="Q18" s="63">
        <f t="shared" si="2"/>
        <v>50</v>
      </c>
      <c r="R18" s="63">
        <f t="shared" si="2"/>
        <v>50</v>
      </c>
      <c r="S18" s="63">
        <f t="shared" si="2"/>
        <v>50</v>
      </c>
      <c r="T18" s="63">
        <f t="shared" ref="T18" si="3">T16+S18-T17</f>
        <v>50</v>
      </c>
      <c r="U18" s="63">
        <f t="shared" ref="U18" si="4">U16+T18-U17</f>
        <v>50</v>
      </c>
      <c r="V18" s="63">
        <f t="shared" ref="V18" si="5">V16+U18-V17</f>
        <v>50</v>
      </c>
      <c r="W18" s="63">
        <f t="shared" ref="W18" si="6">W16+V18-W17</f>
        <v>50</v>
      </c>
      <c r="X18" s="63">
        <f t="shared" ref="X18:AB18" si="7">X16+W18-X17</f>
        <v>50</v>
      </c>
      <c r="Y18" s="63">
        <f t="shared" si="7"/>
        <v>40</v>
      </c>
      <c r="Z18" s="63">
        <f t="shared" si="7"/>
        <v>25</v>
      </c>
      <c r="AA18" s="63">
        <f t="shared" si="7"/>
        <v>5</v>
      </c>
      <c r="AB18" s="63">
        <f t="shared" si="7"/>
        <v>0</v>
      </c>
      <c r="AC18" s="53"/>
    </row>
    <row r="19" spans="1:29" ht="19.149999999999999" customHeight="1" x14ac:dyDescent="0.25">
      <c r="B19" s="61"/>
      <c r="AC19" s="83"/>
    </row>
    <row r="20" spans="1:29" ht="19.149999999999999" customHeight="1" x14ac:dyDescent="0.25">
      <c r="B20" s="96" t="s">
        <v>113</v>
      </c>
      <c r="AC20" s="83"/>
    </row>
    <row r="21" spans="1:29" ht="19.149999999999999" customHeight="1" x14ac:dyDescent="0.25">
      <c r="B21" t="s">
        <v>115</v>
      </c>
      <c r="AC21" s="83"/>
    </row>
    <row r="22" spans="1:29" ht="19.149999999999999" customHeight="1" x14ac:dyDescent="0.25">
      <c r="B22" s="486" t="s">
        <v>114</v>
      </c>
      <c r="C22" s="486"/>
      <c r="D22" s="486"/>
      <c r="E22" s="486"/>
      <c r="F22" s="486"/>
      <c r="AC22" s="83"/>
    </row>
    <row r="23" spans="1:29" ht="19.149999999999999" customHeight="1" x14ac:dyDescent="0.25">
      <c r="B23" s="486" t="s">
        <v>117</v>
      </c>
      <c r="C23" s="486"/>
      <c r="D23" s="486"/>
      <c r="E23" s="486"/>
      <c r="F23" s="486"/>
      <c r="G23" s="486"/>
      <c r="H23" s="486"/>
      <c r="I23" s="486"/>
      <c r="J23" s="486"/>
      <c r="AC23" s="83"/>
    </row>
    <row r="25" spans="1:29" x14ac:dyDescent="0.25">
      <c r="A25" s="63">
        <v>3</v>
      </c>
      <c r="B25" t="s">
        <v>121</v>
      </c>
      <c r="C25" s="98">
        <v>3</v>
      </c>
      <c r="D25" t="s">
        <v>78</v>
      </c>
    </row>
    <row r="26" spans="1:29" x14ac:dyDescent="0.25">
      <c r="B26" t="s">
        <v>79</v>
      </c>
      <c r="C26" s="98">
        <v>1</v>
      </c>
      <c r="D26" t="s">
        <v>78</v>
      </c>
    </row>
    <row r="27" spans="1:29" x14ac:dyDescent="0.25">
      <c r="B27" t="s">
        <v>122</v>
      </c>
      <c r="C27" s="68">
        <f>C25-C26</f>
        <v>2</v>
      </c>
    </row>
    <row r="28" spans="1:29" x14ac:dyDescent="0.25">
      <c r="C28" s="77"/>
    </row>
    <row r="29" spans="1:29" x14ac:dyDescent="0.25">
      <c r="B29" t="s">
        <v>118</v>
      </c>
      <c r="C29" s="98">
        <v>8000</v>
      </c>
      <c r="D29" t="s">
        <v>9</v>
      </c>
      <c r="E29" t="s">
        <v>200</v>
      </c>
    </row>
    <row r="30" spans="1:29" x14ac:dyDescent="0.25">
      <c r="B30" t="s">
        <v>119</v>
      </c>
      <c r="C30" s="144">
        <v>10000</v>
      </c>
      <c r="D30" t="s">
        <v>9</v>
      </c>
      <c r="E30" t="s">
        <v>189</v>
      </c>
    </row>
    <row r="31" spans="1:29" x14ac:dyDescent="0.25">
      <c r="C31" s="77"/>
    </row>
    <row r="32" spans="1:29" ht="17.45" customHeight="1" x14ac:dyDescent="0.25">
      <c r="C32" s="120" t="s">
        <v>18</v>
      </c>
      <c r="E32" s="62"/>
      <c r="F32" s="62"/>
      <c r="G32" s="62"/>
      <c r="H32" s="62"/>
      <c r="I32" s="62"/>
      <c r="J32" s="62"/>
      <c r="K32" s="62"/>
      <c r="L32" s="62"/>
    </row>
    <row r="33" spans="2:29" ht="17.45" customHeight="1" x14ac:dyDescent="0.25">
      <c r="B33" s="6" t="s">
        <v>92</v>
      </c>
      <c r="C33" s="102">
        <v>0</v>
      </c>
      <c r="E33" s="92"/>
      <c r="F33" s="92"/>
      <c r="G33" s="92"/>
      <c r="H33" s="92"/>
      <c r="I33" s="92"/>
      <c r="J33" s="92"/>
      <c r="K33" s="92"/>
      <c r="L33" s="92"/>
    </row>
    <row r="35" spans="2:29" x14ac:dyDescent="0.25">
      <c r="C35" s="71"/>
    </row>
    <row r="36" spans="2:29" x14ac:dyDescent="0.25">
      <c r="C36" s="71"/>
    </row>
    <row r="37" spans="2:29" x14ac:dyDescent="0.25">
      <c r="C37" s="71"/>
    </row>
    <row r="38" spans="2:29" x14ac:dyDescent="0.25">
      <c r="B38" s="99" t="s">
        <v>91</v>
      </c>
      <c r="C38" s="8" t="s">
        <v>19</v>
      </c>
      <c r="D38" s="15">
        <v>0</v>
      </c>
      <c r="E38" s="15">
        <v>1</v>
      </c>
      <c r="F38" s="15">
        <v>2</v>
      </c>
      <c r="G38" s="15">
        <v>3</v>
      </c>
      <c r="H38" s="15">
        <v>4</v>
      </c>
      <c r="I38" s="15">
        <v>5</v>
      </c>
      <c r="J38" s="15">
        <v>6</v>
      </c>
      <c r="K38" s="15">
        <v>7</v>
      </c>
      <c r="L38" s="15">
        <v>8</v>
      </c>
      <c r="M38" s="15">
        <v>9</v>
      </c>
      <c r="N38" s="15">
        <v>10</v>
      </c>
      <c r="O38" s="15">
        <v>11</v>
      </c>
      <c r="P38" s="15">
        <v>12</v>
      </c>
      <c r="Q38" s="15">
        <v>13</v>
      </c>
      <c r="R38" s="15">
        <v>14</v>
      </c>
      <c r="S38" s="15">
        <v>15</v>
      </c>
      <c r="T38" s="15">
        <v>16</v>
      </c>
      <c r="U38" s="15">
        <v>17</v>
      </c>
      <c r="V38" s="15">
        <v>18</v>
      </c>
      <c r="W38" s="15">
        <v>19</v>
      </c>
      <c r="X38" s="15">
        <v>20</v>
      </c>
      <c r="Y38" s="15">
        <v>21</v>
      </c>
      <c r="Z38" s="15">
        <v>22</v>
      </c>
      <c r="AA38" s="15">
        <v>23</v>
      </c>
      <c r="AB38" s="15">
        <v>24</v>
      </c>
      <c r="AC38" t="s">
        <v>109</v>
      </c>
    </row>
    <row r="39" spans="2:29" x14ac:dyDescent="0.25">
      <c r="B39" s="47" t="s">
        <v>83</v>
      </c>
      <c r="C39" s="47"/>
      <c r="D39" s="75"/>
      <c r="E39" s="75">
        <f>D44</f>
        <v>0</v>
      </c>
      <c r="F39" s="75">
        <f t="shared" ref="F39" si="8">E44</f>
        <v>180000</v>
      </c>
      <c r="G39" s="75">
        <f t="shared" ref="G39" si="9">F44</f>
        <v>360000</v>
      </c>
      <c r="H39" s="75">
        <f t="shared" ref="H39" si="10">G44</f>
        <v>495000</v>
      </c>
      <c r="I39" s="75">
        <f t="shared" ref="I39" si="11">H44</f>
        <v>270000</v>
      </c>
      <c r="J39" s="103">
        <f t="shared" ref="J39" si="12">I44</f>
        <v>45000</v>
      </c>
      <c r="K39" s="75">
        <f t="shared" ref="K39" si="13">J44</f>
        <v>0</v>
      </c>
      <c r="L39" s="75">
        <f t="shared" ref="L39" si="14">K44</f>
        <v>0</v>
      </c>
      <c r="M39" s="75">
        <f t="shared" ref="M39" si="15">L44</f>
        <v>0</v>
      </c>
      <c r="N39" s="75">
        <f t="shared" ref="N39" si="16">M44</f>
        <v>0</v>
      </c>
      <c r="O39" s="75">
        <f t="shared" ref="O39" si="17">N44</f>
        <v>0</v>
      </c>
      <c r="P39" s="75">
        <f t="shared" ref="P39" si="18">O44</f>
        <v>0</v>
      </c>
      <c r="Q39" s="75">
        <f t="shared" ref="Q39" si="19">P44</f>
        <v>0</v>
      </c>
      <c r="R39" s="75">
        <f t="shared" ref="R39" si="20">Q44</f>
        <v>0</v>
      </c>
      <c r="S39" s="75">
        <f t="shared" ref="S39" si="21">R44</f>
        <v>0</v>
      </c>
      <c r="T39" s="75">
        <f t="shared" ref="T39" si="22">S44</f>
        <v>0</v>
      </c>
      <c r="U39" s="75">
        <f t="shared" ref="U39" si="23">T44</f>
        <v>0</v>
      </c>
      <c r="V39" s="75">
        <f t="shared" ref="V39" si="24">U44</f>
        <v>0</v>
      </c>
      <c r="W39" s="75">
        <f t="shared" ref="W39" si="25">V44</f>
        <v>0</v>
      </c>
      <c r="X39" s="75">
        <f t="shared" ref="X39" si="26">W44</f>
        <v>0</v>
      </c>
      <c r="Y39" s="75">
        <f t="shared" ref="Y39" si="27">X44</f>
        <v>0</v>
      </c>
      <c r="Z39" s="75">
        <f t="shared" ref="Z39" si="28">Y44</f>
        <v>0</v>
      </c>
      <c r="AA39" s="75">
        <f t="shared" ref="AA39" si="29">Z44</f>
        <v>0</v>
      </c>
      <c r="AB39" s="75">
        <f t="shared" ref="AB39" si="30">AA44</f>
        <v>0</v>
      </c>
      <c r="AC39" s="89"/>
    </row>
    <row r="40" spans="2:29" x14ac:dyDescent="0.25">
      <c r="B40" s="67" t="s">
        <v>84</v>
      </c>
      <c r="C40" s="47"/>
      <c r="D40" s="74">
        <f>($C29+$C30)*D16</f>
        <v>0</v>
      </c>
      <c r="E40" s="74">
        <f t="shared" ref="E40:AB40" si="31">($C29+$C30)*E16</f>
        <v>180000</v>
      </c>
      <c r="F40" s="74">
        <f t="shared" si="31"/>
        <v>270000</v>
      </c>
      <c r="G40" s="74">
        <f t="shared" si="31"/>
        <v>360000</v>
      </c>
      <c r="H40" s="74">
        <f t="shared" si="31"/>
        <v>90000</v>
      </c>
      <c r="I40" s="74">
        <f t="shared" si="31"/>
        <v>0</v>
      </c>
      <c r="J40" s="74">
        <f t="shared" si="31"/>
        <v>0</v>
      </c>
      <c r="K40" s="74">
        <f t="shared" si="31"/>
        <v>0</v>
      </c>
      <c r="L40" s="74">
        <f t="shared" si="31"/>
        <v>0</v>
      </c>
      <c r="M40" s="74">
        <f t="shared" si="31"/>
        <v>0</v>
      </c>
      <c r="N40" s="74">
        <f t="shared" si="31"/>
        <v>0</v>
      </c>
      <c r="O40" s="74">
        <f t="shared" si="31"/>
        <v>0</v>
      </c>
      <c r="P40" s="74">
        <f t="shared" si="31"/>
        <v>0</v>
      </c>
      <c r="Q40" s="74">
        <f t="shared" si="31"/>
        <v>0</v>
      </c>
      <c r="R40" s="74">
        <f t="shared" si="31"/>
        <v>0</v>
      </c>
      <c r="S40" s="74">
        <f t="shared" si="31"/>
        <v>0</v>
      </c>
      <c r="T40" s="74">
        <f t="shared" si="31"/>
        <v>0</v>
      </c>
      <c r="U40" s="74">
        <f t="shared" si="31"/>
        <v>0</v>
      </c>
      <c r="V40" s="74">
        <f t="shared" si="31"/>
        <v>0</v>
      </c>
      <c r="W40" s="74">
        <f t="shared" si="31"/>
        <v>0</v>
      </c>
      <c r="X40" s="74">
        <f t="shared" si="31"/>
        <v>0</v>
      </c>
      <c r="Y40" s="74">
        <f t="shared" si="31"/>
        <v>0</v>
      </c>
      <c r="Z40" s="74">
        <f t="shared" si="31"/>
        <v>0</v>
      </c>
      <c r="AA40" s="74">
        <f t="shared" si="31"/>
        <v>0</v>
      </c>
      <c r="AB40" s="74">
        <f t="shared" si="31"/>
        <v>0</v>
      </c>
      <c r="AC40" s="89">
        <f>SUM(D40:AB40)</f>
        <v>900000</v>
      </c>
    </row>
    <row r="41" spans="2:29" x14ac:dyDescent="0.25">
      <c r="B41" s="47" t="s">
        <v>85</v>
      </c>
      <c r="C41" s="47"/>
      <c r="D41" s="75">
        <f t="shared" ref="D41:AB41" si="32">D39*$D171</f>
        <v>0</v>
      </c>
      <c r="E41" s="75">
        <f t="shared" si="32"/>
        <v>0</v>
      </c>
      <c r="F41" s="75">
        <f t="shared" si="32"/>
        <v>43200</v>
      </c>
      <c r="G41" s="75">
        <f t="shared" si="32"/>
        <v>86400</v>
      </c>
      <c r="H41" s="75">
        <f t="shared" si="32"/>
        <v>118800</v>
      </c>
      <c r="I41" s="75">
        <f t="shared" si="32"/>
        <v>64800</v>
      </c>
      <c r="J41" s="75">
        <f t="shared" si="32"/>
        <v>10800</v>
      </c>
      <c r="K41" s="75">
        <f t="shared" si="32"/>
        <v>0</v>
      </c>
      <c r="L41" s="75">
        <f t="shared" si="32"/>
        <v>0</v>
      </c>
      <c r="M41" s="75">
        <f t="shared" si="32"/>
        <v>0</v>
      </c>
      <c r="N41" s="75">
        <f t="shared" si="32"/>
        <v>0</v>
      </c>
      <c r="O41" s="75">
        <f t="shared" si="32"/>
        <v>0</v>
      </c>
      <c r="P41" s="75">
        <f t="shared" si="32"/>
        <v>0</v>
      </c>
      <c r="Q41" s="75">
        <f t="shared" si="32"/>
        <v>0</v>
      </c>
      <c r="R41" s="75">
        <f t="shared" si="32"/>
        <v>0</v>
      </c>
      <c r="S41" s="75">
        <f t="shared" si="32"/>
        <v>0</v>
      </c>
      <c r="T41" s="75">
        <f t="shared" si="32"/>
        <v>0</v>
      </c>
      <c r="U41" s="75">
        <f t="shared" si="32"/>
        <v>0</v>
      </c>
      <c r="V41" s="75">
        <f t="shared" si="32"/>
        <v>0</v>
      </c>
      <c r="W41" s="75">
        <f t="shared" si="32"/>
        <v>0</v>
      </c>
      <c r="X41" s="75">
        <f t="shared" si="32"/>
        <v>0</v>
      </c>
      <c r="Y41" s="75">
        <f t="shared" si="32"/>
        <v>0</v>
      </c>
      <c r="Z41" s="75">
        <f t="shared" si="32"/>
        <v>0</v>
      </c>
      <c r="AA41" s="75">
        <f t="shared" si="32"/>
        <v>0</v>
      </c>
      <c r="AB41" s="75">
        <f t="shared" si="32"/>
        <v>0</v>
      </c>
      <c r="AC41" s="89">
        <f>SUM(D41:AB41)</f>
        <v>324000</v>
      </c>
    </row>
    <row r="42" spans="2:29" x14ac:dyDescent="0.25">
      <c r="B42" s="47" t="s">
        <v>87</v>
      </c>
      <c r="C42" s="47"/>
      <c r="D42" s="75">
        <v>0</v>
      </c>
      <c r="E42" s="75"/>
      <c r="F42" s="75">
        <f>E40/C27</f>
        <v>90000</v>
      </c>
      <c r="G42" s="75">
        <f>(E40/$C27)+(F40/$C27)</f>
        <v>225000</v>
      </c>
      <c r="H42" s="75">
        <f t="shared" ref="H42:O42" si="33">(F40/$C27)+(G40/$C27)</f>
        <v>315000</v>
      </c>
      <c r="I42" s="75">
        <f t="shared" si="33"/>
        <v>225000</v>
      </c>
      <c r="J42" s="75">
        <f t="shared" si="33"/>
        <v>45000</v>
      </c>
      <c r="K42" s="75">
        <f t="shared" si="33"/>
        <v>0</v>
      </c>
      <c r="L42" s="75">
        <f t="shared" si="33"/>
        <v>0</v>
      </c>
      <c r="M42" s="75">
        <f t="shared" si="33"/>
        <v>0</v>
      </c>
      <c r="N42" s="75">
        <f t="shared" si="33"/>
        <v>0</v>
      </c>
      <c r="O42" s="75">
        <f t="shared" si="33"/>
        <v>0</v>
      </c>
      <c r="P42" s="75">
        <f t="shared" ref="P42" si="34">(N40/$C27)+(O40/$C27)</f>
        <v>0</v>
      </c>
      <c r="Q42" s="75">
        <f t="shared" ref="Q42" si="35">(O40/$C27)+(P40/$C27)</f>
        <v>0</v>
      </c>
      <c r="R42" s="75">
        <f t="shared" ref="R42" si="36">(P40/$C27)+(Q40/$C27)</f>
        <v>0</v>
      </c>
      <c r="S42" s="75">
        <f t="shared" ref="S42" si="37">(Q40/$C27)+(R40/$C27)</f>
        <v>0</v>
      </c>
      <c r="T42" s="75">
        <f t="shared" ref="T42" si="38">(R40/$C27)+(S40/$C27)</f>
        <v>0</v>
      </c>
      <c r="U42" s="75">
        <f t="shared" ref="U42" si="39">(S40/$C27)+(T40/$C27)</f>
        <v>0</v>
      </c>
      <c r="V42" s="75">
        <f t="shared" ref="V42:W42" si="40">(T40/$C27)+(U40/$C27)</f>
        <v>0</v>
      </c>
      <c r="W42" s="75">
        <f t="shared" si="40"/>
        <v>0</v>
      </c>
      <c r="X42" s="75">
        <f t="shared" ref="X42" si="41">(V40/$C27)+(W40/$C27)</f>
        <v>0</v>
      </c>
      <c r="Y42" s="75">
        <f t="shared" ref="Y42" si="42">(W40/$C27)+(X40/$C27)</f>
        <v>0</v>
      </c>
      <c r="Z42" s="75">
        <f t="shared" ref="Z42" si="43">(X40/$C27)+(Y40/$C27)</f>
        <v>0</v>
      </c>
      <c r="AA42" s="75">
        <f t="shared" ref="AA42" si="44">(Y40/$C27)+(Z40/$C27)</f>
        <v>0</v>
      </c>
      <c r="AB42" s="75">
        <f t="shared" ref="AB42" si="45">(Z40/$C27)+(AA40/$C27)</f>
        <v>0</v>
      </c>
      <c r="AC42" s="89">
        <f>SUM(D42:AB42)</f>
        <v>900000</v>
      </c>
    </row>
    <row r="43" spans="2:29" x14ac:dyDescent="0.25">
      <c r="B43" s="47" t="s">
        <v>120</v>
      </c>
      <c r="C43" s="47"/>
      <c r="D43" s="75">
        <f>D41+D42</f>
        <v>0</v>
      </c>
      <c r="E43" s="75">
        <f t="shared" ref="E43:AB43" si="46">E41+E42</f>
        <v>0</v>
      </c>
      <c r="F43" s="75">
        <f t="shared" si="46"/>
        <v>133200</v>
      </c>
      <c r="G43" s="75">
        <f t="shared" si="46"/>
        <v>311400</v>
      </c>
      <c r="H43" s="75">
        <f t="shared" si="46"/>
        <v>433800</v>
      </c>
      <c r="I43" s="75">
        <f t="shared" si="46"/>
        <v>289800</v>
      </c>
      <c r="J43" s="103">
        <f t="shared" si="46"/>
        <v>55800</v>
      </c>
      <c r="K43" s="75">
        <f t="shared" si="46"/>
        <v>0</v>
      </c>
      <c r="L43" s="75">
        <f t="shared" si="46"/>
        <v>0</v>
      </c>
      <c r="M43" s="75">
        <f t="shared" si="46"/>
        <v>0</v>
      </c>
      <c r="N43" s="75">
        <f t="shared" si="46"/>
        <v>0</v>
      </c>
      <c r="O43" s="75">
        <f t="shared" si="46"/>
        <v>0</v>
      </c>
      <c r="P43" s="75">
        <f t="shared" si="46"/>
        <v>0</v>
      </c>
      <c r="Q43" s="75">
        <f t="shared" si="46"/>
        <v>0</v>
      </c>
      <c r="R43" s="75">
        <f t="shared" si="46"/>
        <v>0</v>
      </c>
      <c r="S43" s="75">
        <f t="shared" si="46"/>
        <v>0</v>
      </c>
      <c r="T43" s="75">
        <f t="shared" si="46"/>
        <v>0</v>
      </c>
      <c r="U43" s="75">
        <f t="shared" si="46"/>
        <v>0</v>
      </c>
      <c r="V43" s="75">
        <f t="shared" si="46"/>
        <v>0</v>
      </c>
      <c r="W43" s="75">
        <f t="shared" si="46"/>
        <v>0</v>
      </c>
      <c r="X43" s="75">
        <f t="shared" si="46"/>
        <v>0</v>
      </c>
      <c r="Y43" s="75">
        <f t="shared" si="46"/>
        <v>0</v>
      </c>
      <c r="Z43" s="75">
        <f t="shared" si="46"/>
        <v>0</v>
      </c>
      <c r="AA43" s="75">
        <f t="shared" si="46"/>
        <v>0</v>
      </c>
      <c r="AB43" s="75">
        <f t="shared" si="46"/>
        <v>0</v>
      </c>
      <c r="AC43" s="89">
        <f>SUM(D43:AB43)</f>
        <v>1224000</v>
      </c>
    </row>
    <row r="44" spans="2:29" x14ac:dyDescent="0.25">
      <c r="B44" s="47" t="s">
        <v>86</v>
      </c>
      <c r="C44" s="47"/>
      <c r="D44" s="75">
        <f>D39+D40-D43</f>
        <v>0</v>
      </c>
      <c r="E44" s="75">
        <f>E39+E40-E43+E41</f>
        <v>180000</v>
      </c>
      <c r="F44" s="75">
        <f t="shared" ref="F44:AB44" si="47">F39+F40-F43+F41</f>
        <v>360000</v>
      </c>
      <c r="G44" s="75">
        <f t="shared" si="47"/>
        <v>495000</v>
      </c>
      <c r="H44" s="75">
        <f t="shared" si="47"/>
        <v>270000</v>
      </c>
      <c r="I44" s="75">
        <f t="shared" si="47"/>
        <v>45000</v>
      </c>
      <c r="J44" s="103">
        <f t="shared" si="47"/>
        <v>0</v>
      </c>
      <c r="K44" s="75">
        <f t="shared" si="47"/>
        <v>0</v>
      </c>
      <c r="L44" s="75">
        <f t="shared" si="47"/>
        <v>0</v>
      </c>
      <c r="M44" s="75">
        <f t="shared" si="47"/>
        <v>0</v>
      </c>
      <c r="N44" s="75">
        <f t="shared" si="47"/>
        <v>0</v>
      </c>
      <c r="O44" s="75">
        <f t="shared" si="47"/>
        <v>0</v>
      </c>
      <c r="P44" s="75">
        <f t="shared" si="47"/>
        <v>0</v>
      </c>
      <c r="Q44" s="75">
        <f t="shared" si="47"/>
        <v>0</v>
      </c>
      <c r="R44" s="75">
        <f t="shared" si="47"/>
        <v>0</v>
      </c>
      <c r="S44" s="75">
        <f t="shared" si="47"/>
        <v>0</v>
      </c>
      <c r="T44" s="75">
        <f t="shared" si="47"/>
        <v>0</v>
      </c>
      <c r="U44" s="75">
        <f t="shared" si="47"/>
        <v>0</v>
      </c>
      <c r="V44" s="75">
        <f t="shared" si="47"/>
        <v>0</v>
      </c>
      <c r="W44" s="75">
        <f t="shared" si="47"/>
        <v>0</v>
      </c>
      <c r="X44" s="75">
        <f t="shared" si="47"/>
        <v>0</v>
      </c>
      <c r="Y44" s="75">
        <f t="shared" si="47"/>
        <v>0</v>
      </c>
      <c r="Z44" s="75">
        <f t="shared" si="47"/>
        <v>0</v>
      </c>
      <c r="AA44" s="75">
        <f t="shared" si="47"/>
        <v>0</v>
      </c>
      <c r="AB44" s="75">
        <f t="shared" si="47"/>
        <v>0</v>
      </c>
      <c r="AC44" s="89"/>
    </row>
    <row r="45" spans="2:29" x14ac:dyDescent="0.25">
      <c r="C45" s="71"/>
    </row>
    <row r="46" spans="2:29" x14ac:dyDescent="0.25">
      <c r="B46" s="44"/>
      <c r="C46" s="71"/>
    </row>
    <row r="47" spans="2:29" x14ac:dyDescent="0.25">
      <c r="B47" s="44"/>
      <c r="C47" s="71"/>
    </row>
    <row r="48" spans="2:29" x14ac:dyDescent="0.25">
      <c r="B48" s="99" t="s">
        <v>90</v>
      </c>
      <c r="C48" s="8" t="s">
        <v>19</v>
      </c>
      <c r="D48" s="15">
        <v>0</v>
      </c>
      <c r="E48" s="15">
        <v>1</v>
      </c>
      <c r="F48" s="15">
        <v>2</v>
      </c>
      <c r="G48" s="15">
        <v>3</v>
      </c>
      <c r="H48" s="15">
        <v>4</v>
      </c>
      <c r="I48" s="15">
        <v>5</v>
      </c>
      <c r="J48" s="15">
        <v>6</v>
      </c>
      <c r="K48" s="15">
        <v>7</v>
      </c>
      <c r="L48" s="15">
        <v>8</v>
      </c>
      <c r="M48" s="15">
        <v>9</v>
      </c>
      <c r="N48" s="15">
        <v>10</v>
      </c>
      <c r="O48" s="15">
        <v>11</v>
      </c>
      <c r="P48" s="15">
        <v>12</v>
      </c>
      <c r="Q48" s="15">
        <v>13</v>
      </c>
      <c r="R48" s="15">
        <v>14</v>
      </c>
      <c r="S48" s="15">
        <v>15</v>
      </c>
      <c r="T48" s="15">
        <v>16</v>
      </c>
      <c r="U48" s="15">
        <v>17</v>
      </c>
      <c r="V48" s="15">
        <v>18</v>
      </c>
      <c r="W48" s="15">
        <v>19</v>
      </c>
      <c r="X48" s="15">
        <v>20</v>
      </c>
      <c r="Y48" s="15">
        <v>21</v>
      </c>
      <c r="Z48" s="15">
        <v>22</v>
      </c>
      <c r="AA48" s="15">
        <v>23</v>
      </c>
      <c r="AB48" s="15">
        <v>24</v>
      </c>
      <c r="AC48" t="s">
        <v>109</v>
      </c>
    </row>
    <row r="49" spans="2:29" x14ac:dyDescent="0.25">
      <c r="B49" s="47" t="s">
        <v>83</v>
      </c>
      <c r="C49" s="47"/>
      <c r="D49" s="75"/>
      <c r="E49" s="75">
        <f>D54</f>
        <v>0</v>
      </c>
      <c r="F49" s="75">
        <f t="shared" ref="F49:AB49" si="48">E54</f>
        <v>80000</v>
      </c>
      <c r="G49" s="75">
        <f t="shared" si="48"/>
        <v>160000</v>
      </c>
      <c r="H49" s="75">
        <f t="shared" si="48"/>
        <v>220000</v>
      </c>
      <c r="I49" s="75">
        <f t="shared" si="48"/>
        <v>120000</v>
      </c>
      <c r="J49" s="103">
        <f t="shared" si="48"/>
        <v>20000</v>
      </c>
      <c r="K49" s="75">
        <f t="shared" si="48"/>
        <v>0</v>
      </c>
      <c r="L49" s="75">
        <f t="shared" si="48"/>
        <v>0</v>
      </c>
      <c r="M49" s="75">
        <f t="shared" si="48"/>
        <v>0</v>
      </c>
      <c r="N49" s="75">
        <f t="shared" si="48"/>
        <v>0</v>
      </c>
      <c r="O49" s="75">
        <f t="shared" si="48"/>
        <v>0</v>
      </c>
      <c r="P49" s="75">
        <f t="shared" si="48"/>
        <v>0</v>
      </c>
      <c r="Q49" s="75">
        <f t="shared" si="48"/>
        <v>0</v>
      </c>
      <c r="R49" s="75">
        <f t="shared" si="48"/>
        <v>0</v>
      </c>
      <c r="S49" s="75">
        <f t="shared" si="48"/>
        <v>0</v>
      </c>
      <c r="T49" s="75">
        <f t="shared" si="48"/>
        <v>0</v>
      </c>
      <c r="U49" s="75">
        <f t="shared" si="48"/>
        <v>0</v>
      </c>
      <c r="V49" s="75">
        <f t="shared" si="48"/>
        <v>0</v>
      </c>
      <c r="W49" s="75">
        <f t="shared" si="48"/>
        <v>0</v>
      </c>
      <c r="X49" s="75">
        <f t="shared" si="48"/>
        <v>0</v>
      </c>
      <c r="Y49" s="75">
        <f t="shared" si="48"/>
        <v>0</v>
      </c>
      <c r="Z49" s="75">
        <f t="shared" si="48"/>
        <v>0</v>
      </c>
      <c r="AA49" s="75">
        <f t="shared" si="48"/>
        <v>0</v>
      </c>
      <c r="AB49" s="75">
        <f t="shared" si="48"/>
        <v>0</v>
      </c>
      <c r="AC49" s="89"/>
    </row>
    <row r="50" spans="2:29" x14ac:dyDescent="0.25">
      <c r="B50" s="67" t="s">
        <v>84</v>
      </c>
      <c r="C50" s="47"/>
      <c r="D50" s="74">
        <f t="shared" ref="D50:AB50" si="49">$C29*D16</f>
        <v>0</v>
      </c>
      <c r="E50" s="74">
        <f t="shared" si="49"/>
        <v>80000</v>
      </c>
      <c r="F50" s="74">
        <f t="shared" si="49"/>
        <v>120000</v>
      </c>
      <c r="G50" s="74">
        <f t="shared" si="49"/>
        <v>160000</v>
      </c>
      <c r="H50" s="74">
        <f t="shared" si="49"/>
        <v>40000</v>
      </c>
      <c r="I50" s="74">
        <f t="shared" si="49"/>
        <v>0</v>
      </c>
      <c r="J50" s="74">
        <f t="shared" si="49"/>
        <v>0</v>
      </c>
      <c r="K50" s="74">
        <f t="shared" si="49"/>
        <v>0</v>
      </c>
      <c r="L50" s="74">
        <f t="shared" si="49"/>
        <v>0</v>
      </c>
      <c r="M50" s="74">
        <f t="shared" si="49"/>
        <v>0</v>
      </c>
      <c r="N50" s="74">
        <f t="shared" si="49"/>
        <v>0</v>
      </c>
      <c r="O50" s="74">
        <f t="shared" si="49"/>
        <v>0</v>
      </c>
      <c r="P50" s="74">
        <f t="shared" si="49"/>
        <v>0</v>
      </c>
      <c r="Q50" s="74">
        <f t="shared" si="49"/>
        <v>0</v>
      </c>
      <c r="R50" s="74">
        <f t="shared" si="49"/>
        <v>0</v>
      </c>
      <c r="S50" s="74">
        <f t="shared" si="49"/>
        <v>0</v>
      </c>
      <c r="T50" s="74">
        <f t="shared" si="49"/>
        <v>0</v>
      </c>
      <c r="U50" s="74">
        <f t="shared" si="49"/>
        <v>0</v>
      </c>
      <c r="V50" s="74">
        <f t="shared" si="49"/>
        <v>0</v>
      </c>
      <c r="W50" s="74">
        <f t="shared" si="49"/>
        <v>0</v>
      </c>
      <c r="X50" s="74">
        <f t="shared" si="49"/>
        <v>0</v>
      </c>
      <c r="Y50" s="74">
        <f t="shared" si="49"/>
        <v>0</v>
      </c>
      <c r="Z50" s="74">
        <f t="shared" si="49"/>
        <v>0</v>
      </c>
      <c r="AA50" s="74">
        <f t="shared" si="49"/>
        <v>0</v>
      </c>
      <c r="AB50" s="74">
        <f t="shared" si="49"/>
        <v>0</v>
      </c>
      <c r="AC50" s="89">
        <f>SUM(D50:AB50)</f>
        <v>400000</v>
      </c>
    </row>
    <row r="51" spans="2:29" x14ac:dyDescent="0.25">
      <c r="B51" s="47" t="s">
        <v>85</v>
      </c>
      <c r="C51" s="47"/>
      <c r="D51" s="75">
        <v>0</v>
      </c>
      <c r="E51" s="75">
        <f t="shared" ref="E51:AB51" si="50">E49*$D171</f>
        <v>0</v>
      </c>
      <c r="F51" s="75">
        <f t="shared" si="50"/>
        <v>19200</v>
      </c>
      <c r="G51" s="75">
        <f t="shared" si="50"/>
        <v>38400</v>
      </c>
      <c r="H51" s="75">
        <f t="shared" si="50"/>
        <v>52800</v>
      </c>
      <c r="I51" s="75">
        <f t="shared" si="50"/>
        <v>28800</v>
      </c>
      <c r="J51" s="103">
        <f t="shared" si="50"/>
        <v>4800</v>
      </c>
      <c r="K51" s="75">
        <f t="shared" si="50"/>
        <v>0</v>
      </c>
      <c r="L51" s="75">
        <f t="shared" si="50"/>
        <v>0</v>
      </c>
      <c r="M51" s="75">
        <f t="shared" si="50"/>
        <v>0</v>
      </c>
      <c r="N51" s="75">
        <f t="shared" si="50"/>
        <v>0</v>
      </c>
      <c r="O51" s="75">
        <f t="shared" si="50"/>
        <v>0</v>
      </c>
      <c r="P51" s="75">
        <f t="shared" si="50"/>
        <v>0</v>
      </c>
      <c r="Q51" s="75">
        <f t="shared" si="50"/>
        <v>0</v>
      </c>
      <c r="R51" s="75">
        <f t="shared" si="50"/>
        <v>0</v>
      </c>
      <c r="S51" s="75">
        <f t="shared" si="50"/>
        <v>0</v>
      </c>
      <c r="T51" s="75">
        <f t="shared" si="50"/>
        <v>0</v>
      </c>
      <c r="U51" s="75">
        <f t="shared" si="50"/>
        <v>0</v>
      </c>
      <c r="V51" s="75">
        <f t="shared" si="50"/>
        <v>0</v>
      </c>
      <c r="W51" s="75">
        <f t="shared" si="50"/>
        <v>0</v>
      </c>
      <c r="X51" s="75">
        <f t="shared" si="50"/>
        <v>0</v>
      </c>
      <c r="Y51" s="75">
        <f t="shared" si="50"/>
        <v>0</v>
      </c>
      <c r="Z51" s="75">
        <f t="shared" si="50"/>
        <v>0</v>
      </c>
      <c r="AA51" s="75">
        <f t="shared" si="50"/>
        <v>0</v>
      </c>
      <c r="AB51" s="75">
        <f t="shared" si="50"/>
        <v>0</v>
      </c>
      <c r="AC51" s="89">
        <f>SUM(D51:AB51)</f>
        <v>144000</v>
      </c>
    </row>
    <row r="52" spans="2:29" x14ac:dyDescent="0.25">
      <c r="B52" s="47" t="s">
        <v>87</v>
      </c>
      <c r="C52" s="47"/>
      <c r="D52" s="75">
        <v>0</v>
      </c>
      <c r="E52" s="75"/>
      <c r="F52" s="75">
        <f>E50/C27</f>
        <v>40000</v>
      </c>
      <c r="G52" s="75">
        <f t="shared" ref="G52:AB52" si="51">(E50/$C27)+(F50/$C27)</f>
        <v>100000</v>
      </c>
      <c r="H52" s="75">
        <f t="shared" si="51"/>
        <v>140000</v>
      </c>
      <c r="I52" s="75">
        <f t="shared" si="51"/>
        <v>100000</v>
      </c>
      <c r="J52" s="103">
        <f t="shared" si="51"/>
        <v>20000</v>
      </c>
      <c r="K52" s="75">
        <f t="shared" si="51"/>
        <v>0</v>
      </c>
      <c r="L52" s="75">
        <f t="shared" si="51"/>
        <v>0</v>
      </c>
      <c r="M52" s="75">
        <f t="shared" si="51"/>
        <v>0</v>
      </c>
      <c r="N52" s="75">
        <f t="shared" si="51"/>
        <v>0</v>
      </c>
      <c r="O52" s="75">
        <f t="shared" si="51"/>
        <v>0</v>
      </c>
      <c r="P52" s="75">
        <f t="shared" si="51"/>
        <v>0</v>
      </c>
      <c r="Q52" s="75">
        <f t="shared" si="51"/>
        <v>0</v>
      </c>
      <c r="R52" s="75">
        <f t="shared" si="51"/>
        <v>0</v>
      </c>
      <c r="S52" s="75">
        <f t="shared" si="51"/>
        <v>0</v>
      </c>
      <c r="T52" s="75">
        <f t="shared" si="51"/>
        <v>0</v>
      </c>
      <c r="U52" s="75">
        <f t="shared" si="51"/>
        <v>0</v>
      </c>
      <c r="V52" s="75">
        <f t="shared" si="51"/>
        <v>0</v>
      </c>
      <c r="W52" s="75">
        <f t="shared" si="51"/>
        <v>0</v>
      </c>
      <c r="X52" s="75">
        <f t="shared" si="51"/>
        <v>0</v>
      </c>
      <c r="Y52" s="75">
        <f t="shared" si="51"/>
        <v>0</v>
      </c>
      <c r="Z52" s="75">
        <f t="shared" si="51"/>
        <v>0</v>
      </c>
      <c r="AA52" s="75">
        <f t="shared" si="51"/>
        <v>0</v>
      </c>
      <c r="AB52" s="75">
        <f t="shared" si="51"/>
        <v>0</v>
      </c>
      <c r="AC52" s="89">
        <f>SUM(D52:AB52)</f>
        <v>400000</v>
      </c>
    </row>
    <row r="53" spans="2:29" x14ac:dyDescent="0.25">
      <c r="B53" s="47" t="s">
        <v>120</v>
      </c>
      <c r="C53" s="47"/>
      <c r="D53" s="75">
        <f>D51+D52</f>
        <v>0</v>
      </c>
      <c r="E53" s="75">
        <f t="shared" ref="E53:AB53" si="52">E51+E52</f>
        <v>0</v>
      </c>
      <c r="F53" s="75">
        <f t="shared" si="52"/>
        <v>59200</v>
      </c>
      <c r="G53" s="75">
        <f t="shared" si="52"/>
        <v>138400</v>
      </c>
      <c r="H53" s="75">
        <f t="shared" si="52"/>
        <v>192800</v>
      </c>
      <c r="I53" s="75">
        <f t="shared" si="52"/>
        <v>128800</v>
      </c>
      <c r="J53" s="103">
        <f t="shared" si="52"/>
        <v>24800</v>
      </c>
      <c r="K53" s="75">
        <f t="shared" si="52"/>
        <v>0</v>
      </c>
      <c r="L53" s="75">
        <f t="shared" si="52"/>
        <v>0</v>
      </c>
      <c r="M53" s="75">
        <f t="shared" si="52"/>
        <v>0</v>
      </c>
      <c r="N53" s="75">
        <f t="shared" si="52"/>
        <v>0</v>
      </c>
      <c r="O53" s="75">
        <f t="shared" si="52"/>
        <v>0</v>
      </c>
      <c r="P53" s="75">
        <f t="shared" si="52"/>
        <v>0</v>
      </c>
      <c r="Q53" s="75">
        <f t="shared" si="52"/>
        <v>0</v>
      </c>
      <c r="R53" s="75">
        <f t="shared" si="52"/>
        <v>0</v>
      </c>
      <c r="S53" s="75">
        <f t="shared" si="52"/>
        <v>0</v>
      </c>
      <c r="T53" s="75">
        <f t="shared" si="52"/>
        <v>0</v>
      </c>
      <c r="U53" s="75">
        <f t="shared" si="52"/>
        <v>0</v>
      </c>
      <c r="V53" s="75">
        <f t="shared" si="52"/>
        <v>0</v>
      </c>
      <c r="W53" s="75">
        <f t="shared" si="52"/>
        <v>0</v>
      </c>
      <c r="X53" s="75">
        <f t="shared" si="52"/>
        <v>0</v>
      </c>
      <c r="Y53" s="75">
        <f t="shared" si="52"/>
        <v>0</v>
      </c>
      <c r="Z53" s="75">
        <f t="shared" si="52"/>
        <v>0</v>
      </c>
      <c r="AA53" s="75">
        <f t="shared" si="52"/>
        <v>0</v>
      </c>
      <c r="AB53" s="75">
        <f t="shared" si="52"/>
        <v>0</v>
      </c>
      <c r="AC53" s="89">
        <f>SUM(D53:AB53)</f>
        <v>544000</v>
      </c>
    </row>
    <row r="54" spans="2:29" x14ac:dyDescent="0.25">
      <c r="B54" s="47" t="s">
        <v>86</v>
      </c>
      <c r="C54" s="47"/>
      <c r="D54" s="75">
        <f>D49+D50-D53</f>
        <v>0</v>
      </c>
      <c r="E54" s="75">
        <f>E49+E50-E53+E51</f>
        <v>80000</v>
      </c>
      <c r="F54" s="75">
        <f t="shared" ref="F54:AB54" si="53">F49+F50-F53+F51</f>
        <v>160000</v>
      </c>
      <c r="G54" s="75">
        <f t="shared" si="53"/>
        <v>220000</v>
      </c>
      <c r="H54" s="75">
        <f t="shared" si="53"/>
        <v>120000</v>
      </c>
      <c r="I54" s="75">
        <f t="shared" si="53"/>
        <v>20000</v>
      </c>
      <c r="J54" s="103">
        <f t="shared" si="53"/>
        <v>0</v>
      </c>
      <c r="K54" s="75">
        <f t="shared" si="53"/>
        <v>0</v>
      </c>
      <c r="L54" s="75">
        <f t="shared" si="53"/>
        <v>0</v>
      </c>
      <c r="M54" s="75">
        <f t="shared" si="53"/>
        <v>0</v>
      </c>
      <c r="N54" s="75">
        <f t="shared" si="53"/>
        <v>0</v>
      </c>
      <c r="O54" s="75">
        <f t="shared" si="53"/>
        <v>0</v>
      </c>
      <c r="P54" s="75">
        <f t="shared" si="53"/>
        <v>0</v>
      </c>
      <c r="Q54" s="75">
        <f t="shared" si="53"/>
        <v>0</v>
      </c>
      <c r="R54" s="75">
        <f t="shared" si="53"/>
        <v>0</v>
      </c>
      <c r="S54" s="75">
        <f t="shared" si="53"/>
        <v>0</v>
      </c>
      <c r="T54" s="75">
        <f t="shared" si="53"/>
        <v>0</v>
      </c>
      <c r="U54" s="75">
        <f t="shared" si="53"/>
        <v>0</v>
      </c>
      <c r="V54" s="75">
        <f t="shared" si="53"/>
        <v>0</v>
      </c>
      <c r="W54" s="75">
        <f t="shared" si="53"/>
        <v>0</v>
      </c>
      <c r="X54" s="75">
        <f t="shared" si="53"/>
        <v>0</v>
      </c>
      <c r="Y54" s="75">
        <f t="shared" si="53"/>
        <v>0</v>
      </c>
      <c r="Z54" s="75">
        <f t="shared" si="53"/>
        <v>0</v>
      </c>
      <c r="AA54" s="75">
        <f t="shared" si="53"/>
        <v>0</v>
      </c>
      <c r="AB54" s="75">
        <f t="shared" si="53"/>
        <v>0</v>
      </c>
      <c r="AC54" s="89"/>
    </row>
    <row r="55" spans="2:29" x14ac:dyDescent="0.25">
      <c r="C55" s="72"/>
      <c r="D55" s="73"/>
      <c r="E55" s="73"/>
      <c r="F55" s="73"/>
      <c r="G55" s="73"/>
      <c r="H55" s="73"/>
      <c r="I55" s="73"/>
      <c r="J55" s="73"/>
      <c r="K55" s="73"/>
      <c r="L55" s="73"/>
      <c r="M55" s="73"/>
      <c r="N55" s="73"/>
      <c r="O55" s="73"/>
      <c r="P55" s="73"/>
      <c r="Q55" s="73"/>
      <c r="R55" s="73"/>
      <c r="S55" s="73"/>
      <c r="T55" s="73"/>
      <c r="U55" s="73"/>
      <c r="V55" s="73"/>
      <c r="W55" s="73"/>
    </row>
    <row r="56" spans="2:29" hidden="1" x14ac:dyDescent="0.25">
      <c r="B56" s="44" t="s">
        <v>88</v>
      </c>
      <c r="C56" s="71"/>
      <c r="T56" s="73"/>
      <c r="U56" s="73"/>
      <c r="V56" s="73"/>
      <c r="W56" s="73"/>
    </row>
    <row r="57" spans="2:29" hidden="1" x14ac:dyDescent="0.25">
      <c r="B57" s="44"/>
      <c r="C57" s="71"/>
      <c r="T57" s="73"/>
      <c r="U57" s="73"/>
      <c r="V57" s="73"/>
      <c r="W57" s="73"/>
    </row>
    <row r="58" spans="2:29" hidden="1" x14ac:dyDescent="0.25">
      <c r="B58" s="99" t="s">
        <v>90</v>
      </c>
      <c r="C58" s="8" t="s">
        <v>19</v>
      </c>
      <c r="D58" s="15">
        <v>0</v>
      </c>
      <c r="E58" s="15">
        <v>1</v>
      </c>
      <c r="F58" s="15">
        <v>2</v>
      </c>
      <c r="G58" s="15">
        <v>3</v>
      </c>
      <c r="H58" s="15">
        <v>4</v>
      </c>
      <c r="I58" s="15">
        <v>5</v>
      </c>
      <c r="J58" s="15">
        <v>6</v>
      </c>
      <c r="K58" s="15">
        <v>7</v>
      </c>
      <c r="L58" s="15">
        <v>8</v>
      </c>
      <c r="M58" s="15">
        <v>9</v>
      </c>
      <c r="N58" s="15">
        <v>10</v>
      </c>
      <c r="O58" s="15">
        <v>11</v>
      </c>
      <c r="P58" s="15">
        <v>12</v>
      </c>
      <c r="Q58" s="15">
        <v>13</v>
      </c>
      <c r="R58" s="15">
        <v>14</v>
      </c>
      <c r="S58" s="15">
        <v>15</v>
      </c>
      <c r="T58" s="15">
        <v>16</v>
      </c>
      <c r="U58" s="15">
        <v>17</v>
      </c>
      <c r="V58" s="15">
        <v>18</v>
      </c>
      <c r="W58" s="15">
        <v>19</v>
      </c>
      <c r="X58" s="15">
        <v>20</v>
      </c>
      <c r="Y58" s="15">
        <v>21</v>
      </c>
      <c r="Z58" s="15">
        <v>22</v>
      </c>
      <c r="AA58" s="15">
        <v>23</v>
      </c>
      <c r="AB58" s="15">
        <v>24</v>
      </c>
    </row>
    <row r="59" spans="2:29" hidden="1" x14ac:dyDescent="0.25">
      <c r="B59" s="47" t="s">
        <v>83</v>
      </c>
      <c r="C59" s="47"/>
      <c r="D59" s="75"/>
      <c r="E59" s="75">
        <f>D64</f>
        <v>0</v>
      </c>
      <c r="F59" s="75">
        <f t="shared" ref="F59:AB59" si="54">E64</f>
        <v>80000</v>
      </c>
      <c r="G59" s="75">
        <f t="shared" si="54"/>
        <v>160000</v>
      </c>
      <c r="H59" s="75">
        <f t="shared" si="54"/>
        <v>220000</v>
      </c>
      <c r="I59" s="75">
        <f t="shared" si="54"/>
        <v>120000</v>
      </c>
      <c r="J59" s="103">
        <f t="shared" si="54"/>
        <v>20000</v>
      </c>
      <c r="K59" s="75">
        <f t="shared" si="54"/>
        <v>0</v>
      </c>
      <c r="L59" s="75">
        <f t="shared" si="54"/>
        <v>0</v>
      </c>
      <c r="M59" s="75">
        <f t="shared" si="54"/>
        <v>0</v>
      </c>
      <c r="N59" s="75">
        <f t="shared" si="54"/>
        <v>0</v>
      </c>
      <c r="O59" s="75">
        <f t="shared" si="54"/>
        <v>0</v>
      </c>
      <c r="P59" s="75">
        <f t="shared" si="54"/>
        <v>0</v>
      </c>
      <c r="Q59" s="75">
        <f t="shared" si="54"/>
        <v>0</v>
      </c>
      <c r="R59" s="75">
        <f t="shared" si="54"/>
        <v>0</v>
      </c>
      <c r="S59" s="75">
        <f t="shared" si="54"/>
        <v>0</v>
      </c>
      <c r="T59" s="75">
        <f t="shared" si="54"/>
        <v>0</v>
      </c>
      <c r="U59" s="75">
        <f t="shared" si="54"/>
        <v>0</v>
      </c>
      <c r="V59" s="75">
        <f t="shared" si="54"/>
        <v>0</v>
      </c>
      <c r="W59" s="75">
        <f t="shared" si="54"/>
        <v>0</v>
      </c>
      <c r="X59" s="75">
        <f t="shared" si="54"/>
        <v>0</v>
      </c>
      <c r="Y59" s="75">
        <f t="shared" si="54"/>
        <v>0</v>
      </c>
      <c r="Z59" s="75">
        <f t="shared" si="54"/>
        <v>0</v>
      </c>
      <c r="AA59" s="75">
        <f t="shared" si="54"/>
        <v>0</v>
      </c>
      <c r="AB59" s="75">
        <f t="shared" si="54"/>
        <v>0</v>
      </c>
      <c r="AC59" s="89"/>
    </row>
    <row r="60" spans="2:29" hidden="1" x14ac:dyDescent="0.25">
      <c r="B60" s="67" t="s">
        <v>84</v>
      </c>
      <c r="C60" s="47"/>
      <c r="D60" s="74">
        <f t="shared" ref="D60:AB60" si="55">$C29*D6</f>
        <v>0</v>
      </c>
      <c r="E60" s="74">
        <f t="shared" si="55"/>
        <v>80000</v>
      </c>
      <c r="F60" s="74">
        <f t="shared" si="55"/>
        <v>120000</v>
      </c>
      <c r="G60" s="74">
        <f t="shared" si="55"/>
        <v>160000</v>
      </c>
      <c r="H60" s="74">
        <f t="shared" si="55"/>
        <v>40000</v>
      </c>
      <c r="I60" s="74">
        <f t="shared" si="55"/>
        <v>0</v>
      </c>
      <c r="J60" s="74">
        <f t="shared" si="55"/>
        <v>0</v>
      </c>
      <c r="K60" s="74">
        <f t="shared" si="55"/>
        <v>0</v>
      </c>
      <c r="L60" s="74">
        <f t="shared" si="55"/>
        <v>0</v>
      </c>
      <c r="M60" s="74">
        <f t="shared" si="55"/>
        <v>0</v>
      </c>
      <c r="N60" s="74">
        <f t="shared" si="55"/>
        <v>0</v>
      </c>
      <c r="O60" s="74">
        <f t="shared" si="55"/>
        <v>0</v>
      </c>
      <c r="P60" s="74">
        <f t="shared" si="55"/>
        <v>0</v>
      </c>
      <c r="Q60" s="74">
        <f t="shared" si="55"/>
        <v>0</v>
      </c>
      <c r="R60" s="74">
        <f t="shared" si="55"/>
        <v>0</v>
      </c>
      <c r="S60" s="74">
        <f t="shared" si="55"/>
        <v>0</v>
      </c>
      <c r="T60" s="74">
        <f t="shared" si="55"/>
        <v>0</v>
      </c>
      <c r="U60" s="74">
        <f t="shared" si="55"/>
        <v>0</v>
      </c>
      <c r="V60" s="74">
        <f t="shared" si="55"/>
        <v>0</v>
      </c>
      <c r="W60" s="74">
        <f t="shared" si="55"/>
        <v>0</v>
      </c>
      <c r="X60" s="74">
        <f t="shared" si="55"/>
        <v>0</v>
      </c>
      <c r="Y60" s="74">
        <f t="shared" si="55"/>
        <v>0</v>
      </c>
      <c r="Z60" s="74">
        <f t="shared" si="55"/>
        <v>0</v>
      </c>
      <c r="AA60" s="74">
        <f t="shared" si="55"/>
        <v>0</v>
      </c>
      <c r="AB60" s="74">
        <f t="shared" si="55"/>
        <v>0</v>
      </c>
      <c r="AC60" s="89">
        <f>SUM(D60:AB60)</f>
        <v>400000</v>
      </c>
    </row>
    <row r="61" spans="2:29" hidden="1" x14ac:dyDescent="0.25">
      <c r="B61" s="47" t="s">
        <v>85</v>
      </c>
      <c r="C61" s="47"/>
      <c r="D61" s="75">
        <v>0</v>
      </c>
      <c r="E61" s="75">
        <f t="shared" ref="E61:AB61" si="56">E59*$D171</f>
        <v>0</v>
      </c>
      <c r="F61" s="75">
        <f t="shared" si="56"/>
        <v>19200</v>
      </c>
      <c r="G61" s="75">
        <f t="shared" si="56"/>
        <v>38400</v>
      </c>
      <c r="H61" s="75">
        <f t="shared" si="56"/>
        <v>52800</v>
      </c>
      <c r="I61" s="75">
        <f t="shared" si="56"/>
        <v>28800</v>
      </c>
      <c r="J61" s="75">
        <f t="shared" si="56"/>
        <v>4800</v>
      </c>
      <c r="K61" s="75">
        <f t="shared" si="56"/>
        <v>0</v>
      </c>
      <c r="L61" s="75">
        <f t="shared" si="56"/>
        <v>0</v>
      </c>
      <c r="M61" s="75">
        <f t="shared" si="56"/>
        <v>0</v>
      </c>
      <c r="N61" s="75">
        <f t="shared" si="56"/>
        <v>0</v>
      </c>
      <c r="O61" s="75">
        <f t="shared" si="56"/>
        <v>0</v>
      </c>
      <c r="P61" s="75">
        <f t="shared" si="56"/>
        <v>0</v>
      </c>
      <c r="Q61" s="75">
        <f t="shared" si="56"/>
        <v>0</v>
      </c>
      <c r="R61" s="75">
        <f t="shared" si="56"/>
        <v>0</v>
      </c>
      <c r="S61" s="75">
        <f t="shared" si="56"/>
        <v>0</v>
      </c>
      <c r="T61" s="75">
        <f t="shared" si="56"/>
        <v>0</v>
      </c>
      <c r="U61" s="75">
        <f t="shared" si="56"/>
        <v>0</v>
      </c>
      <c r="V61" s="75">
        <f t="shared" si="56"/>
        <v>0</v>
      </c>
      <c r="W61" s="75">
        <f t="shared" si="56"/>
        <v>0</v>
      </c>
      <c r="X61" s="75">
        <f t="shared" si="56"/>
        <v>0</v>
      </c>
      <c r="Y61" s="75">
        <f t="shared" si="56"/>
        <v>0</v>
      </c>
      <c r="Z61" s="75">
        <f t="shared" si="56"/>
        <v>0</v>
      </c>
      <c r="AA61" s="75">
        <f t="shared" si="56"/>
        <v>0</v>
      </c>
      <c r="AB61" s="75">
        <f t="shared" si="56"/>
        <v>0</v>
      </c>
      <c r="AC61" s="89">
        <f>SUM(D61:AB61)</f>
        <v>144000</v>
      </c>
    </row>
    <row r="62" spans="2:29" hidden="1" x14ac:dyDescent="0.25">
      <c r="B62" s="47" t="s">
        <v>87</v>
      </c>
      <c r="C62" s="47"/>
      <c r="D62" s="75">
        <f>D52</f>
        <v>0</v>
      </c>
      <c r="E62" s="75">
        <f t="shared" ref="E62:AB62" si="57">E52</f>
        <v>0</v>
      </c>
      <c r="F62" s="75">
        <f t="shared" si="57"/>
        <v>40000</v>
      </c>
      <c r="G62" s="75">
        <f t="shared" si="57"/>
        <v>100000</v>
      </c>
      <c r="H62" s="75">
        <f t="shared" si="57"/>
        <v>140000</v>
      </c>
      <c r="I62" s="75">
        <f t="shared" si="57"/>
        <v>100000</v>
      </c>
      <c r="J62" s="75">
        <f t="shared" si="57"/>
        <v>20000</v>
      </c>
      <c r="K62" s="75">
        <f t="shared" si="57"/>
        <v>0</v>
      </c>
      <c r="L62" s="75">
        <f t="shared" si="57"/>
        <v>0</v>
      </c>
      <c r="M62" s="75">
        <f t="shared" si="57"/>
        <v>0</v>
      </c>
      <c r="N62" s="75">
        <f t="shared" si="57"/>
        <v>0</v>
      </c>
      <c r="O62" s="75">
        <f t="shared" si="57"/>
        <v>0</v>
      </c>
      <c r="P62" s="75">
        <f t="shared" si="57"/>
        <v>0</v>
      </c>
      <c r="Q62" s="75">
        <f t="shared" si="57"/>
        <v>0</v>
      </c>
      <c r="R62" s="75">
        <f t="shared" si="57"/>
        <v>0</v>
      </c>
      <c r="S62" s="75">
        <f t="shared" si="57"/>
        <v>0</v>
      </c>
      <c r="T62" s="75">
        <f t="shared" si="57"/>
        <v>0</v>
      </c>
      <c r="U62" s="75">
        <f t="shared" si="57"/>
        <v>0</v>
      </c>
      <c r="V62" s="75">
        <f t="shared" si="57"/>
        <v>0</v>
      </c>
      <c r="W62" s="75">
        <f t="shared" si="57"/>
        <v>0</v>
      </c>
      <c r="X62" s="75">
        <f t="shared" si="57"/>
        <v>0</v>
      </c>
      <c r="Y62" s="75">
        <f t="shared" si="57"/>
        <v>0</v>
      </c>
      <c r="Z62" s="75">
        <f t="shared" si="57"/>
        <v>0</v>
      </c>
      <c r="AA62" s="75">
        <f t="shared" si="57"/>
        <v>0</v>
      </c>
      <c r="AB62" s="75">
        <f t="shared" si="57"/>
        <v>0</v>
      </c>
      <c r="AC62" s="89">
        <f>SUM(D62:AB62)</f>
        <v>400000</v>
      </c>
    </row>
    <row r="63" spans="2:29" hidden="1" x14ac:dyDescent="0.25">
      <c r="B63" s="47" t="s">
        <v>120</v>
      </c>
      <c r="C63" s="47"/>
      <c r="D63" s="75">
        <f>D61+D62</f>
        <v>0</v>
      </c>
      <c r="E63" s="75">
        <f t="shared" ref="E63" si="58">E61+E62</f>
        <v>0</v>
      </c>
      <c r="F63" s="75">
        <f t="shared" ref="F63" si="59">F61+F62</f>
        <v>59200</v>
      </c>
      <c r="G63" s="75">
        <f t="shared" ref="G63" si="60">G61+G62</f>
        <v>138400</v>
      </c>
      <c r="H63" s="75">
        <f t="shared" ref="H63" si="61">H61+H62</f>
        <v>192800</v>
      </c>
      <c r="I63" s="75">
        <f t="shared" ref="I63" si="62">I61+I62</f>
        <v>128800</v>
      </c>
      <c r="J63" s="103">
        <f t="shared" ref="J63" si="63">J61+J62</f>
        <v>24800</v>
      </c>
      <c r="K63" s="75">
        <f t="shared" ref="K63" si="64">K61+K62</f>
        <v>0</v>
      </c>
      <c r="L63" s="75">
        <f t="shared" ref="L63" si="65">L61+L62</f>
        <v>0</v>
      </c>
      <c r="M63" s="75">
        <f t="shared" ref="M63" si="66">M61+M62</f>
        <v>0</v>
      </c>
      <c r="N63" s="75">
        <f t="shared" ref="N63" si="67">N61+N62</f>
        <v>0</v>
      </c>
      <c r="O63" s="75">
        <f t="shared" ref="O63" si="68">O61+O62</f>
        <v>0</v>
      </c>
      <c r="P63" s="75">
        <f t="shared" ref="P63" si="69">P61+P62</f>
        <v>0</v>
      </c>
      <c r="Q63" s="75">
        <f t="shared" ref="Q63" si="70">Q61+Q62</f>
        <v>0</v>
      </c>
      <c r="R63" s="75">
        <f t="shared" ref="R63" si="71">R61+R62</f>
        <v>0</v>
      </c>
      <c r="S63" s="75">
        <f t="shared" ref="S63" si="72">S61+S62</f>
        <v>0</v>
      </c>
      <c r="T63" s="75">
        <f t="shared" ref="T63" si="73">T61+T62</f>
        <v>0</v>
      </c>
      <c r="U63" s="75">
        <f t="shared" ref="U63" si="74">U61+U62</f>
        <v>0</v>
      </c>
      <c r="V63" s="75">
        <f t="shared" ref="V63" si="75">V61+V62</f>
        <v>0</v>
      </c>
      <c r="W63" s="75">
        <f t="shared" ref="W63" si="76">W61+W62</f>
        <v>0</v>
      </c>
      <c r="X63" s="75">
        <f t="shared" ref="X63" si="77">X61+X62</f>
        <v>0</v>
      </c>
      <c r="Y63" s="75">
        <f t="shared" ref="Y63" si="78">Y61+Y62</f>
        <v>0</v>
      </c>
      <c r="Z63" s="75">
        <f t="shared" ref="Z63" si="79">Z61+Z62</f>
        <v>0</v>
      </c>
      <c r="AA63" s="75">
        <f t="shared" ref="AA63" si="80">AA61+AA62</f>
        <v>0</v>
      </c>
      <c r="AB63" s="75">
        <f t="shared" ref="AB63" si="81">AB61+AB62</f>
        <v>0</v>
      </c>
      <c r="AC63" s="89">
        <f>SUM(D63:AB63)</f>
        <v>544000</v>
      </c>
    </row>
    <row r="64" spans="2:29" hidden="1" x14ac:dyDescent="0.25">
      <c r="B64" s="47" t="s">
        <v>86</v>
      </c>
      <c r="C64" s="47"/>
      <c r="D64" s="75">
        <f>D59+D60-D63</f>
        <v>0</v>
      </c>
      <c r="E64" s="75">
        <f>E59+E60-E63+E61</f>
        <v>80000</v>
      </c>
      <c r="F64" s="75">
        <f t="shared" ref="F64" si="82">F59+F60-F63+F61</f>
        <v>160000</v>
      </c>
      <c r="G64" s="75">
        <f t="shared" ref="G64" si="83">G59+G60-G63+G61</f>
        <v>220000</v>
      </c>
      <c r="H64" s="75">
        <f t="shared" ref="H64" si="84">H59+H60-H63+H61</f>
        <v>120000</v>
      </c>
      <c r="I64" s="75">
        <f t="shared" ref="I64" si="85">I59+I60-I63+I61</f>
        <v>20000</v>
      </c>
      <c r="J64" s="103">
        <f t="shared" ref="J64" si="86">J59+J60-J63+J61</f>
        <v>0</v>
      </c>
      <c r="K64" s="75">
        <f t="shared" ref="K64" si="87">K59+K60-K63+K61</f>
        <v>0</v>
      </c>
      <c r="L64" s="75">
        <f t="shared" ref="L64" si="88">L59+L60-L63+L61</f>
        <v>0</v>
      </c>
      <c r="M64" s="75">
        <f t="shared" ref="M64" si="89">M59+M60-M63+M61</f>
        <v>0</v>
      </c>
      <c r="N64" s="75">
        <f t="shared" ref="N64" si="90">N59+N60-N63+N61</f>
        <v>0</v>
      </c>
      <c r="O64" s="75">
        <f t="shared" ref="O64" si="91">O59+O60-O63+O61</f>
        <v>0</v>
      </c>
      <c r="P64" s="75">
        <f t="shared" ref="P64" si="92">P59+P60-P63+P61</f>
        <v>0</v>
      </c>
      <c r="Q64" s="75">
        <f t="shared" ref="Q64" si="93">Q59+Q60-Q63+Q61</f>
        <v>0</v>
      </c>
      <c r="R64" s="75">
        <f t="shared" ref="R64" si="94">R59+R60-R63+R61</f>
        <v>0</v>
      </c>
      <c r="S64" s="75">
        <f t="shared" ref="S64" si="95">S59+S60-S63+S61</f>
        <v>0</v>
      </c>
      <c r="T64" s="75">
        <f t="shared" ref="T64" si="96">T59+T60-T63+T61</f>
        <v>0</v>
      </c>
      <c r="U64" s="75">
        <f t="shared" ref="U64" si="97">U59+U60-U63+U61</f>
        <v>0</v>
      </c>
      <c r="V64" s="75">
        <f t="shared" ref="V64" si="98">V59+V60-V63+V61</f>
        <v>0</v>
      </c>
      <c r="W64" s="75">
        <f t="shared" ref="W64" si="99">W59+W60-W63+W61</f>
        <v>0</v>
      </c>
      <c r="X64" s="75">
        <f t="shared" ref="X64" si="100">X59+X60-X63+X61</f>
        <v>0</v>
      </c>
      <c r="Y64" s="75">
        <f t="shared" ref="Y64" si="101">Y59+Y60-Y63+Y61</f>
        <v>0</v>
      </c>
      <c r="Z64" s="75">
        <f t="shared" ref="Z64" si="102">Z59+Z60-Z63+Z61</f>
        <v>0</v>
      </c>
      <c r="AA64" s="75">
        <f t="shared" ref="AA64" si="103">AA59+AA60-AA63+AA61</f>
        <v>0</v>
      </c>
      <c r="AB64" s="75">
        <f t="shared" ref="AB64" si="104">AB59+AB60-AB63+AB61</f>
        <v>0</v>
      </c>
      <c r="AC64" s="89"/>
    </row>
    <row r="65" spans="1:29" hidden="1" x14ac:dyDescent="0.25">
      <c r="B65" s="99"/>
      <c r="C65" s="8"/>
      <c r="D65" s="15"/>
      <c r="E65" s="15"/>
      <c r="F65" s="15"/>
      <c r="G65" s="15"/>
      <c r="H65" s="15"/>
      <c r="I65" s="15"/>
      <c r="J65" s="15"/>
      <c r="K65" s="15"/>
      <c r="L65" s="15"/>
      <c r="M65" s="15"/>
      <c r="N65" s="15"/>
      <c r="O65" s="15"/>
      <c r="P65" s="15"/>
      <c r="Q65" s="15"/>
      <c r="R65" s="15"/>
      <c r="S65" s="15"/>
      <c r="T65" s="15"/>
      <c r="U65" s="15"/>
      <c r="V65" s="15"/>
      <c r="W65" s="15"/>
      <c r="X65" s="15"/>
      <c r="Y65" s="15"/>
      <c r="Z65" s="15"/>
      <c r="AA65" s="15"/>
      <c r="AB65" s="15"/>
    </row>
    <row r="66" spans="1:29" hidden="1" x14ac:dyDescent="0.25">
      <c r="B66" s="44" t="s">
        <v>89</v>
      </c>
      <c r="C66" s="71"/>
      <c r="T66" s="73"/>
      <c r="U66" s="73"/>
      <c r="V66" s="73"/>
      <c r="W66" s="73"/>
    </row>
    <row r="67" spans="1:29" hidden="1" x14ac:dyDescent="0.25">
      <c r="B67" s="99" t="s">
        <v>90</v>
      </c>
      <c r="C67" s="71"/>
      <c r="T67" s="73"/>
      <c r="U67" s="73"/>
      <c r="V67" s="73"/>
      <c r="W67" s="73"/>
    </row>
    <row r="68" spans="1:29" hidden="1" x14ac:dyDescent="0.25">
      <c r="B68" s="47" t="s">
        <v>83</v>
      </c>
      <c r="C68" s="47"/>
      <c r="D68" s="75"/>
      <c r="E68" s="75">
        <f>D73</f>
        <v>0</v>
      </c>
      <c r="F68" s="75">
        <f t="shared" ref="F68:AB68" si="105">E73</f>
        <v>80000</v>
      </c>
      <c r="G68" s="75">
        <f t="shared" si="105"/>
        <v>160000</v>
      </c>
      <c r="H68" s="75">
        <f t="shared" si="105"/>
        <v>220000</v>
      </c>
      <c r="I68" s="75">
        <f t="shared" si="105"/>
        <v>120000</v>
      </c>
      <c r="J68" s="103">
        <f t="shared" si="105"/>
        <v>20000</v>
      </c>
      <c r="K68" s="75">
        <f t="shared" si="105"/>
        <v>0</v>
      </c>
      <c r="L68" s="75">
        <f t="shared" si="105"/>
        <v>0</v>
      </c>
      <c r="M68" s="75">
        <f t="shared" si="105"/>
        <v>0</v>
      </c>
      <c r="N68" s="75">
        <f t="shared" si="105"/>
        <v>0</v>
      </c>
      <c r="O68" s="75">
        <f t="shared" si="105"/>
        <v>0</v>
      </c>
      <c r="P68" s="75">
        <f t="shared" si="105"/>
        <v>0</v>
      </c>
      <c r="Q68" s="75">
        <f t="shared" si="105"/>
        <v>0</v>
      </c>
      <c r="R68" s="75">
        <f t="shared" si="105"/>
        <v>0</v>
      </c>
      <c r="S68" s="75">
        <f t="shared" si="105"/>
        <v>0</v>
      </c>
      <c r="T68" s="75">
        <f t="shared" si="105"/>
        <v>0</v>
      </c>
      <c r="U68" s="75">
        <f t="shared" si="105"/>
        <v>0</v>
      </c>
      <c r="V68" s="75">
        <f t="shared" si="105"/>
        <v>0</v>
      </c>
      <c r="W68" s="75">
        <f t="shared" si="105"/>
        <v>0</v>
      </c>
      <c r="X68" s="75">
        <f t="shared" si="105"/>
        <v>0</v>
      </c>
      <c r="Y68" s="75">
        <f t="shared" si="105"/>
        <v>0</v>
      </c>
      <c r="Z68" s="75">
        <f t="shared" si="105"/>
        <v>0</v>
      </c>
      <c r="AA68" s="75">
        <f t="shared" si="105"/>
        <v>0</v>
      </c>
      <c r="AB68" s="75">
        <f t="shared" si="105"/>
        <v>0</v>
      </c>
      <c r="AC68" s="89"/>
    </row>
    <row r="69" spans="1:29" hidden="1" x14ac:dyDescent="0.25">
      <c r="B69" s="67" t="s">
        <v>84</v>
      </c>
      <c r="C69" s="47"/>
      <c r="D69" s="74">
        <f>$C60*D47</f>
        <v>0</v>
      </c>
      <c r="E69" s="74">
        <f t="shared" ref="E69:AB69" si="106">$C29*E6</f>
        <v>80000</v>
      </c>
      <c r="F69" s="74">
        <f t="shared" si="106"/>
        <v>120000</v>
      </c>
      <c r="G69" s="74">
        <f t="shared" si="106"/>
        <v>160000</v>
      </c>
      <c r="H69" s="74">
        <f t="shared" si="106"/>
        <v>40000</v>
      </c>
      <c r="I69" s="74">
        <f t="shared" si="106"/>
        <v>0</v>
      </c>
      <c r="J69" s="74">
        <f t="shared" si="106"/>
        <v>0</v>
      </c>
      <c r="K69" s="74">
        <f t="shared" si="106"/>
        <v>0</v>
      </c>
      <c r="L69" s="74">
        <f t="shared" si="106"/>
        <v>0</v>
      </c>
      <c r="M69" s="74">
        <f t="shared" si="106"/>
        <v>0</v>
      </c>
      <c r="N69" s="74">
        <f t="shared" si="106"/>
        <v>0</v>
      </c>
      <c r="O69" s="74">
        <f t="shared" si="106"/>
        <v>0</v>
      </c>
      <c r="P69" s="74">
        <f t="shared" si="106"/>
        <v>0</v>
      </c>
      <c r="Q69" s="74">
        <f t="shared" si="106"/>
        <v>0</v>
      </c>
      <c r="R69" s="74">
        <f t="shared" si="106"/>
        <v>0</v>
      </c>
      <c r="S69" s="74">
        <f t="shared" si="106"/>
        <v>0</v>
      </c>
      <c r="T69" s="74">
        <f t="shared" si="106"/>
        <v>0</v>
      </c>
      <c r="U69" s="74">
        <f t="shared" si="106"/>
        <v>0</v>
      </c>
      <c r="V69" s="74">
        <f t="shared" si="106"/>
        <v>0</v>
      </c>
      <c r="W69" s="74">
        <f t="shared" si="106"/>
        <v>0</v>
      </c>
      <c r="X69" s="74">
        <f t="shared" si="106"/>
        <v>0</v>
      </c>
      <c r="Y69" s="74">
        <f t="shared" si="106"/>
        <v>0</v>
      </c>
      <c r="Z69" s="74">
        <f t="shared" si="106"/>
        <v>0</v>
      </c>
      <c r="AA69" s="74">
        <f t="shared" si="106"/>
        <v>0</v>
      </c>
      <c r="AB69" s="74">
        <f t="shared" si="106"/>
        <v>0</v>
      </c>
      <c r="AC69" s="89">
        <f>SUM(D69:AB69)</f>
        <v>400000</v>
      </c>
    </row>
    <row r="70" spans="1:29" hidden="1" x14ac:dyDescent="0.25">
      <c r="B70" s="47" t="s">
        <v>85</v>
      </c>
      <c r="C70" s="47"/>
      <c r="D70" s="75">
        <v>0</v>
      </c>
      <c r="E70" s="75">
        <f t="shared" ref="E70:AB70" si="107">E68*$D171</f>
        <v>0</v>
      </c>
      <c r="F70" s="75">
        <f t="shared" si="107"/>
        <v>19200</v>
      </c>
      <c r="G70" s="75">
        <f t="shared" si="107"/>
        <v>38400</v>
      </c>
      <c r="H70" s="75">
        <f t="shared" si="107"/>
        <v>52800</v>
      </c>
      <c r="I70" s="75">
        <f t="shared" si="107"/>
        <v>28800</v>
      </c>
      <c r="J70" s="75">
        <f t="shared" si="107"/>
        <v>4800</v>
      </c>
      <c r="K70" s="75">
        <f t="shared" si="107"/>
        <v>0</v>
      </c>
      <c r="L70" s="75">
        <f t="shared" si="107"/>
        <v>0</v>
      </c>
      <c r="M70" s="75">
        <f t="shared" si="107"/>
        <v>0</v>
      </c>
      <c r="N70" s="75">
        <f t="shared" si="107"/>
        <v>0</v>
      </c>
      <c r="O70" s="75">
        <f t="shared" si="107"/>
        <v>0</v>
      </c>
      <c r="P70" s="75">
        <f t="shared" si="107"/>
        <v>0</v>
      </c>
      <c r="Q70" s="75">
        <f t="shared" si="107"/>
        <v>0</v>
      </c>
      <c r="R70" s="75">
        <f t="shared" si="107"/>
        <v>0</v>
      </c>
      <c r="S70" s="75">
        <f t="shared" si="107"/>
        <v>0</v>
      </c>
      <c r="T70" s="75">
        <f t="shared" si="107"/>
        <v>0</v>
      </c>
      <c r="U70" s="75">
        <f t="shared" si="107"/>
        <v>0</v>
      </c>
      <c r="V70" s="75">
        <f t="shared" si="107"/>
        <v>0</v>
      </c>
      <c r="W70" s="75">
        <f t="shared" si="107"/>
        <v>0</v>
      </c>
      <c r="X70" s="75">
        <f t="shared" si="107"/>
        <v>0</v>
      </c>
      <c r="Y70" s="75">
        <f t="shared" si="107"/>
        <v>0</v>
      </c>
      <c r="Z70" s="75">
        <f t="shared" si="107"/>
        <v>0</v>
      </c>
      <c r="AA70" s="75">
        <f t="shared" si="107"/>
        <v>0</v>
      </c>
      <c r="AB70" s="75">
        <f t="shared" si="107"/>
        <v>0</v>
      </c>
      <c r="AC70" s="89">
        <f>SUM(D70:AB70)</f>
        <v>144000</v>
      </c>
    </row>
    <row r="71" spans="1:29" hidden="1" x14ac:dyDescent="0.25">
      <c r="B71" s="47" t="s">
        <v>87</v>
      </c>
      <c r="C71" s="47"/>
      <c r="D71" s="75">
        <v>0</v>
      </c>
      <c r="E71" s="75">
        <f>E62</f>
        <v>0</v>
      </c>
      <c r="F71" s="75">
        <f t="shared" ref="F71:AB71" si="108">F62</f>
        <v>40000</v>
      </c>
      <c r="G71" s="75">
        <f t="shared" si="108"/>
        <v>100000</v>
      </c>
      <c r="H71" s="75">
        <f t="shared" si="108"/>
        <v>140000</v>
      </c>
      <c r="I71" s="75">
        <f t="shared" si="108"/>
        <v>100000</v>
      </c>
      <c r="J71" s="75">
        <f t="shared" si="108"/>
        <v>20000</v>
      </c>
      <c r="K71" s="75">
        <f t="shared" si="108"/>
        <v>0</v>
      </c>
      <c r="L71" s="75">
        <f t="shared" si="108"/>
        <v>0</v>
      </c>
      <c r="M71" s="75">
        <f t="shared" si="108"/>
        <v>0</v>
      </c>
      <c r="N71" s="75">
        <f t="shared" si="108"/>
        <v>0</v>
      </c>
      <c r="O71" s="75">
        <f t="shared" si="108"/>
        <v>0</v>
      </c>
      <c r="P71" s="75">
        <f t="shared" si="108"/>
        <v>0</v>
      </c>
      <c r="Q71" s="75">
        <f t="shared" si="108"/>
        <v>0</v>
      </c>
      <c r="R71" s="75">
        <f t="shared" si="108"/>
        <v>0</v>
      </c>
      <c r="S71" s="75">
        <f t="shared" si="108"/>
        <v>0</v>
      </c>
      <c r="T71" s="75">
        <f t="shared" si="108"/>
        <v>0</v>
      </c>
      <c r="U71" s="75">
        <f t="shared" si="108"/>
        <v>0</v>
      </c>
      <c r="V71" s="75">
        <f t="shared" si="108"/>
        <v>0</v>
      </c>
      <c r="W71" s="75">
        <f t="shared" si="108"/>
        <v>0</v>
      </c>
      <c r="X71" s="75">
        <f t="shared" si="108"/>
        <v>0</v>
      </c>
      <c r="Y71" s="75">
        <f t="shared" si="108"/>
        <v>0</v>
      </c>
      <c r="Z71" s="75">
        <f t="shared" si="108"/>
        <v>0</v>
      </c>
      <c r="AA71" s="75">
        <f t="shared" si="108"/>
        <v>0</v>
      </c>
      <c r="AB71" s="75">
        <f t="shared" si="108"/>
        <v>0</v>
      </c>
      <c r="AC71" s="89">
        <f>SUM(D71:AB71)</f>
        <v>400000</v>
      </c>
    </row>
    <row r="72" spans="1:29" hidden="1" x14ac:dyDescent="0.25">
      <c r="B72" s="47" t="s">
        <v>120</v>
      </c>
      <c r="C72" s="47"/>
      <c r="D72" s="75">
        <f>D70+D71</f>
        <v>0</v>
      </c>
      <c r="E72" s="75">
        <f t="shared" ref="E72" si="109">E70+E71</f>
        <v>0</v>
      </c>
      <c r="F72" s="75">
        <f t="shared" ref="F72" si="110">F70+F71</f>
        <v>59200</v>
      </c>
      <c r="G72" s="75">
        <f t="shared" ref="G72" si="111">G70+G71</f>
        <v>138400</v>
      </c>
      <c r="H72" s="75">
        <f t="shared" ref="H72" si="112">H70+H71</f>
        <v>192800</v>
      </c>
      <c r="I72" s="75">
        <f t="shared" ref="I72" si="113">I70+I71</f>
        <v>128800</v>
      </c>
      <c r="J72" s="103">
        <f t="shared" ref="J72" si="114">J70+J71</f>
        <v>24800</v>
      </c>
      <c r="K72" s="75">
        <f t="shared" ref="K72" si="115">K70+K71</f>
        <v>0</v>
      </c>
      <c r="L72" s="75">
        <f t="shared" ref="L72" si="116">L70+L71</f>
        <v>0</v>
      </c>
      <c r="M72" s="75">
        <f t="shared" ref="M72" si="117">M70+M71</f>
        <v>0</v>
      </c>
      <c r="N72" s="75">
        <f t="shared" ref="N72" si="118">N70+N71</f>
        <v>0</v>
      </c>
      <c r="O72" s="75">
        <f t="shared" ref="O72" si="119">O70+O71</f>
        <v>0</v>
      </c>
      <c r="P72" s="75">
        <f t="shared" ref="P72" si="120">P70+P71</f>
        <v>0</v>
      </c>
      <c r="Q72" s="75">
        <f t="shared" ref="Q72" si="121">Q70+Q71</f>
        <v>0</v>
      </c>
      <c r="R72" s="75">
        <f t="shared" ref="R72" si="122">R70+R71</f>
        <v>0</v>
      </c>
      <c r="S72" s="75">
        <f t="shared" ref="S72" si="123">S70+S71</f>
        <v>0</v>
      </c>
      <c r="T72" s="75">
        <f t="shared" ref="T72" si="124">T70+T71</f>
        <v>0</v>
      </c>
      <c r="U72" s="75">
        <f t="shared" ref="U72" si="125">U70+U71</f>
        <v>0</v>
      </c>
      <c r="V72" s="75">
        <f t="shared" ref="V72" si="126">V70+V71</f>
        <v>0</v>
      </c>
      <c r="W72" s="75">
        <f t="shared" ref="W72" si="127">W70+W71</f>
        <v>0</v>
      </c>
      <c r="X72" s="75">
        <f t="shared" ref="X72" si="128">X70+X71</f>
        <v>0</v>
      </c>
      <c r="Y72" s="75">
        <f t="shared" ref="Y72" si="129">Y70+Y71</f>
        <v>0</v>
      </c>
      <c r="Z72" s="75">
        <f t="shared" ref="Z72" si="130">Z70+Z71</f>
        <v>0</v>
      </c>
      <c r="AA72" s="75">
        <f t="shared" ref="AA72" si="131">AA70+AA71</f>
        <v>0</v>
      </c>
      <c r="AB72" s="75">
        <f t="shared" ref="AB72" si="132">AB70+AB71</f>
        <v>0</v>
      </c>
      <c r="AC72" s="89">
        <f>SUM(D72:AB72)</f>
        <v>544000</v>
      </c>
    </row>
    <row r="73" spans="1:29" hidden="1" x14ac:dyDescent="0.25">
      <c r="B73" s="47" t="s">
        <v>86</v>
      </c>
      <c r="C73" s="47"/>
      <c r="D73" s="75">
        <f>D68+D69-D72</f>
        <v>0</v>
      </c>
      <c r="E73" s="75">
        <f>E68+E69-E72+E70</f>
        <v>80000</v>
      </c>
      <c r="F73" s="75">
        <f t="shared" ref="F73" si="133">F68+F69-F72+F70</f>
        <v>160000</v>
      </c>
      <c r="G73" s="75">
        <f t="shared" ref="G73" si="134">G68+G69-G72+G70</f>
        <v>220000</v>
      </c>
      <c r="H73" s="75">
        <f t="shared" ref="H73" si="135">H68+H69-H72+H70</f>
        <v>120000</v>
      </c>
      <c r="I73" s="75">
        <f t="shared" ref="I73" si="136">I68+I69-I72+I70</f>
        <v>20000</v>
      </c>
      <c r="J73" s="103">
        <f t="shared" ref="J73" si="137">J68+J69-J72+J70</f>
        <v>0</v>
      </c>
      <c r="K73" s="75">
        <f t="shared" ref="K73" si="138">K68+K69-K72+K70</f>
        <v>0</v>
      </c>
      <c r="L73" s="75">
        <f t="shared" ref="L73" si="139">L68+L69-L72+L70</f>
        <v>0</v>
      </c>
      <c r="M73" s="75">
        <f t="shared" ref="M73" si="140">M68+M69-M72+M70</f>
        <v>0</v>
      </c>
      <c r="N73" s="75">
        <f t="shared" ref="N73" si="141">N68+N69-N72+N70</f>
        <v>0</v>
      </c>
      <c r="O73" s="75">
        <f t="shared" ref="O73" si="142">O68+O69-O72+O70</f>
        <v>0</v>
      </c>
      <c r="P73" s="75">
        <f t="shared" ref="P73" si="143">P68+P69-P72+P70</f>
        <v>0</v>
      </c>
      <c r="Q73" s="75">
        <f t="shared" ref="Q73" si="144">Q68+Q69-Q72+Q70</f>
        <v>0</v>
      </c>
      <c r="R73" s="75">
        <f t="shared" ref="R73" si="145">R68+R69-R72+R70</f>
        <v>0</v>
      </c>
      <c r="S73" s="75">
        <f t="shared" ref="S73" si="146">S68+S69-S72+S70</f>
        <v>0</v>
      </c>
      <c r="T73" s="75">
        <f t="shared" ref="T73" si="147">T68+T69-T72+T70</f>
        <v>0</v>
      </c>
      <c r="U73" s="75">
        <f t="shared" ref="U73" si="148">U68+U69-U72+U70</f>
        <v>0</v>
      </c>
      <c r="V73" s="75">
        <f t="shared" ref="V73" si="149">V68+V69-V72+V70</f>
        <v>0</v>
      </c>
      <c r="W73" s="75">
        <f t="shared" ref="W73" si="150">W68+W69-W72+W70</f>
        <v>0</v>
      </c>
      <c r="X73" s="75">
        <f t="shared" ref="X73" si="151">X68+X69-X72+X70</f>
        <v>0</v>
      </c>
      <c r="Y73" s="75">
        <f t="shared" ref="Y73" si="152">Y68+Y69-Y72+Y70</f>
        <v>0</v>
      </c>
      <c r="Z73" s="75">
        <f t="shared" ref="Z73" si="153">Z68+Z69-Z72+Z70</f>
        <v>0</v>
      </c>
      <c r="AA73" s="75">
        <f t="shared" ref="AA73" si="154">AA68+AA69-AA72+AA70</f>
        <v>0</v>
      </c>
      <c r="AB73" s="75">
        <f t="shared" ref="AB73" si="155">AB68+AB69-AB72+AB70</f>
        <v>0</v>
      </c>
      <c r="AC73" s="89"/>
    </row>
    <row r="74" spans="1:29" x14ac:dyDescent="0.25">
      <c r="B74" s="44"/>
      <c r="C74" s="71"/>
      <c r="T74" s="73"/>
      <c r="U74" s="73"/>
      <c r="V74" s="73"/>
      <c r="W74" s="73"/>
    </row>
    <row r="75" spans="1:29" x14ac:dyDescent="0.25">
      <c r="D75" s="73"/>
      <c r="E75" s="73"/>
      <c r="F75" s="73"/>
      <c r="G75" s="73"/>
      <c r="H75" s="73"/>
      <c r="I75" s="73"/>
      <c r="J75" s="73"/>
      <c r="K75" s="73"/>
      <c r="L75" s="73"/>
      <c r="M75" s="73"/>
      <c r="N75" s="73"/>
      <c r="O75" s="73"/>
      <c r="P75" s="73"/>
      <c r="Q75" s="73"/>
      <c r="R75" s="73"/>
      <c r="S75" s="73"/>
      <c r="T75" s="73"/>
      <c r="U75" s="73"/>
      <c r="V75" s="73"/>
      <c r="W75" s="73"/>
    </row>
    <row r="76" spans="1:29" x14ac:dyDescent="0.25">
      <c r="A76" s="63">
        <v>4</v>
      </c>
      <c r="B76" s="44" t="s">
        <v>331</v>
      </c>
      <c r="C76" s="97">
        <v>0.06</v>
      </c>
      <c r="D76" s="73"/>
      <c r="E76" s="73"/>
      <c r="F76" s="73"/>
      <c r="G76" s="73"/>
      <c r="H76" s="73"/>
      <c r="I76" s="73"/>
      <c r="J76" s="73"/>
      <c r="K76" s="73"/>
      <c r="L76" s="73"/>
      <c r="M76" s="73"/>
      <c r="N76" s="73"/>
      <c r="O76" s="73"/>
      <c r="P76" s="73"/>
      <c r="Q76" s="73"/>
      <c r="R76" s="73"/>
      <c r="S76" s="73"/>
      <c r="T76" s="73"/>
      <c r="U76" s="73"/>
      <c r="V76" s="73"/>
      <c r="W76" s="73"/>
    </row>
    <row r="77" spans="1:29" x14ac:dyDescent="0.25">
      <c r="A77" s="91"/>
      <c r="C77" s="71"/>
      <c r="D77" s="73"/>
      <c r="E77" s="73"/>
      <c r="F77" s="73"/>
      <c r="G77" s="73"/>
      <c r="H77" s="73"/>
      <c r="I77" s="73"/>
      <c r="J77" s="73"/>
      <c r="K77" s="73"/>
      <c r="L77" s="73"/>
      <c r="M77" s="73"/>
      <c r="N77" s="73"/>
      <c r="O77" s="73"/>
      <c r="P77" s="73"/>
      <c r="Q77" s="73"/>
      <c r="R77" s="73"/>
      <c r="S77" s="73"/>
      <c r="T77" s="73"/>
      <c r="U77" s="73"/>
      <c r="V77" s="73"/>
      <c r="W77" s="73"/>
    </row>
    <row r="78" spans="1:29" x14ac:dyDescent="0.25">
      <c r="A78" s="63">
        <v>5</v>
      </c>
      <c r="B78" s="44" t="s">
        <v>123</v>
      </c>
      <c r="C78" s="71"/>
      <c r="D78" s="73"/>
      <c r="E78" s="73"/>
      <c r="F78" s="73"/>
      <c r="G78" s="73"/>
      <c r="H78" s="73"/>
      <c r="I78" s="73"/>
      <c r="J78" s="73"/>
      <c r="K78" s="73"/>
      <c r="L78" s="73"/>
      <c r="M78" s="73"/>
      <c r="N78" s="73"/>
      <c r="O78" s="73"/>
      <c r="P78" s="73"/>
      <c r="Q78" s="73"/>
      <c r="R78" s="73"/>
      <c r="S78" s="73"/>
      <c r="T78" s="73"/>
      <c r="U78" s="73"/>
      <c r="V78" s="73"/>
      <c r="W78" s="73"/>
    </row>
    <row r="79" spans="1:29" ht="28.15" customHeight="1" x14ac:dyDescent="0.25">
      <c r="B79" t="s">
        <v>124</v>
      </c>
      <c r="C79" s="498" t="s">
        <v>128</v>
      </c>
      <c r="D79" s="498"/>
      <c r="E79" s="498"/>
      <c r="F79" s="498"/>
      <c r="G79" s="73"/>
      <c r="H79" s="73"/>
      <c r="I79" s="73"/>
      <c r="J79" s="73"/>
      <c r="K79" s="73"/>
      <c r="L79" s="73"/>
      <c r="M79" s="73"/>
      <c r="N79" s="73"/>
      <c r="O79" s="73"/>
      <c r="P79" s="73"/>
      <c r="Q79" s="73"/>
      <c r="R79" s="73"/>
      <c r="S79" s="73"/>
      <c r="T79" s="73"/>
      <c r="U79" s="73"/>
      <c r="V79" s="73"/>
      <c r="W79" s="73"/>
    </row>
    <row r="80" spans="1:29" x14ac:dyDescent="0.25">
      <c r="B80" s="65"/>
      <c r="C80" s="16" t="s">
        <v>19</v>
      </c>
      <c r="D80" s="16">
        <v>1</v>
      </c>
      <c r="E80" s="16">
        <v>2</v>
      </c>
      <c r="F80" s="16">
        <v>3</v>
      </c>
      <c r="G80" s="73"/>
      <c r="H80" s="73"/>
      <c r="I80" s="73"/>
      <c r="J80" s="73"/>
      <c r="K80" s="73"/>
      <c r="L80" s="73"/>
      <c r="M80" s="73"/>
      <c r="N80" s="73"/>
      <c r="O80" s="73"/>
      <c r="P80" s="73"/>
      <c r="Q80" s="73"/>
      <c r="R80" s="73"/>
      <c r="S80" s="73"/>
      <c r="T80" s="73"/>
      <c r="U80" s="73"/>
      <c r="V80" s="73"/>
      <c r="W80" s="73"/>
    </row>
    <row r="81" spans="2:30" x14ac:dyDescent="0.25">
      <c r="B81" t="s">
        <v>80</v>
      </c>
      <c r="C81" s="63"/>
      <c r="D81" s="98">
        <v>0</v>
      </c>
      <c r="E81" s="98">
        <v>0</v>
      </c>
      <c r="F81" s="98">
        <v>1</v>
      </c>
      <c r="G81" s="73"/>
      <c r="H81" s="73"/>
      <c r="I81" s="73"/>
      <c r="J81" s="73"/>
      <c r="K81" s="73"/>
      <c r="L81" s="73"/>
      <c r="M81" s="73"/>
      <c r="N81" s="73"/>
      <c r="O81" s="73"/>
      <c r="P81" s="73"/>
      <c r="Q81" s="73"/>
      <c r="R81" s="73"/>
      <c r="S81" s="73"/>
      <c r="T81" s="73"/>
      <c r="U81" s="73"/>
      <c r="V81" s="73"/>
      <c r="W81" s="73"/>
    </row>
    <row r="82" spans="2:30" x14ac:dyDescent="0.25">
      <c r="B82" t="s">
        <v>82</v>
      </c>
      <c r="C82" s="63"/>
      <c r="D82" s="97">
        <v>0</v>
      </c>
      <c r="E82" s="97">
        <v>0</v>
      </c>
      <c r="F82" s="97">
        <v>0.5</v>
      </c>
      <c r="G82" s="73"/>
      <c r="H82" s="73"/>
      <c r="I82" s="73"/>
      <c r="J82" s="73"/>
      <c r="K82" s="73"/>
      <c r="L82" s="73"/>
      <c r="M82" s="73"/>
      <c r="N82" s="73"/>
      <c r="O82" s="73"/>
      <c r="P82" s="73"/>
      <c r="Q82" s="73"/>
      <c r="R82" s="73"/>
      <c r="S82" s="73"/>
      <c r="T82" s="73"/>
      <c r="U82" s="73"/>
      <c r="V82" s="73"/>
      <c r="W82" s="73"/>
    </row>
    <row r="83" spans="2:30" x14ac:dyDescent="0.25">
      <c r="C83" s="91"/>
      <c r="D83" s="71"/>
      <c r="E83" s="71"/>
      <c r="F83" s="71"/>
      <c r="G83" s="73"/>
      <c r="H83" s="73"/>
      <c r="I83" s="73"/>
      <c r="J83" s="73"/>
      <c r="K83" s="73"/>
      <c r="L83" s="73"/>
      <c r="M83" s="73"/>
      <c r="N83" s="73"/>
      <c r="O83" s="73"/>
      <c r="P83" s="73"/>
      <c r="Q83" s="73"/>
      <c r="R83" s="73"/>
      <c r="S83" s="73"/>
      <c r="T83" s="73"/>
      <c r="U83" s="73"/>
      <c r="V83" s="73"/>
      <c r="W83" s="73"/>
    </row>
    <row r="85" spans="2:30" x14ac:dyDescent="0.25">
      <c r="B85" s="65"/>
      <c r="C85" s="16" t="s">
        <v>19</v>
      </c>
      <c r="D85" s="16">
        <v>0</v>
      </c>
      <c r="E85" s="16">
        <v>1</v>
      </c>
      <c r="F85" s="16">
        <v>2</v>
      </c>
      <c r="G85" s="16">
        <v>3</v>
      </c>
      <c r="H85" s="16">
        <v>4</v>
      </c>
      <c r="I85" s="16">
        <v>5</v>
      </c>
      <c r="J85" s="16">
        <v>6</v>
      </c>
      <c r="K85" s="16">
        <v>7</v>
      </c>
      <c r="L85" s="16">
        <v>8</v>
      </c>
      <c r="M85" s="16">
        <v>9</v>
      </c>
      <c r="N85" s="16">
        <v>10</v>
      </c>
      <c r="O85" s="16">
        <v>11</v>
      </c>
      <c r="P85" s="16">
        <v>12</v>
      </c>
      <c r="Q85" s="16">
        <v>13</v>
      </c>
      <c r="R85" s="16">
        <v>14</v>
      </c>
      <c r="S85" s="16">
        <v>15</v>
      </c>
      <c r="T85" s="16">
        <v>16</v>
      </c>
      <c r="U85" s="16">
        <v>17</v>
      </c>
      <c r="V85" s="16">
        <v>18</v>
      </c>
      <c r="W85" s="16">
        <v>19</v>
      </c>
      <c r="X85" s="16">
        <v>20</v>
      </c>
      <c r="Y85" s="16">
        <v>21</v>
      </c>
      <c r="Z85" s="16">
        <v>22</v>
      </c>
      <c r="AA85" s="16">
        <v>23</v>
      </c>
      <c r="AB85" s="16">
        <v>24</v>
      </c>
    </row>
    <row r="86" spans="2:30" x14ac:dyDescent="0.25">
      <c r="B86" t="s">
        <v>80</v>
      </c>
      <c r="C86" s="63"/>
      <c r="D86" s="63"/>
      <c r="E86" s="63">
        <f>D81</f>
        <v>0</v>
      </c>
      <c r="F86" s="63">
        <f>E81</f>
        <v>0</v>
      </c>
      <c r="G86" s="63">
        <f>F81</f>
        <v>1</v>
      </c>
      <c r="H86" s="63">
        <f>D81</f>
        <v>0</v>
      </c>
      <c r="I86" s="63">
        <f t="shared" ref="I86:J86" si="156">E81</f>
        <v>0</v>
      </c>
      <c r="J86" s="63">
        <f t="shared" si="156"/>
        <v>1</v>
      </c>
      <c r="K86" s="63">
        <f>D81</f>
        <v>0</v>
      </c>
      <c r="L86" s="63">
        <f t="shared" ref="L86:M86" si="157">E81</f>
        <v>0</v>
      </c>
      <c r="M86" s="63">
        <f t="shared" si="157"/>
        <v>1</v>
      </c>
      <c r="N86" s="63">
        <f>D81</f>
        <v>0</v>
      </c>
      <c r="O86" s="63">
        <f t="shared" ref="O86:P86" si="158">E81</f>
        <v>0</v>
      </c>
      <c r="P86" s="63">
        <f t="shared" si="158"/>
        <v>1</v>
      </c>
      <c r="Q86" s="63">
        <f>D81</f>
        <v>0</v>
      </c>
      <c r="R86" s="63">
        <f t="shared" ref="R86:S86" si="159">E81</f>
        <v>0</v>
      </c>
      <c r="S86" s="63">
        <f t="shared" si="159"/>
        <v>1</v>
      </c>
      <c r="T86" s="63">
        <f>D81</f>
        <v>0</v>
      </c>
      <c r="U86" s="63">
        <f t="shared" ref="U86:V86" si="160">E81</f>
        <v>0</v>
      </c>
      <c r="V86" s="63">
        <f t="shared" si="160"/>
        <v>1</v>
      </c>
      <c r="W86" s="63">
        <f>D81</f>
        <v>0</v>
      </c>
      <c r="X86" s="63">
        <f t="shared" ref="X86:Y86" si="161">E81</f>
        <v>0</v>
      </c>
      <c r="Y86" s="63">
        <f t="shared" si="161"/>
        <v>1</v>
      </c>
      <c r="Z86" s="63">
        <f>D81</f>
        <v>0</v>
      </c>
      <c r="AA86" s="63">
        <f t="shared" ref="AA86:AB86" si="162">E81</f>
        <v>0</v>
      </c>
      <c r="AB86" s="63">
        <f t="shared" si="162"/>
        <v>1</v>
      </c>
    </row>
    <row r="87" spans="2:30" x14ac:dyDescent="0.25">
      <c r="B87" t="s">
        <v>82</v>
      </c>
      <c r="C87" s="63"/>
      <c r="D87" s="68"/>
      <c r="E87" s="58">
        <f>$D82</f>
        <v>0</v>
      </c>
      <c r="F87" s="106">
        <f>$E82</f>
        <v>0</v>
      </c>
      <c r="G87" s="106">
        <f>$F82</f>
        <v>0.5</v>
      </c>
      <c r="H87" s="58">
        <f>$D82</f>
        <v>0</v>
      </c>
      <c r="I87" s="106">
        <f>$E82</f>
        <v>0</v>
      </c>
      <c r="J87" s="106">
        <f>$F82</f>
        <v>0.5</v>
      </c>
      <c r="K87" s="58">
        <f>$D82</f>
        <v>0</v>
      </c>
      <c r="L87" s="106">
        <f>$E82</f>
        <v>0</v>
      </c>
      <c r="M87" s="106">
        <f>$F82</f>
        <v>0.5</v>
      </c>
      <c r="N87" s="58">
        <f>$D82</f>
        <v>0</v>
      </c>
      <c r="O87" s="106">
        <f>$E82</f>
        <v>0</v>
      </c>
      <c r="P87" s="106">
        <f>$F82</f>
        <v>0.5</v>
      </c>
      <c r="Q87" s="58">
        <f>$D82</f>
        <v>0</v>
      </c>
      <c r="R87" s="106">
        <f>$E82</f>
        <v>0</v>
      </c>
      <c r="S87" s="106">
        <f>$F82</f>
        <v>0.5</v>
      </c>
      <c r="T87" s="58">
        <f>$D82</f>
        <v>0</v>
      </c>
      <c r="U87" s="106">
        <f>$E82</f>
        <v>0</v>
      </c>
      <c r="V87" s="106">
        <f>$F82</f>
        <v>0.5</v>
      </c>
      <c r="W87" s="58">
        <f>$D82</f>
        <v>0</v>
      </c>
      <c r="X87" s="106">
        <f>$E82</f>
        <v>0</v>
      </c>
      <c r="Y87" s="106">
        <f>$F82</f>
        <v>0.5</v>
      </c>
      <c r="Z87" s="58">
        <f>$D82</f>
        <v>0</v>
      </c>
      <c r="AA87" s="106">
        <f>$E82</f>
        <v>0</v>
      </c>
      <c r="AB87" s="106">
        <f>$F82</f>
        <v>0.5</v>
      </c>
      <c r="AC87" s="107"/>
      <c r="AD87" s="107"/>
    </row>
    <row r="88" spans="2:30" x14ac:dyDescent="0.25">
      <c r="C88" s="91"/>
      <c r="D88" s="71"/>
      <c r="E88" s="71"/>
      <c r="F88" s="71"/>
      <c r="G88" s="71"/>
      <c r="H88" s="71"/>
      <c r="I88" s="71"/>
      <c r="J88" s="71"/>
      <c r="K88" s="71"/>
      <c r="L88" s="71"/>
      <c r="M88" s="71"/>
      <c r="N88" s="71"/>
      <c r="O88" s="71"/>
      <c r="P88" s="71"/>
      <c r="Q88" s="71"/>
      <c r="R88" s="71"/>
      <c r="S88" s="71"/>
      <c r="T88" s="71"/>
      <c r="U88" s="71"/>
      <c r="V88" s="71"/>
      <c r="W88" s="71"/>
      <c r="X88" s="71"/>
      <c r="Y88" s="105"/>
      <c r="Z88" s="105"/>
      <c r="AA88" s="105"/>
      <c r="AB88" s="105"/>
      <c r="AC88" s="105"/>
    </row>
    <row r="89" spans="2:30" x14ac:dyDescent="0.25">
      <c r="C89" s="91"/>
      <c r="D89" s="104"/>
      <c r="E89" s="104"/>
      <c r="F89" s="104"/>
      <c r="G89" s="104"/>
      <c r="H89" s="104"/>
      <c r="I89" s="104"/>
      <c r="J89" s="104"/>
      <c r="K89" s="104"/>
      <c r="L89" s="104"/>
      <c r="M89" s="104"/>
      <c r="N89" s="104"/>
      <c r="O89" s="104"/>
      <c r="P89" s="104"/>
      <c r="Q89" s="104"/>
      <c r="R89" s="104"/>
      <c r="S89" s="104"/>
      <c r="T89" s="104"/>
      <c r="U89" s="104"/>
      <c r="V89" s="104"/>
      <c r="W89" s="104"/>
      <c r="X89" s="104"/>
    </row>
    <row r="90" spans="2:30" x14ac:dyDescent="0.25">
      <c r="C90" s="91"/>
      <c r="D90" s="104"/>
      <c r="E90" s="104"/>
      <c r="F90" s="104"/>
      <c r="G90" s="104"/>
      <c r="H90" s="104"/>
      <c r="I90" s="104"/>
      <c r="J90" s="104"/>
      <c r="K90" s="104"/>
      <c r="L90" s="104"/>
      <c r="M90" s="104"/>
      <c r="N90" s="104"/>
      <c r="O90" s="104"/>
      <c r="P90" s="104"/>
      <c r="Q90" s="104"/>
      <c r="R90" s="104"/>
      <c r="S90" s="104"/>
      <c r="T90" s="104"/>
      <c r="U90" s="104"/>
      <c r="V90" s="104"/>
      <c r="W90" s="104"/>
      <c r="X90" s="104"/>
    </row>
    <row r="91" spans="2:30" x14ac:dyDescent="0.25">
      <c r="B91" s="44" t="s">
        <v>125</v>
      </c>
      <c r="C91" s="91"/>
      <c r="D91" s="104"/>
      <c r="E91" s="104"/>
      <c r="F91" s="104"/>
      <c r="G91" s="104"/>
      <c r="H91" s="104"/>
      <c r="I91" s="104"/>
      <c r="J91" s="104"/>
      <c r="K91" s="104"/>
      <c r="L91" s="104"/>
      <c r="M91" s="104"/>
      <c r="N91" s="104"/>
      <c r="O91" s="104"/>
      <c r="P91" s="104"/>
      <c r="Q91" s="104"/>
      <c r="R91" s="104"/>
      <c r="S91" s="104"/>
      <c r="T91" s="104"/>
      <c r="U91" s="104"/>
      <c r="V91" s="104"/>
      <c r="W91" s="104"/>
      <c r="X91" s="104"/>
    </row>
    <row r="92" spans="2:30" x14ac:dyDescent="0.25">
      <c r="C92" s="91"/>
      <c r="D92" s="104"/>
      <c r="E92" s="104"/>
      <c r="F92" s="104"/>
      <c r="G92" s="104"/>
      <c r="H92" s="104"/>
      <c r="I92" s="104"/>
      <c r="J92" s="104"/>
      <c r="K92" s="104"/>
      <c r="L92" s="104"/>
      <c r="M92" s="104"/>
      <c r="N92" s="104"/>
      <c r="O92" s="104"/>
      <c r="P92" s="104"/>
      <c r="Q92" s="104"/>
      <c r="R92" s="104"/>
      <c r="S92" s="104"/>
      <c r="T92" s="104"/>
      <c r="U92" s="104"/>
      <c r="V92" s="104"/>
      <c r="W92" s="104"/>
      <c r="X92" s="104"/>
    </row>
    <row r="93" spans="2:30" ht="28.15" customHeight="1" x14ac:dyDescent="0.25">
      <c r="B93" t="s">
        <v>124</v>
      </c>
      <c r="C93" s="498" t="s">
        <v>127</v>
      </c>
      <c r="D93" s="498"/>
      <c r="E93" s="498"/>
      <c r="F93" s="498"/>
      <c r="G93" s="73"/>
      <c r="H93" s="73"/>
      <c r="I93" s="73"/>
      <c r="J93" s="73"/>
      <c r="K93" s="73"/>
      <c r="L93" s="73"/>
      <c r="M93" s="73"/>
      <c r="N93" s="73"/>
      <c r="O93" s="73"/>
      <c r="P93" s="73"/>
      <c r="Q93" s="73"/>
      <c r="R93" s="73"/>
      <c r="S93" s="73"/>
      <c r="T93" s="73"/>
      <c r="U93" s="73"/>
      <c r="V93" s="73"/>
      <c r="W93" s="73"/>
    </row>
    <row r="94" spans="2:30" x14ac:dyDescent="0.25">
      <c r="B94" s="65"/>
      <c r="C94" s="16" t="s">
        <v>19</v>
      </c>
      <c r="D94" s="16">
        <v>1</v>
      </c>
      <c r="E94" s="16">
        <v>2</v>
      </c>
      <c r="F94" s="16">
        <v>3</v>
      </c>
      <c r="G94" s="73"/>
      <c r="H94" s="73"/>
      <c r="I94" s="73"/>
      <c r="J94" s="73"/>
      <c r="K94" s="73"/>
      <c r="L94" s="73"/>
      <c r="M94" s="73"/>
      <c r="N94" s="73"/>
      <c r="O94" s="73"/>
      <c r="P94" s="73"/>
      <c r="Q94" s="73"/>
      <c r="R94" s="73"/>
      <c r="S94" s="73"/>
      <c r="T94" s="73"/>
      <c r="U94" s="73"/>
      <c r="V94" s="73"/>
      <c r="W94" s="73"/>
    </row>
    <row r="95" spans="2:30" x14ac:dyDescent="0.25">
      <c r="B95" t="s">
        <v>80</v>
      </c>
      <c r="C95" s="63"/>
      <c r="D95" s="68">
        <f>D81</f>
        <v>0</v>
      </c>
      <c r="E95" s="68">
        <f t="shared" ref="E95:F95" si="163">E81</f>
        <v>0</v>
      </c>
      <c r="F95" s="68">
        <f t="shared" si="163"/>
        <v>1</v>
      </c>
      <c r="G95" s="73"/>
      <c r="H95" s="73"/>
      <c r="I95" s="73"/>
      <c r="J95" s="73"/>
      <c r="K95" s="73"/>
      <c r="L95" s="73"/>
      <c r="M95" s="73"/>
      <c r="N95" s="73"/>
      <c r="O95" s="73"/>
      <c r="P95" s="73"/>
      <c r="Q95" s="73"/>
      <c r="R95" s="73"/>
      <c r="S95" s="73"/>
      <c r="T95" s="73"/>
      <c r="U95" s="73"/>
      <c r="V95" s="73"/>
      <c r="W95" s="73"/>
    </row>
    <row r="96" spans="2:30" x14ac:dyDescent="0.25">
      <c r="B96" t="s">
        <v>82</v>
      </c>
      <c r="C96" s="63"/>
      <c r="D96" s="139">
        <f>D82</f>
        <v>0</v>
      </c>
      <c r="E96" s="139">
        <f t="shared" ref="E96:F96" si="164">E82</f>
        <v>0</v>
      </c>
      <c r="F96" s="139">
        <f t="shared" si="164"/>
        <v>0.5</v>
      </c>
      <c r="G96" s="73"/>
      <c r="H96" s="73"/>
      <c r="I96" s="73"/>
      <c r="J96" s="73"/>
      <c r="K96" s="73"/>
      <c r="L96" s="73"/>
      <c r="M96" s="73"/>
      <c r="N96" s="73"/>
      <c r="O96" s="73"/>
      <c r="P96" s="73"/>
      <c r="Q96" s="73"/>
      <c r="R96" s="73"/>
      <c r="S96" s="73"/>
      <c r="T96" s="73"/>
      <c r="U96" s="73"/>
      <c r="V96" s="73"/>
      <c r="W96" s="73"/>
    </row>
    <row r="97" spans="2:30" x14ac:dyDescent="0.25">
      <c r="C97" s="91"/>
      <c r="D97" s="71"/>
      <c r="E97" s="71"/>
      <c r="F97" s="71"/>
      <c r="G97" s="73"/>
      <c r="H97" s="73"/>
      <c r="I97" s="73"/>
      <c r="J97" s="73"/>
      <c r="K97" s="73"/>
      <c r="L97" s="73"/>
      <c r="M97" s="73"/>
      <c r="N97" s="73"/>
      <c r="O97" s="73"/>
      <c r="P97" s="73"/>
      <c r="Q97" s="73"/>
      <c r="R97" s="73"/>
      <c r="S97" s="73"/>
      <c r="T97" s="73"/>
      <c r="U97" s="73"/>
      <c r="V97" s="73"/>
      <c r="W97" s="73"/>
    </row>
    <row r="99" spans="2:30" x14ac:dyDescent="0.25">
      <c r="B99" s="65"/>
      <c r="C99" s="16" t="s">
        <v>19</v>
      </c>
      <c r="D99" s="16">
        <v>0</v>
      </c>
      <c r="E99" s="16">
        <v>1</v>
      </c>
      <c r="F99" s="16">
        <v>2</v>
      </c>
      <c r="G99" s="16">
        <v>3</v>
      </c>
      <c r="H99" s="16">
        <v>4</v>
      </c>
      <c r="I99" s="16">
        <v>5</v>
      </c>
      <c r="J99" s="16">
        <v>6</v>
      </c>
      <c r="K99" s="16">
        <v>7</v>
      </c>
      <c r="L99" s="16">
        <v>8</v>
      </c>
      <c r="M99" s="16">
        <v>9</v>
      </c>
      <c r="N99" s="16">
        <v>10</v>
      </c>
      <c r="O99" s="16">
        <v>11</v>
      </c>
      <c r="P99" s="16">
        <v>12</v>
      </c>
      <c r="Q99" s="16">
        <v>13</v>
      </c>
      <c r="R99" s="16">
        <v>14</v>
      </c>
      <c r="S99" s="16">
        <v>15</v>
      </c>
      <c r="T99" s="16">
        <v>16</v>
      </c>
      <c r="U99" s="16">
        <v>17</v>
      </c>
      <c r="V99" s="16">
        <v>18</v>
      </c>
      <c r="W99" s="16">
        <v>19</v>
      </c>
      <c r="X99" s="16">
        <v>20</v>
      </c>
      <c r="Y99" s="16">
        <v>21</v>
      </c>
      <c r="Z99" s="16">
        <v>22</v>
      </c>
      <c r="AA99" s="16">
        <v>23</v>
      </c>
      <c r="AB99" s="16">
        <v>24</v>
      </c>
    </row>
    <row r="100" spans="2:30" x14ac:dyDescent="0.25">
      <c r="B100" t="s">
        <v>80</v>
      </c>
      <c r="C100" s="63"/>
      <c r="D100" s="63"/>
      <c r="E100" s="63">
        <f>D95</f>
        <v>0</v>
      </c>
      <c r="F100" s="63">
        <f>E95</f>
        <v>0</v>
      </c>
      <c r="G100" s="63">
        <f>F95</f>
        <v>1</v>
      </c>
      <c r="H100" s="63">
        <f>D95</f>
        <v>0</v>
      </c>
      <c r="I100" s="63">
        <f t="shared" ref="I100" si="165">E95</f>
        <v>0</v>
      </c>
      <c r="J100" s="63">
        <f t="shared" ref="J100" si="166">F95</f>
        <v>1</v>
      </c>
      <c r="K100" s="63">
        <f>D95</f>
        <v>0</v>
      </c>
      <c r="L100" s="63">
        <f t="shared" ref="L100" si="167">E95</f>
        <v>0</v>
      </c>
      <c r="M100" s="63">
        <f t="shared" ref="M100" si="168">F95</f>
        <v>1</v>
      </c>
      <c r="N100" s="63">
        <f>D95</f>
        <v>0</v>
      </c>
      <c r="O100" s="63">
        <f t="shared" ref="O100" si="169">E95</f>
        <v>0</v>
      </c>
      <c r="P100" s="63">
        <f t="shared" ref="P100" si="170">F95</f>
        <v>1</v>
      </c>
      <c r="Q100" s="63">
        <f>D95</f>
        <v>0</v>
      </c>
      <c r="R100" s="63">
        <f t="shared" ref="R100" si="171">E95</f>
        <v>0</v>
      </c>
      <c r="S100" s="63">
        <f t="shared" ref="S100" si="172">F95</f>
        <v>1</v>
      </c>
      <c r="T100" s="63">
        <f>D95</f>
        <v>0</v>
      </c>
      <c r="U100" s="63">
        <f t="shared" ref="U100" si="173">E95</f>
        <v>0</v>
      </c>
      <c r="V100" s="63">
        <f t="shared" ref="V100" si="174">F95</f>
        <v>1</v>
      </c>
      <c r="W100" s="63">
        <f>D95</f>
        <v>0</v>
      </c>
      <c r="X100" s="63">
        <f t="shared" ref="X100" si="175">E95</f>
        <v>0</v>
      </c>
      <c r="Y100" s="63">
        <f t="shared" ref="Y100" si="176">F95</f>
        <v>1</v>
      </c>
      <c r="Z100" s="63">
        <f>D95</f>
        <v>0</v>
      </c>
      <c r="AA100" s="63">
        <f t="shared" ref="AA100" si="177">E95</f>
        <v>0</v>
      </c>
      <c r="AB100" s="63">
        <f t="shared" ref="AB100" si="178">F95</f>
        <v>1</v>
      </c>
    </row>
    <row r="101" spans="2:30" x14ac:dyDescent="0.25">
      <c r="B101" t="s">
        <v>82</v>
      </c>
      <c r="C101" s="63"/>
      <c r="D101" s="68"/>
      <c r="E101" s="58">
        <f>$D96</f>
        <v>0</v>
      </c>
      <c r="F101" s="106">
        <f>$E96</f>
        <v>0</v>
      </c>
      <c r="G101" s="106">
        <f>$F96</f>
        <v>0.5</v>
      </c>
      <c r="H101" s="58">
        <f>$D96</f>
        <v>0</v>
      </c>
      <c r="I101" s="106">
        <f>$E96</f>
        <v>0</v>
      </c>
      <c r="J101" s="106">
        <f>$F96</f>
        <v>0.5</v>
      </c>
      <c r="K101" s="58">
        <f>$D96</f>
        <v>0</v>
      </c>
      <c r="L101" s="106">
        <f>$E96</f>
        <v>0</v>
      </c>
      <c r="M101" s="106">
        <f>$F96</f>
        <v>0.5</v>
      </c>
      <c r="N101" s="58">
        <f>$D96</f>
        <v>0</v>
      </c>
      <c r="O101" s="106">
        <f>$E96</f>
        <v>0</v>
      </c>
      <c r="P101" s="106">
        <f>$F96</f>
        <v>0.5</v>
      </c>
      <c r="Q101" s="58">
        <f>$D96</f>
        <v>0</v>
      </c>
      <c r="R101" s="106">
        <f>$E96</f>
        <v>0</v>
      </c>
      <c r="S101" s="106">
        <f>$F96</f>
        <v>0.5</v>
      </c>
      <c r="T101" s="58">
        <f>$D96</f>
        <v>0</v>
      </c>
      <c r="U101" s="106">
        <f>$E96</f>
        <v>0</v>
      </c>
      <c r="V101" s="106">
        <f>$F96</f>
        <v>0.5</v>
      </c>
      <c r="W101" s="58">
        <f>$D96</f>
        <v>0</v>
      </c>
      <c r="X101" s="106">
        <f>$E96</f>
        <v>0</v>
      </c>
      <c r="Y101" s="106">
        <f>$F96</f>
        <v>0.5</v>
      </c>
      <c r="Z101" s="58">
        <f>$D96</f>
        <v>0</v>
      </c>
      <c r="AA101" s="106">
        <f>$E96</f>
        <v>0</v>
      </c>
      <c r="AB101" s="106">
        <f>$F96</f>
        <v>0.5</v>
      </c>
      <c r="AC101" s="107"/>
      <c r="AD101" s="107"/>
    </row>
    <row r="102" spans="2:30" x14ac:dyDescent="0.25">
      <c r="C102" s="91"/>
      <c r="D102" s="104"/>
      <c r="E102" s="104"/>
      <c r="F102" s="104"/>
      <c r="G102" s="104"/>
      <c r="H102" s="104"/>
      <c r="I102" s="104"/>
      <c r="J102" s="104"/>
      <c r="K102" s="104"/>
      <c r="L102" s="104"/>
      <c r="M102" s="104"/>
      <c r="N102" s="104"/>
      <c r="O102" s="104"/>
      <c r="P102" s="104"/>
      <c r="Q102" s="104"/>
      <c r="R102" s="104"/>
      <c r="S102" s="104"/>
      <c r="T102" s="104"/>
      <c r="U102" s="104"/>
      <c r="V102" s="104"/>
      <c r="W102" s="104"/>
      <c r="X102" s="104"/>
    </row>
    <row r="103" spans="2:30" x14ac:dyDescent="0.25">
      <c r="B103" s="44" t="s">
        <v>126</v>
      </c>
      <c r="C103" s="91"/>
      <c r="D103" s="104"/>
      <c r="E103" s="104"/>
      <c r="F103" s="104"/>
      <c r="G103" s="104"/>
      <c r="H103" s="104"/>
      <c r="I103" s="104"/>
      <c r="J103" s="104"/>
      <c r="K103" s="104"/>
      <c r="L103" s="104"/>
      <c r="M103" s="104"/>
      <c r="N103" s="104"/>
      <c r="O103" s="104"/>
      <c r="P103" s="104"/>
      <c r="Q103" s="104"/>
      <c r="R103" s="104"/>
      <c r="S103" s="104"/>
      <c r="T103" s="104"/>
      <c r="U103" s="104"/>
      <c r="V103" s="104"/>
      <c r="W103" s="104"/>
      <c r="X103" s="104"/>
    </row>
    <row r="104" spans="2:30" x14ac:dyDescent="0.25">
      <c r="C104" s="91"/>
      <c r="D104" s="104"/>
      <c r="E104" s="104"/>
      <c r="F104" s="104"/>
      <c r="G104" s="104"/>
      <c r="H104" s="104"/>
      <c r="I104" s="104"/>
      <c r="J104" s="104"/>
      <c r="K104" s="104"/>
      <c r="L104" s="104"/>
      <c r="M104" s="104"/>
      <c r="N104" s="104"/>
      <c r="O104" s="104"/>
      <c r="P104" s="104"/>
      <c r="Q104" s="104"/>
      <c r="R104" s="104"/>
      <c r="S104" s="104"/>
      <c r="T104" s="104"/>
      <c r="U104" s="104"/>
      <c r="V104" s="104"/>
      <c r="W104" s="104"/>
      <c r="X104" s="104"/>
    </row>
    <row r="105" spans="2:30" ht="28.15" customHeight="1" x14ac:dyDescent="0.25">
      <c r="B105" t="s">
        <v>124</v>
      </c>
      <c r="C105" s="498" t="s">
        <v>127</v>
      </c>
      <c r="D105" s="498"/>
      <c r="E105" s="498"/>
      <c r="F105" s="498"/>
      <c r="G105" s="73"/>
      <c r="H105" s="73"/>
      <c r="I105" s="73"/>
      <c r="J105" s="73"/>
      <c r="K105" s="73"/>
      <c r="L105" s="73"/>
      <c r="M105" s="73"/>
      <c r="N105" s="73"/>
      <c r="O105" s="73"/>
      <c r="P105" s="73"/>
      <c r="Q105" s="73"/>
      <c r="R105" s="73"/>
      <c r="S105" s="73"/>
      <c r="T105" s="73"/>
      <c r="U105" s="73"/>
      <c r="V105" s="73"/>
      <c r="W105" s="73"/>
    </row>
    <row r="106" spans="2:30" x14ac:dyDescent="0.25">
      <c r="B106" s="65"/>
      <c r="C106" s="16" t="s">
        <v>19</v>
      </c>
      <c r="D106" s="16">
        <v>1</v>
      </c>
      <c r="E106" s="16">
        <v>2</v>
      </c>
      <c r="F106" s="16">
        <v>3</v>
      </c>
      <c r="G106" s="73"/>
      <c r="H106" s="73"/>
      <c r="I106" s="73"/>
      <c r="J106" s="73"/>
      <c r="K106" s="73"/>
      <c r="L106" s="73"/>
      <c r="M106" s="73"/>
      <c r="N106" s="73"/>
      <c r="O106" s="73"/>
      <c r="P106" s="73"/>
      <c r="Q106" s="73"/>
      <c r="R106" s="73"/>
      <c r="S106" s="73"/>
      <c r="T106" s="73"/>
      <c r="U106" s="73"/>
      <c r="V106" s="73"/>
      <c r="W106" s="73"/>
    </row>
    <row r="107" spans="2:30" x14ac:dyDescent="0.25">
      <c r="B107" t="s">
        <v>80</v>
      </c>
      <c r="C107" s="63"/>
      <c r="D107" s="68">
        <f>D81</f>
        <v>0</v>
      </c>
      <c r="E107" s="68">
        <f t="shared" ref="E107:F107" si="179">E81</f>
        <v>0</v>
      </c>
      <c r="F107" s="68">
        <f t="shared" si="179"/>
        <v>1</v>
      </c>
      <c r="G107" s="73"/>
      <c r="H107" s="73"/>
      <c r="I107" s="73"/>
      <c r="J107" s="73"/>
      <c r="K107" s="73"/>
      <c r="L107" s="73"/>
      <c r="M107" s="73"/>
      <c r="N107" s="73"/>
      <c r="O107" s="73"/>
      <c r="P107" s="73"/>
      <c r="Q107" s="73"/>
      <c r="R107" s="73"/>
      <c r="S107" s="73"/>
      <c r="T107" s="73"/>
      <c r="U107" s="73"/>
      <c r="V107" s="73"/>
      <c r="W107" s="73"/>
    </row>
    <row r="108" spans="2:30" x14ac:dyDescent="0.25">
      <c r="B108" t="s">
        <v>82</v>
      </c>
      <c r="C108" s="63"/>
      <c r="D108" s="139">
        <f>D96</f>
        <v>0</v>
      </c>
      <c r="E108" s="139">
        <f t="shared" ref="E108:F108" si="180">E96</f>
        <v>0</v>
      </c>
      <c r="F108" s="139">
        <f t="shared" si="180"/>
        <v>0.5</v>
      </c>
      <c r="G108" s="73"/>
      <c r="H108" s="73"/>
      <c r="I108" s="73"/>
      <c r="J108" s="73"/>
      <c r="K108" s="73"/>
      <c r="L108" s="73"/>
      <c r="M108" s="73"/>
      <c r="N108" s="73"/>
      <c r="O108" s="73"/>
      <c r="P108" s="73"/>
      <c r="Q108" s="73"/>
      <c r="R108" s="73"/>
      <c r="S108" s="73"/>
      <c r="T108" s="73"/>
      <c r="U108" s="73"/>
      <c r="V108" s="73"/>
      <c r="W108" s="73"/>
    </row>
    <row r="109" spans="2:30" x14ac:dyDescent="0.25">
      <c r="C109" s="91"/>
      <c r="D109" s="71"/>
      <c r="E109" s="71"/>
      <c r="F109" s="71"/>
      <c r="G109" s="73"/>
      <c r="H109" s="73"/>
      <c r="I109" s="73"/>
      <c r="J109" s="73"/>
      <c r="K109" s="73"/>
      <c r="L109" s="73"/>
      <c r="M109" s="73"/>
      <c r="N109" s="73"/>
      <c r="O109" s="73"/>
      <c r="P109" s="73"/>
      <c r="Q109" s="73"/>
      <c r="R109" s="73"/>
      <c r="S109" s="73"/>
      <c r="T109" s="73"/>
      <c r="U109" s="73"/>
      <c r="V109" s="73"/>
      <c r="W109" s="73"/>
    </row>
    <row r="111" spans="2:30" x14ac:dyDescent="0.25">
      <c r="B111" s="65"/>
      <c r="C111" s="16" t="s">
        <v>19</v>
      </c>
      <c r="D111" s="16">
        <v>0</v>
      </c>
      <c r="E111" s="16">
        <v>1</v>
      </c>
      <c r="F111" s="16">
        <v>2</v>
      </c>
      <c r="G111" s="16">
        <v>3</v>
      </c>
      <c r="H111" s="16">
        <v>4</v>
      </c>
      <c r="I111" s="16">
        <v>5</v>
      </c>
      <c r="J111" s="16">
        <v>6</v>
      </c>
      <c r="K111" s="16">
        <v>7</v>
      </c>
      <c r="L111" s="16">
        <v>8</v>
      </c>
      <c r="M111" s="16">
        <v>9</v>
      </c>
      <c r="N111" s="16">
        <v>10</v>
      </c>
      <c r="O111" s="16">
        <v>11</v>
      </c>
      <c r="P111" s="16">
        <v>12</v>
      </c>
      <c r="Q111" s="16">
        <v>13</v>
      </c>
      <c r="R111" s="16">
        <v>14</v>
      </c>
      <c r="S111" s="16">
        <v>15</v>
      </c>
      <c r="T111" s="16">
        <v>16</v>
      </c>
      <c r="U111" s="16">
        <v>17</v>
      </c>
      <c r="V111" s="16">
        <v>18</v>
      </c>
      <c r="W111" s="16">
        <v>19</v>
      </c>
      <c r="X111" s="16">
        <v>20</v>
      </c>
      <c r="Y111" s="16">
        <v>21</v>
      </c>
      <c r="Z111" s="16">
        <v>22</v>
      </c>
      <c r="AA111" s="16">
        <v>23</v>
      </c>
      <c r="AB111" s="16">
        <v>24</v>
      </c>
    </row>
    <row r="112" spans="2:30" x14ac:dyDescent="0.25">
      <c r="B112" t="s">
        <v>80</v>
      </c>
      <c r="C112" s="63"/>
      <c r="D112" s="63"/>
      <c r="E112" s="63">
        <f>D107</f>
        <v>0</v>
      </c>
      <c r="F112" s="63">
        <f>E107</f>
        <v>0</v>
      </c>
      <c r="G112" s="63">
        <f>F107</f>
        <v>1</v>
      </c>
      <c r="H112" s="63">
        <f>D107</f>
        <v>0</v>
      </c>
      <c r="I112" s="63">
        <f t="shared" ref="I112" si="181">E107</f>
        <v>0</v>
      </c>
      <c r="J112" s="63">
        <f t="shared" ref="J112" si="182">F107</f>
        <v>1</v>
      </c>
      <c r="K112" s="63">
        <f>D107</f>
        <v>0</v>
      </c>
      <c r="L112" s="63">
        <f t="shared" ref="L112" si="183">E107</f>
        <v>0</v>
      </c>
      <c r="M112" s="63">
        <f t="shared" ref="M112" si="184">F107</f>
        <v>1</v>
      </c>
      <c r="N112" s="63">
        <f>D107</f>
        <v>0</v>
      </c>
      <c r="O112" s="63">
        <f t="shared" ref="O112" si="185">E107</f>
        <v>0</v>
      </c>
      <c r="P112" s="63">
        <f t="shared" ref="P112" si="186">F107</f>
        <v>1</v>
      </c>
      <c r="Q112" s="63">
        <f>D107</f>
        <v>0</v>
      </c>
      <c r="R112" s="63">
        <f t="shared" ref="R112" si="187">E107</f>
        <v>0</v>
      </c>
      <c r="S112" s="63">
        <f t="shared" ref="S112" si="188">F107</f>
        <v>1</v>
      </c>
      <c r="T112" s="63">
        <f>D107</f>
        <v>0</v>
      </c>
      <c r="U112" s="63">
        <f t="shared" ref="U112" si="189">E107</f>
        <v>0</v>
      </c>
      <c r="V112" s="63">
        <f t="shared" ref="V112" si="190">F107</f>
        <v>1</v>
      </c>
      <c r="W112" s="63">
        <f>D107</f>
        <v>0</v>
      </c>
      <c r="X112" s="63">
        <f t="shared" ref="X112" si="191">E107</f>
        <v>0</v>
      </c>
      <c r="Y112" s="63">
        <f t="shared" ref="Y112" si="192">F107</f>
        <v>1</v>
      </c>
      <c r="Z112" s="63">
        <f>D107</f>
        <v>0</v>
      </c>
      <c r="AA112" s="63">
        <f t="shared" ref="AA112" si="193">E107</f>
        <v>0</v>
      </c>
      <c r="AB112" s="63">
        <f t="shared" ref="AB112" si="194">F107</f>
        <v>1</v>
      </c>
    </row>
    <row r="113" spans="1:30" x14ac:dyDescent="0.25">
      <c r="B113" t="s">
        <v>82</v>
      </c>
      <c r="C113" s="63"/>
      <c r="D113" s="68"/>
      <c r="E113" s="58">
        <f>$D108</f>
        <v>0</v>
      </c>
      <c r="F113" s="106">
        <f>$E108</f>
        <v>0</v>
      </c>
      <c r="G113" s="106">
        <f>$F108</f>
        <v>0.5</v>
      </c>
      <c r="H113" s="58">
        <f>$D108</f>
        <v>0</v>
      </c>
      <c r="I113" s="106">
        <f>$E108</f>
        <v>0</v>
      </c>
      <c r="J113" s="106">
        <f>$F108</f>
        <v>0.5</v>
      </c>
      <c r="K113" s="58">
        <f>$D108</f>
        <v>0</v>
      </c>
      <c r="L113" s="106">
        <f>$E108</f>
        <v>0</v>
      </c>
      <c r="M113" s="106">
        <f>$F108</f>
        <v>0.5</v>
      </c>
      <c r="N113" s="58">
        <f>$D108</f>
        <v>0</v>
      </c>
      <c r="O113" s="106">
        <f>$E108</f>
        <v>0</v>
      </c>
      <c r="P113" s="106">
        <f>$F108</f>
        <v>0.5</v>
      </c>
      <c r="Q113" s="58">
        <f>$D108</f>
        <v>0</v>
      </c>
      <c r="R113" s="106">
        <f>$E108</f>
        <v>0</v>
      </c>
      <c r="S113" s="106">
        <f>$F108</f>
        <v>0.5</v>
      </c>
      <c r="T113" s="58">
        <f>$D108</f>
        <v>0</v>
      </c>
      <c r="U113" s="106">
        <f>$E108</f>
        <v>0</v>
      </c>
      <c r="V113" s="106">
        <f>$F108</f>
        <v>0.5</v>
      </c>
      <c r="W113" s="58">
        <f>$D108</f>
        <v>0</v>
      </c>
      <c r="X113" s="106">
        <f>$E108</f>
        <v>0</v>
      </c>
      <c r="Y113" s="106">
        <f>$F108</f>
        <v>0.5</v>
      </c>
      <c r="Z113" s="58">
        <f>$D108</f>
        <v>0</v>
      </c>
      <c r="AA113" s="106">
        <f>$E108</f>
        <v>0</v>
      </c>
      <c r="AB113" s="106">
        <f>$F108</f>
        <v>0.5</v>
      </c>
      <c r="AC113" s="107"/>
      <c r="AD113" s="107"/>
    </row>
    <row r="114" spans="1:30" x14ac:dyDescent="0.25">
      <c r="C114" s="91"/>
      <c r="D114" s="104"/>
      <c r="E114" s="104"/>
      <c r="F114" s="104"/>
      <c r="G114" s="104"/>
      <c r="H114" s="104"/>
      <c r="I114" s="104"/>
      <c r="J114" s="104"/>
      <c r="K114" s="104"/>
      <c r="L114" s="104"/>
      <c r="M114" s="104"/>
      <c r="N114" s="104"/>
      <c r="O114" s="104"/>
      <c r="P114" s="104"/>
      <c r="Q114" s="104"/>
      <c r="R114" s="104"/>
      <c r="S114" s="104"/>
      <c r="T114" s="104"/>
      <c r="U114" s="104"/>
      <c r="V114" s="104"/>
      <c r="W114" s="104"/>
      <c r="X114" s="104"/>
    </row>
    <row r="115" spans="1:30" ht="15.75" x14ac:dyDescent="0.25">
      <c r="A115" s="63">
        <v>6</v>
      </c>
      <c r="B115" s="340" t="s">
        <v>312</v>
      </c>
      <c r="C115" s="91"/>
      <c r="D115" s="104"/>
      <c r="E115" s="104"/>
      <c r="F115" s="104"/>
      <c r="G115" s="104"/>
      <c r="H115" s="104"/>
      <c r="I115" s="104"/>
      <c r="J115" s="104"/>
      <c r="K115" s="104"/>
      <c r="L115" s="104"/>
      <c r="M115" s="104"/>
      <c r="N115" s="104"/>
      <c r="O115" s="104"/>
      <c r="P115" s="104"/>
      <c r="Q115" s="104"/>
      <c r="R115" s="104"/>
      <c r="S115" s="104"/>
      <c r="T115" s="104"/>
      <c r="U115" s="104"/>
      <c r="V115" s="104"/>
      <c r="W115" s="104"/>
      <c r="X115" s="104"/>
    </row>
    <row r="116" spans="1:30" x14ac:dyDescent="0.25">
      <c r="C116" s="91"/>
      <c r="D116" s="104"/>
      <c r="E116" s="104"/>
      <c r="F116" s="104"/>
      <c r="G116" s="104"/>
      <c r="H116" s="104"/>
      <c r="I116" s="104"/>
      <c r="J116" s="104"/>
      <c r="K116" s="104"/>
      <c r="L116" s="104"/>
      <c r="M116" s="104"/>
      <c r="N116" s="104"/>
      <c r="O116" s="104"/>
      <c r="P116" s="104"/>
      <c r="Q116" s="104"/>
      <c r="R116" s="104"/>
      <c r="S116" s="104"/>
      <c r="T116" s="104"/>
      <c r="U116" s="104"/>
      <c r="V116" s="104"/>
      <c r="W116" s="104"/>
      <c r="X116" s="104"/>
    </row>
    <row r="117" spans="1:30" x14ac:dyDescent="0.25">
      <c r="B117" s="17" t="s">
        <v>3</v>
      </c>
      <c r="C117" s="13" t="s">
        <v>4</v>
      </c>
      <c r="D117" s="20" t="s">
        <v>5</v>
      </c>
      <c r="E117" s="484" t="s">
        <v>6</v>
      </c>
      <c r="F117" s="484"/>
      <c r="G117" s="484"/>
      <c r="H117" s="484"/>
      <c r="I117" s="104"/>
      <c r="J117" s="104"/>
      <c r="K117" s="104"/>
      <c r="L117" s="104"/>
      <c r="M117" s="104"/>
      <c r="N117" s="104"/>
      <c r="O117" s="104"/>
      <c r="P117" s="104"/>
      <c r="Q117" s="104"/>
      <c r="R117" s="104"/>
      <c r="S117" s="104"/>
      <c r="T117" s="104"/>
      <c r="U117" s="104"/>
      <c r="V117" s="104"/>
      <c r="W117" s="104"/>
      <c r="X117" s="104"/>
    </row>
    <row r="118" spans="1:30" x14ac:dyDescent="0.25">
      <c r="B118" s="9" t="s">
        <v>37</v>
      </c>
      <c r="C118" s="112">
        <v>500000</v>
      </c>
      <c r="D118" s="28" t="s">
        <v>38</v>
      </c>
      <c r="E118" s="500" t="s">
        <v>98</v>
      </c>
      <c r="F118" s="500"/>
      <c r="G118" s="500"/>
      <c r="H118" s="500"/>
      <c r="I118" s="104"/>
      <c r="J118" s="104"/>
      <c r="K118" s="104"/>
      <c r="L118" s="104"/>
      <c r="M118" s="104"/>
      <c r="N118" s="104"/>
      <c r="O118" s="104"/>
      <c r="P118" s="104"/>
      <c r="Q118" s="104"/>
      <c r="R118" s="104"/>
      <c r="S118" s="104"/>
      <c r="T118" s="104"/>
      <c r="U118" s="104"/>
      <c r="V118" s="104"/>
      <c r="W118" s="104"/>
      <c r="X118" s="104"/>
    </row>
    <row r="119" spans="1:30" x14ac:dyDescent="0.25">
      <c r="B119" s="9" t="s">
        <v>39</v>
      </c>
      <c r="C119" s="113">
        <v>1.7000000000000001E-2</v>
      </c>
      <c r="D119" s="28" t="s">
        <v>40</v>
      </c>
      <c r="E119" s="500"/>
      <c r="F119" s="500"/>
      <c r="G119" s="500"/>
      <c r="H119" s="500"/>
      <c r="I119" s="104"/>
      <c r="J119" s="104"/>
      <c r="K119" s="104"/>
      <c r="L119" s="104"/>
      <c r="M119" s="104"/>
      <c r="N119" s="104"/>
      <c r="O119" s="104"/>
      <c r="P119" s="104"/>
      <c r="Q119" s="104"/>
      <c r="R119" s="104"/>
      <c r="S119" s="104"/>
      <c r="T119" s="104"/>
      <c r="U119" s="104"/>
      <c r="V119" s="104"/>
      <c r="W119" s="104"/>
      <c r="X119" s="104"/>
    </row>
    <row r="120" spans="1:30" x14ac:dyDescent="0.25">
      <c r="B120" s="9" t="s">
        <v>41</v>
      </c>
      <c r="C120" s="114">
        <v>0.02</v>
      </c>
      <c r="D120" s="28" t="s">
        <v>26</v>
      </c>
      <c r="E120" s="500"/>
      <c r="F120" s="500"/>
      <c r="G120" s="500"/>
      <c r="H120" s="500"/>
      <c r="I120" s="104"/>
      <c r="J120" s="104"/>
      <c r="K120" s="104"/>
      <c r="L120" s="104"/>
      <c r="M120" s="104"/>
      <c r="N120" s="104"/>
      <c r="O120" s="104"/>
      <c r="P120" s="104"/>
      <c r="Q120" s="104"/>
      <c r="R120" s="104"/>
      <c r="S120" s="104"/>
      <c r="T120" s="104"/>
      <c r="U120" s="104"/>
      <c r="V120" s="104"/>
      <c r="W120" s="104"/>
      <c r="X120" s="104"/>
    </row>
    <row r="121" spans="1:30" ht="45" x14ac:dyDescent="0.25">
      <c r="B121" s="9" t="s">
        <v>42</v>
      </c>
      <c r="C121" s="102">
        <v>0.2</v>
      </c>
      <c r="D121" s="28" t="s">
        <v>43</v>
      </c>
      <c r="E121" s="500" t="s">
        <v>99</v>
      </c>
      <c r="F121" s="500"/>
      <c r="G121" s="500"/>
      <c r="H121" s="500"/>
      <c r="I121" s="104"/>
      <c r="J121" s="104"/>
      <c r="K121" s="104"/>
      <c r="L121" s="104"/>
      <c r="M121" s="104"/>
      <c r="N121" s="104"/>
      <c r="O121" s="104"/>
      <c r="P121" s="104"/>
      <c r="Q121" s="104"/>
      <c r="R121" s="104"/>
      <c r="S121" s="104"/>
      <c r="T121" s="104"/>
      <c r="U121" s="104"/>
      <c r="V121" s="104"/>
      <c r="W121" s="104"/>
      <c r="X121" s="104"/>
    </row>
    <row r="122" spans="1:30" x14ac:dyDescent="0.25">
      <c r="I122" s="104"/>
      <c r="J122" s="104"/>
      <c r="K122" s="104"/>
      <c r="L122" s="104"/>
      <c r="M122" s="104"/>
      <c r="N122" s="104"/>
      <c r="O122" s="104"/>
      <c r="P122" s="104"/>
      <c r="Q122" s="104"/>
      <c r="R122" s="104"/>
      <c r="S122" s="104"/>
      <c r="T122" s="104"/>
      <c r="U122" s="104"/>
      <c r="V122" s="104"/>
      <c r="W122" s="104"/>
      <c r="X122" s="104"/>
    </row>
    <row r="123" spans="1:30" x14ac:dyDescent="0.25">
      <c r="I123" s="104"/>
      <c r="J123" s="104"/>
      <c r="K123" s="104"/>
      <c r="L123" s="104"/>
      <c r="M123" s="104"/>
      <c r="N123" s="104"/>
      <c r="O123" s="104"/>
      <c r="P123" s="104"/>
      <c r="Q123" s="104"/>
      <c r="R123" s="104"/>
      <c r="S123" s="104"/>
      <c r="T123" s="104"/>
      <c r="U123" s="104"/>
      <c r="V123" s="104"/>
      <c r="W123" s="104"/>
      <c r="X123" s="104"/>
    </row>
    <row r="124" spans="1:30" x14ac:dyDescent="0.25">
      <c r="B124" s="17" t="s">
        <v>10</v>
      </c>
      <c r="C124" s="14" t="s">
        <v>4</v>
      </c>
      <c r="D124" s="21" t="s">
        <v>5</v>
      </c>
      <c r="E124" s="474" t="s">
        <v>6</v>
      </c>
      <c r="F124" s="474"/>
      <c r="G124" s="474"/>
      <c r="H124" s="474"/>
      <c r="I124" s="104"/>
      <c r="J124" s="104"/>
      <c r="K124" s="104"/>
      <c r="L124" s="104"/>
      <c r="M124" s="104"/>
      <c r="N124" s="104"/>
      <c r="O124" s="104"/>
      <c r="P124" s="104"/>
      <c r="Q124" s="104"/>
      <c r="R124" s="104"/>
      <c r="S124" s="104"/>
      <c r="T124" s="104"/>
      <c r="U124" s="104"/>
      <c r="V124" s="104"/>
      <c r="W124" s="104"/>
      <c r="X124" s="104"/>
    </row>
    <row r="125" spans="1:30" x14ac:dyDescent="0.25">
      <c r="B125" s="9" t="s">
        <v>44</v>
      </c>
      <c r="C125" s="368">
        <f>C30</f>
        <v>10000</v>
      </c>
      <c r="D125" s="28" t="s">
        <v>9</v>
      </c>
      <c r="E125" s="481" t="s">
        <v>11</v>
      </c>
      <c r="F125" s="482"/>
      <c r="G125" s="482"/>
      <c r="H125" s="483"/>
      <c r="I125" s="104"/>
      <c r="J125" s="104"/>
      <c r="K125" s="104"/>
      <c r="L125" s="104"/>
      <c r="M125" s="104"/>
      <c r="N125" s="104"/>
      <c r="O125" s="104"/>
      <c r="P125" s="104"/>
      <c r="Q125" s="104"/>
      <c r="R125" s="104"/>
      <c r="S125" s="104"/>
      <c r="T125" s="104"/>
      <c r="U125" s="104"/>
      <c r="V125" s="104"/>
      <c r="W125" s="104"/>
      <c r="X125" s="104"/>
    </row>
    <row r="126" spans="1:30" x14ac:dyDescent="0.25">
      <c r="B126" s="9" t="s">
        <v>104</v>
      </c>
      <c r="C126" s="112">
        <v>500</v>
      </c>
      <c r="D126" s="28" t="s">
        <v>45</v>
      </c>
      <c r="E126" s="481" t="s">
        <v>133</v>
      </c>
      <c r="F126" s="482"/>
      <c r="G126" s="482"/>
      <c r="H126" s="483"/>
      <c r="I126" s="104"/>
      <c r="J126" s="104"/>
      <c r="K126" s="104"/>
      <c r="L126" s="104"/>
      <c r="M126" s="104"/>
      <c r="N126" s="104"/>
      <c r="O126" s="104"/>
      <c r="P126" s="104"/>
      <c r="Q126" s="104"/>
      <c r="R126" s="104"/>
      <c r="S126" s="104"/>
      <c r="T126" s="104"/>
      <c r="U126" s="104"/>
      <c r="V126" s="104"/>
      <c r="W126" s="104"/>
      <c r="X126" s="104"/>
    </row>
    <row r="127" spans="1:30" x14ac:dyDescent="0.25">
      <c r="B127" s="9" t="s">
        <v>46</v>
      </c>
      <c r="C127" s="112">
        <v>1000</v>
      </c>
      <c r="D127" s="28" t="s">
        <v>45</v>
      </c>
      <c r="E127" s="481" t="s">
        <v>47</v>
      </c>
      <c r="F127" s="482"/>
      <c r="G127" s="482"/>
      <c r="H127" s="483"/>
      <c r="I127" s="104"/>
      <c r="J127" s="104"/>
      <c r="K127" s="104"/>
      <c r="L127" s="104"/>
      <c r="M127" s="104"/>
      <c r="N127" s="104"/>
      <c r="O127" s="104"/>
      <c r="P127" s="104"/>
      <c r="Q127" s="104"/>
      <c r="R127" s="104"/>
      <c r="S127" s="104"/>
      <c r="T127" s="104"/>
      <c r="U127" s="104"/>
      <c r="V127" s="104"/>
      <c r="W127" s="104"/>
      <c r="X127" s="104"/>
    </row>
    <row r="128" spans="1:30" x14ac:dyDescent="0.25">
      <c r="B128" s="9" t="s">
        <v>48</v>
      </c>
      <c r="C128" s="112">
        <v>1000</v>
      </c>
      <c r="D128" s="28" t="s">
        <v>45</v>
      </c>
      <c r="E128" s="481" t="s">
        <v>49</v>
      </c>
      <c r="F128" s="482"/>
      <c r="G128" s="482"/>
      <c r="H128" s="483"/>
      <c r="I128" s="104"/>
      <c r="J128" s="104"/>
      <c r="K128" s="104"/>
      <c r="L128" s="104"/>
      <c r="M128" s="104"/>
      <c r="N128" s="104"/>
      <c r="O128" s="104"/>
      <c r="P128" s="104"/>
      <c r="Q128" s="104"/>
      <c r="R128" s="104"/>
      <c r="S128" s="104"/>
      <c r="T128" s="104"/>
      <c r="U128" s="104"/>
      <c r="V128" s="104"/>
      <c r="W128" s="104"/>
      <c r="X128" s="104"/>
    </row>
    <row r="129" spans="1:24" x14ac:dyDescent="0.25">
      <c r="B129" s="9" t="s">
        <v>50</v>
      </c>
      <c r="C129" s="112">
        <v>100</v>
      </c>
      <c r="D129" s="28" t="s">
        <v>45</v>
      </c>
      <c r="E129" s="481" t="s">
        <v>49</v>
      </c>
      <c r="F129" s="482"/>
      <c r="G129" s="482"/>
      <c r="H129" s="483"/>
      <c r="I129" s="104"/>
      <c r="J129" s="104"/>
      <c r="K129" s="104"/>
      <c r="L129" s="104"/>
      <c r="M129" s="104"/>
      <c r="N129" s="104"/>
      <c r="O129" s="104"/>
      <c r="P129" s="104"/>
      <c r="Q129" s="104"/>
      <c r="R129" s="104"/>
      <c r="S129" s="104"/>
      <c r="T129" s="104"/>
      <c r="U129" s="104"/>
      <c r="V129" s="104"/>
      <c r="W129" s="104"/>
      <c r="X129" s="104"/>
    </row>
    <row r="130" spans="1:24" x14ac:dyDescent="0.25">
      <c r="B130" s="121" t="s">
        <v>102</v>
      </c>
      <c r="C130" s="112">
        <v>2000</v>
      </c>
      <c r="D130" s="28" t="s">
        <v>45</v>
      </c>
      <c r="E130" s="481" t="s">
        <v>49</v>
      </c>
      <c r="F130" s="482"/>
      <c r="G130" s="482"/>
      <c r="H130" s="483"/>
      <c r="I130" s="104"/>
      <c r="J130" s="104"/>
      <c r="K130" s="104"/>
      <c r="L130" s="104"/>
      <c r="M130" s="104"/>
      <c r="N130" s="104"/>
      <c r="O130" s="104"/>
      <c r="P130" s="104"/>
      <c r="Q130" s="104"/>
      <c r="R130" s="104"/>
      <c r="S130" s="104"/>
      <c r="T130" s="104"/>
      <c r="U130" s="104"/>
      <c r="V130" s="104"/>
      <c r="W130" s="104"/>
      <c r="X130" s="104"/>
    </row>
    <row r="131" spans="1:24" x14ac:dyDescent="0.25">
      <c r="B131" s="109" t="s">
        <v>103</v>
      </c>
      <c r="C131" s="112">
        <v>2000</v>
      </c>
      <c r="D131" s="28" t="s">
        <v>45</v>
      </c>
      <c r="E131" s="481" t="s">
        <v>49</v>
      </c>
      <c r="F131" s="482"/>
      <c r="G131" s="482"/>
      <c r="H131" s="483"/>
      <c r="I131" s="104"/>
      <c r="J131" s="104"/>
      <c r="K131" s="104"/>
      <c r="L131" s="104"/>
      <c r="M131" s="104"/>
      <c r="N131" s="104"/>
      <c r="O131" s="104"/>
      <c r="P131" s="104"/>
      <c r="Q131" s="104"/>
      <c r="R131" s="104"/>
      <c r="S131" s="104"/>
      <c r="T131" s="104"/>
      <c r="U131" s="104"/>
      <c r="V131" s="104"/>
      <c r="W131" s="104"/>
      <c r="X131" s="104"/>
    </row>
    <row r="132" spans="1:24" x14ac:dyDescent="0.25">
      <c r="B132" s="121" t="s">
        <v>35</v>
      </c>
      <c r="C132" s="112">
        <v>1500</v>
      </c>
      <c r="D132" s="28" t="s">
        <v>45</v>
      </c>
      <c r="E132" s="481" t="s">
        <v>49</v>
      </c>
      <c r="F132" s="482"/>
      <c r="G132" s="482"/>
      <c r="H132" s="483"/>
      <c r="I132" s="104"/>
      <c r="J132" s="104"/>
      <c r="K132" s="104"/>
      <c r="L132" s="104"/>
      <c r="M132" s="104"/>
      <c r="N132" s="104"/>
      <c r="O132" s="104"/>
      <c r="P132" s="104"/>
      <c r="Q132" s="104"/>
      <c r="R132" s="104"/>
      <c r="S132" s="104"/>
      <c r="T132" s="104"/>
      <c r="U132" s="104"/>
      <c r="V132" s="104"/>
      <c r="W132" s="104"/>
      <c r="X132" s="104"/>
    </row>
    <row r="133" spans="1:24" ht="30" x14ac:dyDescent="0.25">
      <c r="B133" s="9" t="s">
        <v>12</v>
      </c>
      <c r="C133" s="112">
        <v>58</v>
      </c>
      <c r="D133" s="28" t="s">
        <v>100</v>
      </c>
      <c r="E133" s="481"/>
      <c r="F133" s="482"/>
      <c r="G133" s="482"/>
      <c r="H133" s="483"/>
      <c r="I133" s="104"/>
      <c r="J133" s="104"/>
      <c r="K133" s="104"/>
      <c r="L133" s="104"/>
      <c r="M133" s="104"/>
      <c r="N133" s="104"/>
      <c r="O133" s="104"/>
      <c r="P133" s="104"/>
      <c r="Q133" s="104"/>
      <c r="R133" s="104"/>
      <c r="S133" s="104"/>
      <c r="T133" s="104"/>
      <c r="U133" s="104"/>
      <c r="V133" s="104"/>
      <c r="W133" s="104"/>
      <c r="X133" s="104"/>
    </row>
    <row r="134" spans="1:24" ht="30" x14ac:dyDescent="0.25">
      <c r="B134" s="9" t="s">
        <v>13</v>
      </c>
      <c r="C134" s="112">
        <v>7</v>
      </c>
      <c r="D134" s="28" t="s">
        <v>36</v>
      </c>
      <c r="E134" s="481"/>
      <c r="F134" s="482"/>
      <c r="G134" s="482"/>
      <c r="H134" s="483"/>
      <c r="I134" s="104"/>
      <c r="J134" s="104"/>
      <c r="K134" s="104"/>
      <c r="L134" s="104"/>
      <c r="M134" s="104"/>
      <c r="N134" s="104"/>
      <c r="O134" s="104"/>
      <c r="P134" s="104"/>
      <c r="Q134" s="104"/>
      <c r="R134" s="104"/>
      <c r="S134" s="104"/>
      <c r="T134" s="104"/>
      <c r="U134" s="104"/>
      <c r="V134" s="104"/>
      <c r="W134" s="104"/>
      <c r="X134" s="104"/>
    </row>
    <row r="135" spans="1:24" x14ac:dyDescent="0.25">
      <c r="B135" s="9" t="s">
        <v>132</v>
      </c>
      <c r="C135" s="102">
        <v>0.01</v>
      </c>
      <c r="D135" s="28" t="s">
        <v>16</v>
      </c>
      <c r="E135" s="490"/>
      <c r="F135" s="490"/>
      <c r="G135" s="490"/>
      <c r="H135" s="490"/>
      <c r="I135" s="104"/>
      <c r="J135" s="104"/>
      <c r="K135" s="104"/>
      <c r="L135" s="104"/>
      <c r="M135" s="104"/>
      <c r="N135" s="104"/>
      <c r="O135" s="104"/>
      <c r="P135" s="104"/>
      <c r="Q135" s="104"/>
      <c r="R135" s="104"/>
      <c r="S135" s="104"/>
      <c r="T135" s="104"/>
      <c r="U135" s="104"/>
      <c r="V135" s="104"/>
      <c r="W135" s="104"/>
      <c r="X135" s="104"/>
    </row>
    <row r="136" spans="1:24" x14ac:dyDescent="0.25">
      <c r="B136" s="9" t="s">
        <v>15</v>
      </c>
      <c r="C136" s="102">
        <v>0.24</v>
      </c>
      <c r="D136" s="27" t="s">
        <v>16</v>
      </c>
      <c r="E136" s="490" t="s">
        <v>17</v>
      </c>
      <c r="F136" s="490"/>
      <c r="G136" s="490"/>
      <c r="H136" s="490"/>
      <c r="I136" s="104"/>
      <c r="J136" s="104"/>
      <c r="K136" s="104"/>
      <c r="L136" s="104"/>
      <c r="M136" s="104"/>
      <c r="N136" s="104"/>
      <c r="O136" s="104"/>
      <c r="P136" s="104"/>
      <c r="Q136" s="104"/>
      <c r="R136" s="104"/>
      <c r="S136" s="104"/>
      <c r="T136" s="104"/>
      <c r="U136" s="104"/>
      <c r="V136" s="104"/>
      <c r="W136" s="104"/>
      <c r="X136" s="104"/>
    </row>
    <row r="137" spans="1:24" x14ac:dyDescent="0.25">
      <c r="C137" s="91"/>
      <c r="D137" s="104"/>
      <c r="E137" s="104"/>
      <c r="F137" s="104"/>
      <c r="G137" s="104"/>
      <c r="H137" s="104"/>
      <c r="I137" s="104"/>
      <c r="J137" s="104"/>
      <c r="K137" s="104"/>
      <c r="L137" s="104"/>
      <c r="M137" s="104"/>
      <c r="N137" s="104"/>
      <c r="O137" s="104"/>
      <c r="P137" s="104"/>
      <c r="Q137" s="104"/>
      <c r="R137" s="104"/>
      <c r="S137" s="104"/>
      <c r="T137" s="104"/>
      <c r="U137" s="104"/>
      <c r="V137" s="104"/>
      <c r="W137" s="104"/>
      <c r="X137" s="104"/>
    </row>
    <row r="138" spans="1:24" x14ac:dyDescent="0.25">
      <c r="C138" s="71"/>
      <c r="D138" s="73"/>
      <c r="E138" s="73"/>
      <c r="F138" s="73"/>
      <c r="G138" s="73"/>
      <c r="H138" s="73"/>
      <c r="I138" s="73"/>
      <c r="J138" s="73"/>
      <c r="K138" s="73"/>
      <c r="L138" s="73"/>
      <c r="M138" s="73"/>
      <c r="N138" s="73"/>
      <c r="O138" s="73"/>
      <c r="P138" s="73"/>
      <c r="Q138" s="73"/>
      <c r="R138" s="73"/>
      <c r="S138" s="73"/>
      <c r="T138" s="73"/>
      <c r="U138" s="73"/>
      <c r="V138" s="73"/>
      <c r="W138" s="73"/>
    </row>
    <row r="139" spans="1:24" x14ac:dyDescent="0.25">
      <c r="A139" s="63">
        <v>7</v>
      </c>
      <c r="B139" s="44" t="s">
        <v>313</v>
      </c>
      <c r="C139" s="73"/>
      <c r="D139" s="89"/>
      <c r="E139" s="73"/>
      <c r="F139" s="73"/>
      <c r="G139" s="73"/>
      <c r="H139" s="73"/>
      <c r="P139" s="73"/>
      <c r="U139" s="73"/>
      <c r="V139" s="73"/>
      <c r="W139" s="73"/>
    </row>
    <row r="140" spans="1:24" x14ac:dyDescent="0.25">
      <c r="A140" s="91"/>
      <c r="B140" s="44"/>
      <c r="C140" s="73"/>
      <c r="D140" s="89"/>
      <c r="E140" s="73"/>
      <c r="F140" s="73"/>
      <c r="G140" s="73"/>
      <c r="H140" s="73"/>
      <c r="P140" s="73"/>
      <c r="U140" s="73"/>
      <c r="V140" s="73"/>
      <c r="W140" s="73"/>
    </row>
    <row r="141" spans="1:24" x14ac:dyDescent="0.25">
      <c r="A141" s="91"/>
      <c r="B141" s="347" t="s">
        <v>239</v>
      </c>
      <c r="C141" s="348"/>
      <c r="D141" s="349"/>
      <c r="E141" s="73"/>
      <c r="F141" s="73"/>
      <c r="G141" s="73"/>
      <c r="H141" s="73"/>
      <c r="P141" s="73"/>
      <c r="U141" s="73"/>
      <c r="V141" s="73"/>
      <c r="W141" s="73"/>
    </row>
    <row r="142" spans="1:24" x14ac:dyDescent="0.25">
      <c r="A142" s="91"/>
      <c r="B142" s="213"/>
      <c r="C142" s="219" t="s">
        <v>240</v>
      </c>
      <c r="D142" s="350"/>
      <c r="E142" s="73"/>
      <c r="F142" s="73"/>
      <c r="G142" s="73"/>
      <c r="H142" s="73"/>
      <c r="P142" s="73"/>
      <c r="U142" s="73"/>
      <c r="V142" s="73"/>
      <c r="W142" s="73"/>
    </row>
    <row r="143" spans="1:24" x14ac:dyDescent="0.25">
      <c r="A143" s="91"/>
      <c r="B143" s="9" t="s">
        <v>48</v>
      </c>
      <c r="C143" s="220">
        <v>1</v>
      </c>
      <c r="D143" s="351"/>
      <c r="E143" s="73"/>
      <c r="F143" s="73"/>
      <c r="G143" s="73"/>
      <c r="H143" s="73"/>
      <c r="P143" s="73"/>
      <c r="U143" s="73"/>
      <c r="V143" s="73"/>
      <c r="W143" s="73"/>
    </row>
    <row r="144" spans="1:24" x14ac:dyDescent="0.25">
      <c r="A144" s="91"/>
      <c r="B144" s="9" t="s">
        <v>50</v>
      </c>
      <c r="C144" s="220">
        <v>1</v>
      </c>
      <c r="D144" s="351"/>
      <c r="E144" s="73"/>
      <c r="F144" s="73"/>
      <c r="G144" s="73"/>
      <c r="H144" s="73"/>
      <c r="P144" s="73"/>
      <c r="U144" s="73"/>
      <c r="V144" s="73"/>
      <c r="W144" s="73"/>
    </row>
    <row r="145" spans="1:24" x14ac:dyDescent="0.25">
      <c r="A145" s="91"/>
      <c r="B145" s="121" t="s">
        <v>102</v>
      </c>
      <c r="C145" s="442">
        <f>'CFs Derivation_Hatchery'!C45</f>
        <v>1.0119090909090909</v>
      </c>
      <c r="D145" s="351"/>
      <c r="E145" s="73"/>
      <c r="F145" s="73"/>
      <c r="G145" s="73"/>
      <c r="H145" s="73"/>
      <c r="P145" s="73"/>
      <c r="U145" s="73"/>
      <c r="V145" s="73"/>
      <c r="W145" s="73"/>
    </row>
    <row r="146" spans="1:24" x14ac:dyDescent="0.25">
      <c r="A146" s="91"/>
      <c r="B146" s="370" t="s">
        <v>242</v>
      </c>
      <c r="C146" s="442">
        <f>'CFs Derivation_Hatchery'!C45</f>
        <v>1.0119090909090909</v>
      </c>
      <c r="D146" s="369"/>
      <c r="E146" s="73"/>
      <c r="F146" s="73"/>
      <c r="G146" s="73"/>
      <c r="H146" s="73"/>
      <c r="P146" s="73"/>
      <c r="U146" s="73"/>
      <c r="V146" s="73"/>
      <c r="W146" s="73"/>
    </row>
    <row r="147" spans="1:24" x14ac:dyDescent="0.25">
      <c r="A147" s="91"/>
      <c r="B147" s="204" t="s">
        <v>241</v>
      </c>
      <c r="C147" s="220">
        <v>1</v>
      </c>
      <c r="D147" s="369"/>
      <c r="E147" s="73"/>
      <c r="F147" s="73"/>
      <c r="G147" s="73"/>
      <c r="H147" s="73"/>
      <c r="P147" s="73"/>
      <c r="U147" s="73"/>
      <c r="V147" s="73"/>
      <c r="W147" s="73"/>
    </row>
    <row r="148" spans="1:24" x14ac:dyDescent="0.25">
      <c r="A148" s="91"/>
      <c r="B148" s="9" t="s">
        <v>39</v>
      </c>
      <c r="C148" s="220">
        <v>1</v>
      </c>
      <c r="D148" s="369"/>
      <c r="E148" s="73"/>
      <c r="F148" s="73"/>
      <c r="G148" s="73"/>
      <c r="H148" s="73"/>
      <c r="P148" s="73"/>
      <c r="U148" s="73"/>
      <c r="V148" s="73"/>
      <c r="W148" s="73"/>
    </row>
    <row r="149" spans="1:24" x14ac:dyDescent="0.25">
      <c r="A149" s="91"/>
      <c r="B149" s="204" t="s">
        <v>245</v>
      </c>
      <c r="C149" s="220">
        <v>1</v>
      </c>
      <c r="D149" s="353"/>
      <c r="E149" s="73"/>
      <c r="F149" s="73"/>
      <c r="G149" s="73"/>
      <c r="H149" s="73"/>
      <c r="P149" s="73"/>
      <c r="U149" s="73"/>
      <c r="V149" s="73"/>
      <c r="W149" s="73"/>
    </row>
    <row r="150" spans="1:24" x14ac:dyDescent="0.25">
      <c r="A150" s="91"/>
      <c r="B150" s="44"/>
      <c r="C150" s="73"/>
      <c r="D150" s="89"/>
      <c r="E150" s="73"/>
      <c r="F150" s="135"/>
      <c r="G150" s="135"/>
      <c r="H150" s="135"/>
      <c r="K150" s="499" t="s">
        <v>72</v>
      </c>
      <c r="L150" s="499"/>
      <c r="M150" s="499"/>
      <c r="N150" s="499"/>
      <c r="P150" s="494" t="s">
        <v>70</v>
      </c>
      <c r="Q150" s="494"/>
      <c r="R150" s="494"/>
      <c r="S150" s="494"/>
      <c r="U150" s="494" t="s">
        <v>73</v>
      </c>
      <c r="V150" s="494"/>
      <c r="W150" s="494"/>
      <c r="X150" s="494"/>
    </row>
    <row r="151" spans="1:24" ht="22.15" customHeight="1" x14ac:dyDescent="0.25">
      <c r="K151" s="495" t="s">
        <v>129</v>
      </c>
      <c r="L151" s="496"/>
      <c r="M151" s="496"/>
      <c r="N151" s="497"/>
      <c r="P151" s="495" t="s">
        <v>129</v>
      </c>
      <c r="Q151" s="496"/>
      <c r="R151" s="496"/>
      <c r="S151" s="497"/>
      <c r="U151" s="495" t="s">
        <v>129</v>
      </c>
      <c r="V151" s="496"/>
      <c r="W151" s="496"/>
      <c r="X151" s="497"/>
    </row>
    <row r="152" spans="1:24" ht="45" x14ac:dyDescent="0.25">
      <c r="B152" s="17" t="s">
        <v>3</v>
      </c>
      <c r="C152" s="110" t="s">
        <v>246</v>
      </c>
      <c r="D152" s="341" t="s">
        <v>247</v>
      </c>
      <c r="E152" s="20" t="s">
        <v>5</v>
      </c>
      <c r="F152" s="222"/>
      <c r="G152" s="222"/>
      <c r="H152" s="222"/>
      <c r="K152" s="88"/>
      <c r="L152" s="110" t="s">
        <v>130</v>
      </c>
      <c r="M152" s="88" t="s">
        <v>97</v>
      </c>
      <c r="N152" s="88" t="s">
        <v>96</v>
      </c>
      <c r="P152" s="88"/>
      <c r="Q152" s="110" t="s">
        <v>130</v>
      </c>
      <c r="R152" s="88" t="s">
        <v>97</v>
      </c>
      <c r="S152" s="88" t="s">
        <v>96</v>
      </c>
      <c r="U152" s="88"/>
      <c r="V152" s="110" t="s">
        <v>130</v>
      </c>
      <c r="W152" s="88" t="s">
        <v>97</v>
      </c>
      <c r="X152" s="88" t="s">
        <v>96</v>
      </c>
    </row>
    <row r="153" spans="1:24" ht="17.25" customHeight="1" x14ac:dyDescent="0.25">
      <c r="B153" s="9" t="s">
        <v>37</v>
      </c>
      <c r="C153" s="118">
        <f>C118</f>
        <v>500000</v>
      </c>
      <c r="D153" s="151">
        <f>C153</f>
        <v>500000</v>
      </c>
      <c r="E153" s="28" t="s">
        <v>38</v>
      </c>
      <c r="F153" s="223"/>
      <c r="G153" s="223"/>
      <c r="H153" s="223"/>
      <c r="K153" s="47" t="s">
        <v>77</v>
      </c>
      <c r="L153" s="97">
        <v>-0.05</v>
      </c>
      <c r="M153" s="58">
        <f>$F82*F81</f>
        <v>0.5</v>
      </c>
      <c r="N153" s="108">
        <f>L153*M153</f>
        <v>-2.5000000000000001E-2</v>
      </c>
      <c r="P153" s="47" t="s">
        <v>77</v>
      </c>
      <c r="Q153" s="97">
        <v>-0.1</v>
      </c>
      <c r="R153" s="58">
        <f>F96*F95</f>
        <v>0.5</v>
      </c>
      <c r="S153" s="108">
        <f>Q153*R153</f>
        <v>-0.05</v>
      </c>
      <c r="U153" s="47" t="s">
        <v>77</v>
      </c>
      <c r="V153" s="97">
        <v>-0.15</v>
      </c>
      <c r="W153" s="58">
        <f>F108*F107</f>
        <v>0.5</v>
      </c>
      <c r="X153" s="108">
        <f>V153*W153</f>
        <v>-7.4999999999999997E-2</v>
      </c>
    </row>
    <row r="154" spans="1:24" ht="17.25" customHeight="1" x14ac:dyDescent="0.25">
      <c r="B154" s="9" t="s">
        <v>39</v>
      </c>
      <c r="C154" s="119">
        <f>C119</f>
        <v>1.7000000000000001E-2</v>
      </c>
      <c r="D154" s="398">
        <f>C154*C148</f>
        <v>1.7000000000000001E-2</v>
      </c>
      <c r="E154" s="28" t="s">
        <v>40</v>
      </c>
      <c r="F154" s="223"/>
      <c r="G154" s="223"/>
      <c r="H154" s="223"/>
      <c r="K154" s="47" t="s">
        <v>71</v>
      </c>
      <c r="L154" s="97">
        <v>0</v>
      </c>
      <c r="M154" s="58">
        <f>M153</f>
        <v>0.5</v>
      </c>
      <c r="N154" s="108">
        <f t="shared" ref="N154:N156" si="195">L154*M154</f>
        <v>0</v>
      </c>
      <c r="P154" s="47" t="s">
        <v>71</v>
      </c>
      <c r="Q154" s="97">
        <v>0</v>
      </c>
      <c r="R154" s="58">
        <f>R153</f>
        <v>0.5</v>
      </c>
      <c r="S154" s="108">
        <f t="shared" ref="S154:S156" si="196">Q154*R154</f>
        <v>0</v>
      </c>
      <c r="U154" s="47" t="s">
        <v>71</v>
      </c>
      <c r="V154" s="97">
        <v>0</v>
      </c>
      <c r="W154" s="58">
        <f>W153</f>
        <v>0.5</v>
      </c>
      <c r="X154" s="108">
        <f t="shared" ref="X154:X156" si="197">V154*W154</f>
        <v>0</v>
      </c>
    </row>
    <row r="155" spans="1:24" ht="17.25" customHeight="1" x14ac:dyDescent="0.25">
      <c r="B155" s="9" t="s">
        <v>41</v>
      </c>
      <c r="C155" s="138">
        <f>C120</f>
        <v>0.02</v>
      </c>
      <c r="D155" s="386">
        <f>C155</f>
        <v>0.02</v>
      </c>
      <c r="E155" s="28" t="s">
        <v>26</v>
      </c>
      <c r="F155" s="223"/>
      <c r="G155" s="223"/>
      <c r="H155" s="223"/>
      <c r="K155" s="47" t="s">
        <v>71</v>
      </c>
      <c r="L155" s="97">
        <v>0</v>
      </c>
      <c r="M155" s="58">
        <f t="shared" ref="M155:M156" si="198">M154</f>
        <v>0.5</v>
      </c>
      <c r="N155" s="108">
        <f t="shared" si="195"/>
        <v>0</v>
      </c>
      <c r="P155" s="47" t="s">
        <v>71</v>
      </c>
      <c r="Q155" s="97">
        <v>0</v>
      </c>
      <c r="R155" s="58">
        <f t="shared" ref="R155:R156" si="199">R154</f>
        <v>0.5</v>
      </c>
      <c r="S155" s="108">
        <f t="shared" si="196"/>
        <v>0</v>
      </c>
      <c r="U155" s="47" t="s">
        <v>71</v>
      </c>
      <c r="V155" s="97">
        <v>0</v>
      </c>
      <c r="W155" s="58">
        <f t="shared" ref="W155:W156" si="200">W154</f>
        <v>0.5</v>
      </c>
      <c r="X155" s="108">
        <f t="shared" si="197"/>
        <v>0</v>
      </c>
    </row>
    <row r="156" spans="1:24" ht="29.25" customHeight="1" x14ac:dyDescent="0.25">
      <c r="B156" s="9" t="s">
        <v>42</v>
      </c>
      <c r="C156" s="58">
        <f>C121</f>
        <v>0.2</v>
      </c>
      <c r="D156" s="134">
        <f>C156*C149</f>
        <v>0.2</v>
      </c>
      <c r="E156" s="28" t="s">
        <v>43</v>
      </c>
      <c r="F156" s="223"/>
      <c r="G156" s="223"/>
      <c r="H156" s="223"/>
      <c r="K156" s="47" t="s">
        <v>77</v>
      </c>
      <c r="L156" s="97">
        <v>-0.1</v>
      </c>
      <c r="M156" s="58">
        <f t="shared" si="198"/>
        <v>0.5</v>
      </c>
      <c r="N156" s="108">
        <f t="shared" si="195"/>
        <v>-0.05</v>
      </c>
      <c r="P156" s="47" t="s">
        <v>77</v>
      </c>
      <c r="Q156" s="97">
        <v>-0.25</v>
      </c>
      <c r="R156" s="58">
        <f t="shared" si="199"/>
        <v>0.5</v>
      </c>
      <c r="S156" s="108">
        <f t="shared" si="196"/>
        <v>-0.125</v>
      </c>
      <c r="U156" s="47" t="s">
        <v>77</v>
      </c>
      <c r="V156" s="97">
        <v>-0.9</v>
      </c>
      <c r="W156" s="58">
        <f t="shared" si="200"/>
        <v>0.5</v>
      </c>
      <c r="X156" s="108">
        <f t="shared" si="197"/>
        <v>-0.45</v>
      </c>
    </row>
    <row r="157" spans="1:24" x14ac:dyDescent="0.25">
      <c r="L157" s="91"/>
      <c r="M157" s="91"/>
      <c r="N157" s="91"/>
      <c r="Q157" s="91"/>
      <c r="R157" s="91"/>
      <c r="S157" s="91"/>
      <c r="V157" s="91"/>
      <c r="W157" s="91"/>
      <c r="X157" s="91"/>
    </row>
    <row r="158" spans="1:24" x14ac:dyDescent="0.25">
      <c r="L158" s="91"/>
      <c r="M158" s="91"/>
      <c r="N158" s="91"/>
      <c r="Q158" s="91"/>
      <c r="R158" s="91"/>
      <c r="S158" s="91"/>
      <c r="V158" s="91"/>
      <c r="W158" s="91"/>
      <c r="X158" s="91"/>
    </row>
    <row r="159" spans="1:24" x14ac:dyDescent="0.25">
      <c r="B159" s="17" t="s">
        <v>10</v>
      </c>
      <c r="C159" s="63"/>
      <c r="D159" s="14" t="s">
        <v>4</v>
      </c>
      <c r="E159" s="21" t="s">
        <v>5</v>
      </c>
      <c r="F159" s="222"/>
      <c r="G159" s="222"/>
      <c r="H159" s="222"/>
      <c r="L159" s="91"/>
      <c r="M159" s="91"/>
      <c r="N159" s="91"/>
      <c r="Q159" s="91"/>
      <c r="R159" s="91"/>
      <c r="S159" s="91"/>
      <c r="V159" s="91"/>
      <c r="W159" s="91"/>
      <c r="X159" s="91"/>
    </row>
    <row r="160" spans="1:24" ht="16.899999999999999" customHeight="1" x14ac:dyDescent="0.25">
      <c r="B160" s="9" t="s">
        <v>44</v>
      </c>
      <c r="C160" s="118">
        <f>C125</f>
        <v>10000</v>
      </c>
      <c r="D160" s="368">
        <f>C160</f>
        <v>10000</v>
      </c>
      <c r="E160" s="28" t="s">
        <v>9</v>
      </c>
      <c r="F160" s="225"/>
      <c r="G160" s="225"/>
      <c r="H160" s="225"/>
      <c r="K160" s="47" t="s">
        <v>71</v>
      </c>
      <c r="L160" s="97">
        <v>0</v>
      </c>
      <c r="M160" s="58">
        <f>M153</f>
        <v>0.5</v>
      </c>
      <c r="N160" s="64">
        <f>L160*M160</f>
        <v>0</v>
      </c>
      <c r="P160" s="47" t="s">
        <v>71</v>
      </c>
      <c r="Q160" s="97">
        <v>0</v>
      </c>
      <c r="R160" s="58">
        <f>R156</f>
        <v>0.5</v>
      </c>
      <c r="S160" s="111">
        <f>Q160*R160</f>
        <v>0</v>
      </c>
      <c r="U160" s="47" t="s">
        <v>71</v>
      </c>
      <c r="V160" s="97">
        <v>0</v>
      </c>
      <c r="W160" s="58">
        <f>W156</f>
        <v>0.5</v>
      </c>
      <c r="X160" s="138">
        <f>V160*W160</f>
        <v>0</v>
      </c>
    </row>
    <row r="161" spans="1:28" ht="18" customHeight="1" x14ac:dyDescent="0.25">
      <c r="B161" s="9" t="s">
        <v>104</v>
      </c>
      <c r="C161" s="118">
        <f t="shared" ref="C161:C169" si="201">C126</f>
        <v>500</v>
      </c>
      <c r="D161" s="151">
        <f>C161</f>
        <v>500</v>
      </c>
      <c r="E161" s="28" t="s">
        <v>45</v>
      </c>
      <c r="F161" s="225"/>
      <c r="G161" s="225"/>
      <c r="H161" s="225"/>
      <c r="K161" s="90" t="s">
        <v>74</v>
      </c>
      <c r="L161" s="97">
        <v>0.03</v>
      </c>
      <c r="M161" s="58">
        <f>M160</f>
        <v>0.5</v>
      </c>
      <c r="N161" s="108">
        <f t="shared" ref="N161:N170" si="202">L161*M161</f>
        <v>1.4999999999999999E-2</v>
      </c>
      <c r="P161" s="90" t="s">
        <v>74</v>
      </c>
      <c r="Q161" s="97">
        <v>0.05</v>
      </c>
      <c r="R161" s="58">
        <f>R160</f>
        <v>0.5</v>
      </c>
      <c r="S161" s="111">
        <f t="shared" ref="S161:S171" si="203">Q161*R161</f>
        <v>2.5000000000000001E-2</v>
      </c>
      <c r="U161" s="90" t="s">
        <v>74</v>
      </c>
      <c r="V161" s="97">
        <v>0.25</v>
      </c>
      <c r="W161" s="58">
        <f>W160</f>
        <v>0.5</v>
      </c>
      <c r="X161" s="138">
        <f t="shared" ref="X161:X171" si="204">V161*W161</f>
        <v>0.125</v>
      </c>
    </row>
    <row r="162" spans="1:28" ht="16.899999999999999" customHeight="1" x14ac:dyDescent="0.25">
      <c r="B162" s="9" t="s">
        <v>46</v>
      </c>
      <c r="C162" s="118">
        <f t="shared" si="201"/>
        <v>1000</v>
      </c>
      <c r="D162" s="151">
        <f>C162</f>
        <v>1000</v>
      </c>
      <c r="E162" s="28" t="s">
        <v>45</v>
      </c>
      <c r="F162" s="225"/>
      <c r="G162" s="225"/>
      <c r="H162" s="225"/>
      <c r="J162" s="73"/>
      <c r="K162" s="90" t="s">
        <v>74</v>
      </c>
      <c r="L162" s="97">
        <v>0.03</v>
      </c>
      <c r="M162" s="58">
        <f t="shared" ref="M162:M171" si="205">M161</f>
        <v>0.5</v>
      </c>
      <c r="N162" s="108">
        <f t="shared" si="202"/>
        <v>1.4999999999999999E-2</v>
      </c>
      <c r="P162" s="90" t="s">
        <v>74</v>
      </c>
      <c r="Q162" s="97">
        <v>0.05</v>
      </c>
      <c r="R162" s="58">
        <f t="shared" ref="R162:R171" si="206">R161</f>
        <v>0.5</v>
      </c>
      <c r="S162" s="111">
        <f t="shared" si="203"/>
        <v>2.5000000000000001E-2</v>
      </c>
      <c r="U162" s="90" t="s">
        <v>74</v>
      </c>
      <c r="V162" s="97">
        <v>0.2</v>
      </c>
      <c r="W162" s="58">
        <f t="shared" ref="W162:W171" si="207">W161</f>
        <v>0.5</v>
      </c>
      <c r="X162" s="138">
        <f t="shared" si="204"/>
        <v>0.1</v>
      </c>
    </row>
    <row r="163" spans="1:28" x14ac:dyDescent="0.25">
      <c r="B163" s="9" t="s">
        <v>48</v>
      </c>
      <c r="C163" s="118">
        <f t="shared" si="201"/>
        <v>1000</v>
      </c>
      <c r="D163" s="151">
        <f>C163*C143</f>
        <v>1000</v>
      </c>
      <c r="E163" s="28" t="s">
        <v>45</v>
      </c>
      <c r="F163" s="225"/>
      <c r="G163" s="225"/>
      <c r="H163" s="225"/>
      <c r="K163" s="47" t="s">
        <v>71</v>
      </c>
      <c r="L163" s="97">
        <v>0</v>
      </c>
      <c r="M163" s="58">
        <f t="shared" si="205"/>
        <v>0.5</v>
      </c>
      <c r="N163" s="108">
        <f t="shared" si="202"/>
        <v>0</v>
      </c>
      <c r="P163" s="47" t="s">
        <v>71</v>
      </c>
      <c r="Q163" s="97">
        <v>0</v>
      </c>
      <c r="R163" s="58">
        <f t="shared" si="206"/>
        <v>0.5</v>
      </c>
      <c r="S163" s="111">
        <f t="shared" si="203"/>
        <v>0</v>
      </c>
      <c r="U163" s="47" t="s">
        <v>71</v>
      </c>
      <c r="V163" s="97">
        <v>0</v>
      </c>
      <c r="W163" s="58">
        <f t="shared" si="207"/>
        <v>0.5</v>
      </c>
      <c r="X163" s="138">
        <f t="shared" si="204"/>
        <v>0</v>
      </c>
    </row>
    <row r="164" spans="1:28" x14ac:dyDescent="0.25">
      <c r="B164" s="9" t="s">
        <v>50</v>
      </c>
      <c r="C164" s="118">
        <f t="shared" si="201"/>
        <v>100</v>
      </c>
      <c r="D164" s="151">
        <f>C164*C144</f>
        <v>100</v>
      </c>
      <c r="E164" s="28" t="s">
        <v>45</v>
      </c>
      <c r="F164" s="225"/>
      <c r="G164" s="225"/>
      <c r="H164" s="225"/>
      <c r="K164" s="90" t="s">
        <v>74</v>
      </c>
      <c r="L164" s="97">
        <v>0.05</v>
      </c>
      <c r="M164" s="58">
        <f t="shared" si="205"/>
        <v>0.5</v>
      </c>
      <c r="N164" s="108">
        <f t="shared" si="202"/>
        <v>2.5000000000000001E-2</v>
      </c>
      <c r="P164" s="90" t="s">
        <v>74</v>
      </c>
      <c r="Q164" s="97">
        <v>0.15</v>
      </c>
      <c r="R164" s="58">
        <f t="shared" si="206"/>
        <v>0.5</v>
      </c>
      <c r="S164" s="111">
        <f t="shared" si="203"/>
        <v>7.4999999999999997E-2</v>
      </c>
      <c r="U164" s="90" t="s">
        <v>74</v>
      </c>
      <c r="V164" s="97">
        <v>0.3</v>
      </c>
      <c r="W164" s="58">
        <f t="shared" si="207"/>
        <v>0.5</v>
      </c>
      <c r="X164" s="138">
        <f t="shared" si="204"/>
        <v>0.15</v>
      </c>
    </row>
    <row r="165" spans="1:28" x14ac:dyDescent="0.25">
      <c r="B165" s="121" t="s">
        <v>102</v>
      </c>
      <c r="C165" s="118">
        <f t="shared" si="201"/>
        <v>2000</v>
      </c>
      <c r="D165" s="151">
        <f>C165*C145</f>
        <v>2023.8181818181818</v>
      </c>
      <c r="E165" s="28" t="s">
        <v>45</v>
      </c>
      <c r="F165" s="225"/>
      <c r="G165" s="225"/>
      <c r="H165" s="225"/>
      <c r="K165" s="90" t="s">
        <v>74</v>
      </c>
      <c r="L165" s="97">
        <v>0.02</v>
      </c>
      <c r="M165" s="58">
        <f t="shared" si="205"/>
        <v>0.5</v>
      </c>
      <c r="N165" s="108">
        <f t="shared" si="202"/>
        <v>0.01</v>
      </c>
      <c r="P165" s="90" t="s">
        <v>74</v>
      </c>
      <c r="Q165" s="97">
        <v>0.05</v>
      </c>
      <c r="R165" s="58">
        <f t="shared" si="206"/>
        <v>0.5</v>
      </c>
      <c r="S165" s="111">
        <f t="shared" si="203"/>
        <v>2.5000000000000001E-2</v>
      </c>
      <c r="U165" s="90" t="s">
        <v>74</v>
      </c>
      <c r="V165" s="97">
        <v>0.15</v>
      </c>
      <c r="W165" s="58">
        <f t="shared" si="207"/>
        <v>0.5</v>
      </c>
      <c r="X165" s="138">
        <f t="shared" si="204"/>
        <v>7.4999999999999997E-2</v>
      </c>
    </row>
    <row r="166" spans="1:28" x14ac:dyDescent="0.25">
      <c r="B166" s="109" t="s">
        <v>103</v>
      </c>
      <c r="C166" s="118">
        <f t="shared" si="201"/>
        <v>2000</v>
      </c>
      <c r="D166" s="151">
        <f>C166</f>
        <v>2000</v>
      </c>
      <c r="E166" s="28" t="s">
        <v>45</v>
      </c>
      <c r="F166" s="225"/>
      <c r="G166" s="225"/>
      <c r="H166" s="225"/>
      <c r="K166" s="90" t="s">
        <v>74</v>
      </c>
      <c r="L166" s="97">
        <v>0.02</v>
      </c>
      <c r="M166" s="58">
        <f t="shared" si="205"/>
        <v>0.5</v>
      </c>
      <c r="N166" s="108">
        <f t="shared" si="202"/>
        <v>0.01</v>
      </c>
      <c r="P166" s="90" t="s">
        <v>74</v>
      </c>
      <c r="Q166" s="97">
        <v>0.05</v>
      </c>
      <c r="R166" s="58">
        <f t="shared" si="206"/>
        <v>0.5</v>
      </c>
      <c r="S166" s="111">
        <f t="shared" si="203"/>
        <v>2.5000000000000001E-2</v>
      </c>
      <c r="U166" s="90" t="s">
        <v>74</v>
      </c>
      <c r="V166" s="97">
        <v>0.15</v>
      </c>
      <c r="W166" s="58">
        <f t="shared" si="207"/>
        <v>0.5</v>
      </c>
      <c r="X166" s="138">
        <f t="shared" si="204"/>
        <v>7.4999999999999997E-2</v>
      </c>
    </row>
    <row r="167" spans="1:28" ht="13.9" customHeight="1" x14ac:dyDescent="0.25">
      <c r="B167" s="121" t="s">
        <v>35</v>
      </c>
      <c r="C167" s="118">
        <f t="shared" si="201"/>
        <v>1500</v>
      </c>
      <c r="D167" s="151">
        <f>C167*C146</f>
        <v>1517.8636363636363</v>
      </c>
      <c r="E167" s="28" t="s">
        <v>45</v>
      </c>
      <c r="F167" s="225"/>
      <c r="G167" s="225"/>
      <c r="H167" s="225"/>
      <c r="K167" s="90" t="s">
        <v>74</v>
      </c>
      <c r="L167" s="97">
        <v>0.03</v>
      </c>
      <c r="M167" s="58">
        <f t="shared" si="205"/>
        <v>0.5</v>
      </c>
      <c r="N167" s="108">
        <f t="shared" si="202"/>
        <v>1.4999999999999999E-2</v>
      </c>
      <c r="P167" s="90" t="s">
        <v>74</v>
      </c>
      <c r="Q167" s="97">
        <v>7.0000000000000007E-2</v>
      </c>
      <c r="R167" s="58">
        <f t="shared" si="206"/>
        <v>0.5</v>
      </c>
      <c r="S167" s="111">
        <f t="shared" si="203"/>
        <v>3.5000000000000003E-2</v>
      </c>
      <c r="U167" s="90" t="s">
        <v>74</v>
      </c>
      <c r="V167" s="97">
        <v>0.15</v>
      </c>
      <c r="W167" s="58">
        <f t="shared" si="207"/>
        <v>0.5</v>
      </c>
      <c r="X167" s="138">
        <f t="shared" si="204"/>
        <v>7.4999999999999997E-2</v>
      </c>
    </row>
    <row r="168" spans="1:28" ht="18" customHeight="1" x14ac:dyDescent="0.25">
      <c r="B168" s="9" t="s">
        <v>12</v>
      </c>
      <c r="C168" s="118">
        <f t="shared" si="201"/>
        <v>58</v>
      </c>
      <c r="D168" s="151">
        <f>C168</f>
        <v>58</v>
      </c>
      <c r="E168" s="28" t="s">
        <v>100</v>
      </c>
      <c r="F168" s="225"/>
      <c r="G168" s="225"/>
      <c r="H168" s="225"/>
      <c r="K168" s="47" t="s">
        <v>71</v>
      </c>
      <c r="L168" s="97">
        <v>0</v>
      </c>
      <c r="M168" s="58">
        <f t="shared" si="205"/>
        <v>0.5</v>
      </c>
      <c r="N168" s="108">
        <f t="shared" si="202"/>
        <v>0</v>
      </c>
      <c r="P168" s="47" t="s">
        <v>71</v>
      </c>
      <c r="Q168" s="97">
        <v>0</v>
      </c>
      <c r="R168" s="58">
        <f t="shared" si="206"/>
        <v>0.5</v>
      </c>
      <c r="S168" s="111">
        <f t="shared" si="203"/>
        <v>0</v>
      </c>
      <c r="U168" s="47" t="s">
        <v>71</v>
      </c>
      <c r="V168" s="97">
        <v>0</v>
      </c>
      <c r="W168" s="58">
        <f t="shared" si="207"/>
        <v>0.5</v>
      </c>
      <c r="X168" s="138">
        <f t="shared" si="204"/>
        <v>0</v>
      </c>
    </row>
    <row r="169" spans="1:28" ht="18" customHeight="1" x14ac:dyDescent="0.25">
      <c r="B169" s="9" t="s">
        <v>13</v>
      </c>
      <c r="C169" s="118">
        <f t="shared" si="201"/>
        <v>7</v>
      </c>
      <c r="D169" s="151">
        <f>C169</f>
        <v>7</v>
      </c>
      <c r="E169" s="28" t="s">
        <v>36</v>
      </c>
      <c r="F169" s="225"/>
      <c r="G169" s="225"/>
      <c r="H169" s="225"/>
      <c r="K169" s="47" t="s">
        <v>71</v>
      </c>
      <c r="L169" s="97">
        <v>0</v>
      </c>
      <c r="M169" s="58">
        <f t="shared" si="205"/>
        <v>0.5</v>
      </c>
      <c r="N169" s="108">
        <f t="shared" si="202"/>
        <v>0</v>
      </c>
      <c r="P169" s="47" t="s">
        <v>71</v>
      </c>
      <c r="Q169" s="97">
        <v>0</v>
      </c>
      <c r="R169" s="58">
        <f t="shared" si="206"/>
        <v>0.5</v>
      </c>
      <c r="S169" s="111">
        <f t="shared" si="203"/>
        <v>0</v>
      </c>
      <c r="U169" s="47" t="s">
        <v>71</v>
      </c>
      <c r="V169" s="97">
        <v>0</v>
      </c>
      <c r="W169" s="58">
        <f t="shared" si="207"/>
        <v>0.5</v>
      </c>
      <c r="X169" s="138">
        <f t="shared" si="204"/>
        <v>0</v>
      </c>
    </row>
    <row r="170" spans="1:28" x14ac:dyDescent="0.25">
      <c r="B170" s="9" t="s">
        <v>132</v>
      </c>
      <c r="C170" s="58">
        <f>C135</f>
        <v>0.01</v>
      </c>
      <c r="D170" s="134">
        <f>C170</f>
        <v>0.01</v>
      </c>
      <c r="E170" s="28" t="s">
        <v>16</v>
      </c>
      <c r="F170" s="225"/>
      <c r="G170" s="225"/>
      <c r="H170" s="225"/>
      <c r="K170" s="47" t="s">
        <v>71</v>
      </c>
      <c r="L170" s="97">
        <v>0</v>
      </c>
      <c r="M170" s="58">
        <f t="shared" si="205"/>
        <v>0.5</v>
      </c>
      <c r="N170" s="108">
        <f t="shared" si="202"/>
        <v>0</v>
      </c>
      <c r="P170" s="47" t="s">
        <v>71</v>
      </c>
      <c r="Q170" s="97">
        <v>0</v>
      </c>
      <c r="R170" s="58">
        <f t="shared" si="206"/>
        <v>0.5</v>
      </c>
      <c r="S170" s="111">
        <f t="shared" si="203"/>
        <v>0</v>
      </c>
      <c r="U170" s="47" t="s">
        <v>71</v>
      </c>
      <c r="V170" s="97">
        <v>0</v>
      </c>
      <c r="W170" s="58">
        <f t="shared" si="207"/>
        <v>0.5</v>
      </c>
      <c r="X170" s="138">
        <f t="shared" si="204"/>
        <v>0</v>
      </c>
    </row>
    <row r="171" spans="1:28" x14ac:dyDescent="0.25">
      <c r="B171" s="9" t="s">
        <v>15</v>
      </c>
      <c r="C171" s="58">
        <f>C136</f>
        <v>0.24</v>
      </c>
      <c r="D171" s="134">
        <f>C171*C149</f>
        <v>0.24</v>
      </c>
      <c r="E171" s="27" t="s">
        <v>16</v>
      </c>
      <c r="F171" s="225"/>
      <c r="G171" s="225"/>
      <c r="H171" s="225"/>
      <c r="K171" s="47" t="s">
        <v>71</v>
      </c>
      <c r="L171" s="97">
        <v>0</v>
      </c>
      <c r="M171" s="58">
        <f t="shared" si="205"/>
        <v>0.5</v>
      </c>
      <c r="N171" s="108">
        <f>L171*M171</f>
        <v>0</v>
      </c>
      <c r="P171" s="47" t="s">
        <v>71</v>
      </c>
      <c r="Q171" s="97">
        <v>0</v>
      </c>
      <c r="R171" s="58">
        <f t="shared" si="206"/>
        <v>0.5</v>
      </c>
      <c r="S171" s="111">
        <f t="shared" si="203"/>
        <v>0</v>
      </c>
      <c r="U171" s="47" t="s">
        <v>71</v>
      </c>
      <c r="V171" s="97">
        <v>0</v>
      </c>
      <c r="W171" s="58">
        <f t="shared" si="207"/>
        <v>0.5</v>
      </c>
      <c r="X171" s="138">
        <f t="shared" si="204"/>
        <v>0</v>
      </c>
    </row>
    <row r="172" spans="1:28" x14ac:dyDescent="0.25">
      <c r="B172" s="10"/>
      <c r="C172" s="62"/>
      <c r="D172" s="100"/>
      <c r="E172" s="101"/>
      <c r="F172" s="101"/>
      <c r="G172" s="101"/>
      <c r="H172" s="101"/>
    </row>
    <row r="173" spans="1:28" x14ac:dyDescent="0.25">
      <c r="A173" s="63">
        <v>8</v>
      </c>
      <c r="B173" s="44" t="s">
        <v>134</v>
      </c>
      <c r="C173" s="91"/>
      <c r="D173" s="104"/>
      <c r="E173" s="104"/>
      <c r="F173" s="104"/>
      <c r="G173" s="104"/>
      <c r="H173" s="104"/>
      <c r="I173" s="104"/>
      <c r="J173" s="104"/>
      <c r="K173" s="104"/>
      <c r="L173" s="104"/>
      <c r="M173" s="104"/>
      <c r="N173" s="104"/>
      <c r="O173" s="104"/>
      <c r="P173" s="104"/>
      <c r="Q173" s="104"/>
      <c r="R173" s="104"/>
      <c r="S173" s="104"/>
      <c r="T173" s="104"/>
      <c r="U173" s="104"/>
      <c r="V173" s="104"/>
      <c r="W173" s="104"/>
      <c r="X173" s="104"/>
    </row>
    <row r="174" spans="1:28" x14ac:dyDescent="0.25">
      <c r="C174" s="91"/>
      <c r="D174" s="104"/>
      <c r="E174" s="104"/>
      <c r="F174" s="104"/>
      <c r="G174" s="104"/>
      <c r="H174" s="104"/>
      <c r="I174" s="104"/>
      <c r="J174" s="104"/>
      <c r="K174" s="104"/>
      <c r="L174" s="104"/>
      <c r="M174" s="104"/>
      <c r="N174" s="104"/>
      <c r="O174" s="104"/>
      <c r="P174" s="104"/>
      <c r="Q174" s="104"/>
      <c r="R174" s="104"/>
      <c r="S174" s="104"/>
      <c r="T174" s="104"/>
      <c r="U174" s="104"/>
      <c r="V174" s="104"/>
      <c r="W174" s="104"/>
      <c r="X174" s="104"/>
    </row>
    <row r="175" spans="1:28" x14ac:dyDescent="0.25">
      <c r="B175" s="212" t="s">
        <v>3</v>
      </c>
      <c r="C175" s="16" t="s">
        <v>19</v>
      </c>
      <c r="D175" s="16">
        <v>0</v>
      </c>
      <c r="E175" s="16">
        <v>1</v>
      </c>
      <c r="F175" s="16">
        <v>2</v>
      </c>
      <c r="G175" s="122">
        <v>3</v>
      </c>
      <c r="H175" s="16">
        <v>4</v>
      </c>
      <c r="I175" s="16">
        <v>5</v>
      </c>
      <c r="J175" s="122">
        <v>6</v>
      </c>
      <c r="K175" s="16">
        <v>7</v>
      </c>
      <c r="L175" s="16">
        <v>8</v>
      </c>
      <c r="M175" s="122">
        <v>9</v>
      </c>
      <c r="N175" s="16">
        <v>10</v>
      </c>
      <c r="O175" s="16">
        <v>11</v>
      </c>
      <c r="P175" s="122">
        <v>12</v>
      </c>
      <c r="Q175" s="16">
        <v>13</v>
      </c>
      <c r="R175" s="16">
        <v>14</v>
      </c>
      <c r="S175" s="122">
        <v>15</v>
      </c>
      <c r="T175" s="16">
        <v>16</v>
      </c>
      <c r="U175" s="16">
        <v>17</v>
      </c>
      <c r="V175" s="122">
        <v>18</v>
      </c>
      <c r="W175" s="16">
        <v>19</v>
      </c>
      <c r="X175" s="16">
        <v>20</v>
      </c>
      <c r="Y175" s="122">
        <v>21</v>
      </c>
      <c r="Z175" s="16">
        <v>22</v>
      </c>
      <c r="AA175" s="16">
        <v>23</v>
      </c>
      <c r="AB175" s="122">
        <v>24</v>
      </c>
    </row>
    <row r="176" spans="1:28" x14ac:dyDescent="0.25">
      <c r="B176" s="109" t="s">
        <v>37</v>
      </c>
      <c r="C176" s="63" t="str">
        <f>K153</f>
        <v>Decrease</v>
      </c>
      <c r="D176" s="118">
        <f>D153</f>
        <v>500000</v>
      </c>
      <c r="E176" s="118">
        <f>D176</f>
        <v>500000</v>
      </c>
      <c r="F176" s="118">
        <f>E176</f>
        <v>500000</v>
      </c>
      <c r="G176" s="145">
        <f>F176*(1+$N153)</f>
        <v>487500</v>
      </c>
      <c r="H176" s="118">
        <f>E176</f>
        <v>500000</v>
      </c>
      <c r="I176" s="118">
        <f t="shared" ref="I176" si="208">F176</f>
        <v>500000</v>
      </c>
      <c r="J176" s="63">
        <f>I176*(1+$N153)</f>
        <v>487500</v>
      </c>
      <c r="K176" s="118">
        <f>H176</f>
        <v>500000</v>
      </c>
      <c r="L176" s="118">
        <f>K176</f>
        <v>500000</v>
      </c>
      <c r="M176" s="63">
        <f>L176*(1+$N153)</f>
        <v>487500</v>
      </c>
      <c r="N176" s="118">
        <f>K176</f>
        <v>500000</v>
      </c>
      <c r="O176" s="118">
        <f t="shared" ref="O176" si="209">L176</f>
        <v>500000</v>
      </c>
      <c r="P176" s="63">
        <f>O176*(1+$N153)</f>
        <v>487500</v>
      </c>
      <c r="Q176" s="118">
        <f>N176</f>
        <v>500000</v>
      </c>
      <c r="R176" s="118">
        <f>O176</f>
        <v>500000</v>
      </c>
      <c r="S176" s="63">
        <f>R176*(1+$N153)</f>
        <v>487500</v>
      </c>
      <c r="T176" s="118">
        <f>Q176</f>
        <v>500000</v>
      </c>
      <c r="U176" s="118">
        <f>R176</f>
        <v>500000</v>
      </c>
      <c r="V176" s="63">
        <f>U176*(1+$N153)</f>
        <v>487500</v>
      </c>
      <c r="W176" s="118">
        <f>T176</f>
        <v>500000</v>
      </c>
      <c r="X176" s="118">
        <f>U176</f>
        <v>500000</v>
      </c>
      <c r="Y176" s="63">
        <f>X176*(1+$N153)</f>
        <v>487500</v>
      </c>
      <c r="Z176" s="118">
        <f>W176</f>
        <v>500000</v>
      </c>
      <c r="AA176" s="118">
        <f>X176</f>
        <v>500000</v>
      </c>
      <c r="AB176" s="63">
        <f>AA176*(1+$N153)</f>
        <v>487500</v>
      </c>
    </row>
    <row r="177" spans="2:28" x14ac:dyDescent="0.25">
      <c r="B177" s="109" t="s">
        <v>39</v>
      </c>
      <c r="C177" s="63" t="str">
        <f t="shared" ref="C177:C179" si="210">K154</f>
        <v>No change</v>
      </c>
      <c r="D177" s="119">
        <f>D154</f>
        <v>1.7000000000000001E-2</v>
      </c>
      <c r="E177" s="119">
        <f>D177</f>
        <v>1.7000000000000001E-2</v>
      </c>
      <c r="F177" s="119">
        <f t="shared" ref="F177:AB177" si="211">E177</f>
        <v>1.7000000000000001E-2</v>
      </c>
      <c r="G177" s="128">
        <f t="shared" si="211"/>
        <v>1.7000000000000001E-2</v>
      </c>
      <c r="H177" s="119">
        <f t="shared" si="211"/>
        <v>1.7000000000000001E-2</v>
      </c>
      <c r="I177" s="119">
        <f t="shared" si="211"/>
        <v>1.7000000000000001E-2</v>
      </c>
      <c r="J177" s="128">
        <f t="shared" si="211"/>
        <v>1.7000000000000001E-2</v>
      </c>
      <c r="K177" s="119">
        <f t="shared" si="211"/>
        <v>1.7000000000000001E-2</v>
      </c>
      <c r="L177" s="119">
        <f t="shared" si="211"/>
        <v>1.7000000000000001E-2</v>
      </c>
      <c r="M177" s="128">
        <f t="shared" si="211"/>
        <v>1.7000000000000001E-2</v>
      </c>
      <c r="N177" s="119">
        <f t="shared" si="211"/>
        <v>1.7000000000000001E-2</v>
      </c>
      <c r="O177" s="119">
        <f t="shared" si="211"/>
        <v>1.7000000000000001E-2</v>
      </c>
      <c r="P177" s="128">
        <f t="shared" si="211"/>
        <v>1.7000000000000001E-2</v>
      </c>
      <c r="Q177" s="119">
        <f t="shared" si="211"/>
        <v>1.7000000000000001E-2</v>
      </c>
      <c r="R177" s="119">
        <f t="shared" si="211"/>
        <v>1.7000000000000001E-2</v>
      </c>
      <c r="S177" s="128">
        <f t="shared" si="211"/>
        <v>1.7000000000000001E-2</v>
      </c>
      <c r="T177" s="119">
        <f t="shared" si="211"/>
        <v>1.7000000000000001E-2</v>
      </c>
      <c r="U177" s="119">
        <f t="shared" si="211"/>
        <v>1.7000000000000001E-2</v>
      </c>
      <c r="V177" s="128">
        <f t="shared" si="211"/>
        <v>1.7000000000000001E-2</v>
      </c>
      <c r="W177" s="119">
        <f t="shared" si="211"/>
        <v>1.7000000000000001E-2</v>
      </c>
      <c r="X177" s="119">
        <f t="shared" si="211"/>
        <v>1.7000000000000001E-2</v>
      </c>
      <c r="Y177" s="128">
        <f t="shared" si="211"/>
        <v>1.7000000000000001E-2</v>
      </c>
      <c r="Z177" s="119">
        <f t="shared" si="211"/>
        <v>1.7000000000000001E-2</v>
      </c>
      <c r="AA177" s="119">
        <f t="shared" si="211"/>
        <v>1.7000000000000001E-2</v>
      </c>
      <c r="AB177" s="128">
        <f t="shared" si="211"/>
        <v>1.7000000000000001E-2</v>
      </c>
    </row>
    <row r="178" spans="2:28" x14ac:dyDescent="0.25">
      <c r="B178" s="109" t="s">
        <v>41</v>
      </c>
      <c r="C178" s="63" t="str">
        <f t="shared" si="210"/>
        <v>No change</v>
      </c>
      <c r="D178" s="58">
        <f>D155</f>
        <v>0.02</v>
      </c>
      <c r="E178" s="58">
        <f>D178</f>
        <v>0.02</v>
      </c>
      <c r="F178" s="58">
        <f>E178</f>
        <v>0.02</v>
      </c>
      <c r="G178" s="124">
        <f t="shared" ref="G178:AB178" si="212">F178</f>
        <v>0.02</v>
      </c>
      <c r="H178" s="58">
        <f t="shared" si="212"/>
        <v>0.02</v>
      </c>
      <c r="I178" s="58">
        <f t="shared" si="212"/>
        <v>0.02</v>
      </c>
      <c r="J178" s="124">
        <f t="shared" si="212"/>
        <v>0.02</v>
      </c>
      <c r="K178" s="58">
        <f t="shared" si="212"/>
        <v>0.02</v>
      </c>
      <c r="L178" s="58">
        <f t="shared" si="212"/>
        <v>0.02</v>
      </c>
      <c r="M178" s="124">
        <f t="shared" si="212"/>
        <v>0.02</v>
      </c>
      <c r="N178" s="58">
        <f t="shared" si="212"/>
        <v>0.02</v>
      </c>
      <c r="O178" s="58">
        <f t="shared" si="212"/>
        <v>0.02</v>
      </c>
      <c r="P178" s="124">
        <f t="shared" si="212"/>
        <v>0.02</v>
      </c>
      <c r="Q178" s="58">
        <f t="shared" si="212"/>
        <v>0.02</v>
      </c>
      <c r="R178" s="58">
        <f t="shared" si="212"/>
        <v>0.02</v>
      </c>
      <c r="S178" s="124">
        <f t="shared" si="212"/>
        <v>0.02</v>
      </c>
      <c r="T178" s="58">
        <f t="shared" si="212"/>
        <v>0.02</v>
      </c>
      <c r="U178" s="58">
        <f t="shared" si="212"/>
        <v>0.02</v>
      </c>
      <c r="V178" s="124">
        <f t="shared" si="212"/>
        <v>0.02</v>
      </c>
      <c r="W178" s="58">
        <f t="shared" si="212"/>
        <v>0.02</v>
      </c>
      <c r="X178" s="58">
        <f t="shared" si="212"/>
        <v>0.02</v>
      </c>
      <c r="Y178" s="124">
        <f t="shared" si="212"/>
        <v>0.02</v>
      </c>
      <c r="Z178" s="58">
        <f t="shared" si="212"/>
        <v>0.02</v>
      </c>
      <c r="AA178" s="58">
        <f t="shared" si="212"/>
        <v>0.02</v>
      </c>
      <c r="AB178" s="124">
        <f t="shared" si="212"/>
        <v>0.02</v>
      </c>
    </row>
    <row r="179" spans="2:28" s="131" customFormat="1" x14ac:dyDescent="0.25">
      <c r="B179" s="109" t="s">
        <v>42</v>
      </c>
      <c r="C179" s="129" t="str">
        <f t="shared" si="210"/>
        <v>Decrease</v>
      </c>
      <c r="D179" s="132">
        <f>D183*$D156</f>
        <v>2000</v>
      </c>
      <c r="E179" s="132">
        <f>D179</f>
        <v>2000</v>
      </c>
      <c r="F179" s="132">
        <f>E179</f>
        <v>2000</v>
      </c>
      <c r="G179" s="132">
        <f>F179*(1+$N156)</f>
        <v>1900</v>
      </c>
      <c r="H179" s="132">
        <f>E179</f>
        <v>2000</v>
      </c>
      <c r="I179" s="132">
        <f>H179</f>
        <v>2000</v>
      </c>
      <c r="J179" s="132">
        <f>I179*(1+$N156)</f>
        <v>1900</v>
      </c>
      <c r="K179" s="132">
        <f>I179</f>
        <v>2000</v>
      </c>
      <c r="L179" s="132">
        <f>K179</f>
        <v>2000</v>
      </c>
      <c r="M179" s="132">
        <f>L179*(1+$N156)</f>
        <v>1900</v>
      </c>
      <c r="N179" s="132">
        <f>K179</f>
        <v>2000</v>
      </c>
      <c r="O179" s="132">
        <f>N179</f>
        <v>2000</v>
      </c>
      <c r="P179" s="132">
        <f>O179*(1+$N156)</f>
        <v>1900</v>
      </c>
      <c r="Q179" s="132">
        <f>O179</f>
        <v>2000</v>
      </c>
      <c r="R179" s="132">
        <f>Q179</f>
        <v>2000</v>
      </c>
      <c r="S179" s="132">
        <f>R179*(1+$N156)</f>
        <v>1900</v>
      </c>
      <c r="T179" s="132">
        <f>R179</f>
        <v>2000</v>
      </c>
      <c r="U179" s="132">
        <f>T179</f>
        <v>2000</v>
      </c>
      <c r="V179" s="132">
        <f>U179*(1+$N156)</f>
        <v>1900</v>
      </c>
      <c r="W179" s="132">
        <f>U179</f>
        <v>2000</v>
      </c>
      <c r="X179" s="132">
        <f>W179</f>
        <v>2000</v>
      </c>
      <c r="Y179" s="132">
        <f>X179*(1+$N156)</f>
        <v>1900</v>
      </c>
      <c r="Z179" s="133">
        <f>X179</f>
        <v>2000</v>
      </c>
      <c r="AA179" s="133">
        <f>Z179</f>
        <v>2000</v>
      </c>
      <c r="AB179" s="132">
        <f>AA179*(1+$N156)</f>
        <v>1900</v>
      </c>
    </row>
    <row r="180" spans="2:28" x14ac:dyDescent="0.25">
      <c r="J180" s="127"/>
      <c r="M180" s="127"/>
      <c r="P180" s="127"/>
      <c r="S180" s="127"/>
      <c r="V180" s="127"/>
      <c r="Y180" s="127"/>
      <c r="AB180" s="127"/>
    </row>
    <row r="181" spans="2:28" x14ac:dyDescent="0.25">
      <c r="J181" s="127"/>
      <c r="M181" s="127"/>
      <c r="P181" s="127"/>
      <c r="S181" s="127"/>
      <c r="V181" s="127"/>
      <c r="Y181" s="127"/>
      <c r="AB181" s="127"/>
    </row>
    <row r="182" spans="2:28" x14ac:dyDescent="0.25">
      <c r="B182" s="17" t="s">
        <v>10</v>
      </c>
      <c r="C182" s="16" t="s">
        <v>19</v>
      </c>
      <c r="D182" s="16">
        <v>0</v>
      </c>
      <c r="E182" s="16">
        <v>1</v>
      </c>
      <c r="F182" s="16">
        <v>2</v>
      </c>
      <c r="G182" s="122">
        <v>3</v>
      </c>
      <c r="H182" s="16">
        <v>4</v>
      </c>
      <c r="I182" s="16">
        <v>5</v>
      </c>
      <c r="J182" s="122">
        <v>6</v>
      </c>
      <c r="K182" s="16">
        <v>7</v>
      </c>
      <c r="L182" s="16">
        <v>8</v>
      </c>
      <c r="M182" s="122">
        <v>9</v>
      </c>
      <c r="N182" s="16">
        <v>10</v>
      </c>
      <c r="O182" s="16">
        <v>11</v>
      </c>
      <c r="P182" s="122">
        <v>12</v>
      </c>
      <c r="Q182" s="16">
        <v>13</v>
      </c>
      <c r="R182" s="16">
        <v>14</v>
      </c>
      <c r="S182" s="122">
        <v>15</v>
      </c>
      <c r="T182" s="16">
        <v>16</v>
      </c>
      <c r="U182" s="16">
        <v>17</v>
      </c>
      <c r="V182" s="122">
        <v>18</v>
      </c>
      <c r="W182" s="16">
        <v>19</v>
      </c>
      <c r="X182" s="16">
        <v>20</v>
      </c>
      <c r="Y182" s="122">
        <v>21</v>
      </c>
      <c r="Z182" s="16">
        <v>22</v>
      </c>
      <c r="AA182" s="16">
        <v>23</v>
      </c>
      <c r="AB182" s="122">
        <v>24</v>
      </c>
    </row>
    <row r="183" spans="2:28" x14ac:dyDescent="0.25">
      <c r="B183" s="109" t="s">
        <v>44</v>
      </c>
      <c r="C183" s="63" t="str">
        <f>K160</f>
        <v>No change</v>
      </c>
      <c r="D183" s="118">
        <f>D160</f>
        <v>10000</v>
      </c>
      <c r="E183" s="118">
        <f t="shared" ref="E183:F187" si="213">D183</f>
        <v>10000</v>
      </c>
      <c r="F183" s="118">
        <f t="shared" si="213"/>
        <v>10000</v>
      </c>
      <c r="G183" s="123">
        <f t="shared" ref="G183:AB183" si="214">F183</f>
        <v>10000</v>
      </c>
      <c r="H183" s="118">
        <f t="shared" si="214"/>
        <v>10000</v>
      </c>
      <c r="I183" s="118">
        <f t="shared" si="214"/>
        <v>10000</v>
      </c>
      <c r="J183" s="123">
        <f t="shared" si="214"/>
        <v>10000</v>
      </c>
      <c r="K183" s="118">
        <f t="shared" si="214"/>
        <v>10000</v>
      </c>
      <c r="L183" s="118">
        <f t="shared" si="214"/>
        <v>10000</v>
      </c>
      <c r="M183" s="123">
        <f t="shared" si="214"/>
        <v>10000</v>
      </c>
      <c r="N183" s="118">
        <f t="shared" si="214"/>
        <v>10000</v>
      </c>
      <c r="O183" s="118">
        <f t="shared" si="214"/>
        <v>10000</v>
      </c>
      <c r="P183" s="123">
        <f t="shared" si="214"/>
        <v>10000</v>
      </c>
      <c r="Q183" s="118">
        <f t="shared" si="214"/>
        <v>10000</v>
      </c>
      <c r="R183" s="118">
        <f t="shared" si="214"/>
        <v>10000</v>
      </c>
      <c r="S183" s="123">
        <f t="shared" si="214"/>
        <v>10000</v>
      </c>
      <c r="T183" s="118">
        <f t="shared" si="214"/>
        <v>10000</v>
      </c>
      <c r="U183" s="118">
        <f t="shared" si="214"/>
        <v>10000</v>
      </c>
      <c r="V183" s="123">
        <f t="shared" si="214"/>
        <v>10000</v>
      </c>
      <c r="W183" s="118">
        <f t="shared" si="214"/>
        <v>10000</v>
      </c>
      <c r="X183" s="118">
        <f t="shared" si="214"/>
        <v>10000</v>
      </c>
      <c r="Y183" s="123">
        <f t="shared" si="214"/>
        <v>10000</v>
      </c>
      <c r="Z183" s="118">
        <f t="shared" si="214"/>
        <v>10000</v>
      </c>
      <c r="AA183" s="118">
        <f t="shared" si="214"/>
        <v>10000</v>
      </c>
      <c r="AB183" s="123">
        <f t="shared" si="214"/>
        <v>10000</v>
      </c>
    </row>
    <row r="184" spans="2:28" s="131" customFormat="1" x14ac:dyDescent="0.25">
      <c r="B184" s="109" t="s">
        <v>104</v>
      </c>
      <c r="C184" s="129" t="str">
        <f t="shared" ref="C184:C194" si="215">K161</f>
        <v>Increase</v>
      </c>
      <c r="D184" s="130">
        <f>D161</f>
        <v>500</v>
      </c>
      <c r="E184" s="130">
        <f t="shared" si="213"/>
        <v>500</v>
      </c>
      <c r="F184" s="130">
        <f t="shared" si="213"/>
        <v>500</v>
      </c>
      <c r="G184" s="129">
        <f>F184*(1+$N161)</f>
        <v>507.49999999999994</v>
      </c>
      <c r="H184" s="130">
        <f>F184</f>
        <v>500</v>
      </c>
      <c r="I184" s="130">
        <f>H184</f>
        <v>500</v>
      </c>
      <c r="J184" s="129">
        <f>I184*(1+$N161)</f>
        <v>507.49999999999994</v>
      </c>
      <c r="K184" s="130">
        <f>I184</f>
        <v>500</v>
      </c>
      <c r="L184" s="130">
        <f>I184</f>
        <v>500</v>
      </c>
      <c r="M184" s="129">
        <f>L184*(1+$N161)</f>
        <v>507.49999999999994</v>
      </c>
      <c r="N184" s="130">
        <f>L184</f>
        <v>500</v>
      </c>
      <c r="O184" s="130">
        <f>N184</f>
        <v>500</v>
      </c>
      <c r="P184" s="129">
        <f>O184*(1+$N161)</f>
        <v>507.49999999999994</v>
      </c>
      <c r="Q184" s="130">
        <f>O184</f>
        <v>500</v>
      </c>
      <c r="R184" s="130">
        <f>Q184</f>
        <v>500</v>
      </c>
      <c r="S184" s="129">
        <f>R184*(1+$N161)</f>
        <v>507.49999999999994</v>
      </c>
      <c r="T184" s="130">
        <f>R184</f>
        <v>500</v>
      </c>
      <c r="U184" s="130">
        <f>T184</f>
        <v>500</v>
      </c>
      <c r="V184" s="129">
        <f>U184*(1+$N161)</f>
        <v>507.49999999999994</v>
      </c>
      <c r="W184" s="130">
        <f>U184</f>
        <v>500</v>
      </c>
      <c r="X184" s="130">
        <f>W184</f>
        <v>500</v>
      </c>
      <c r="Y184" s="129">
        <f>X184*(1+$N161)</f>
        <v>507.49999999999994</v>
      </c>
      <c r="Z184" s="130">
        <f>X184</f>
        <v>500</v>
      </c>
      <c r="AA184" s="130">
        <f>Z184</f>
        <v>500</v>
      </c>
      <c r="AB184" s="129">
        <f>AA184*(1+$N161)</f>
        <v>507.49999999999994</v>
      </c>
    </row>
    <row r="185" spans="2:28" s="131" customFormat="1" x14ac:dyDescent="0.25">
      <c r="B185" s="109" t="s">
        <v>46</v>
      </c>
      <c r="C185" s="129" t="str">
        <f t="shared" si="215"/>
        <v>Increase</v>
      </c>
      <c r="D185" s="130">
        <f>D162</f>
        <v>1000</v>
      </c>
      <c r="E185" s="130">
        <f t="shared" si="213"/>
        <v>1000</v>
      </c>
      <c r="F185" s="130">
        <f t="shared" si="213"/>
        <v>1000</v>
      </c>
      <c r="G185" s="129">
        <f>F185*(1+$N162)</f>
        <v>1014.9999999999999</v>
      </c>
      <c r="H185" s="130">
        <f>F185</f>
        <v>1000</v>
      </c>
      <c r="I185" s="130">
        <f>H185</f>
        <v>1000</v>
      </c>
      <c r="J185" s="129">
        <f>I185*(1+$N162)</f>
        <v>1014.9999999999999</v>
      </c>
      <c r="K185" s="130">
        <f>I185</f>
        <v>1000</v>
      </c>
      <c r="L185" s="130">
        <f>K185</f>
        <v>1000</v>
      </c>
      <c r="M185" s="129">
        <f>L185*(1+$N162)</f>
        <v>1014.9999999999999</v>
      </c>
      <c r="N185" s="130">
        <f>L185</f>
        <v>1000</v>
      </c>
      <c r="O185" s="130">
        <f>L185</f>
        <v>1000</v>
      </c>
      <c r="P185" s="129">
        <f>O185*(1+$N162)</f>
        <v>1014.9999999999999</v>
      </c>
      <c r="Q185" s="130">
        <f>O185</f>
        <v>1000</v>
      </c>
      <c r="R185" s="130">
        <f>Q185</f>
        <v>1000</v>
      </c>
      <c r="S185" s="129">
        <f>R185*(1+$N162)</f>
        <v>1014.9999999999999</v>
      </c>
      <c r="T185" s="130">
        <f>R185</f>
        <v>1000</v>
      </c>
      <c r="U185" s="130">
        <f>T185</f>
        <v>1000</v>
      </c>
      <c r="V185" s="129">
        <f>U185*(1+$N162)</f>
        <v>1014.9999999999999</v>
      </c>
      <c r="W185" s="130">
        <f>U185</f>
        <v>1000</v>
      </c>
      <c r="X185" s="130">
        <f>W185</f>
        <v>1000</v>
      </c>
      <c r="Y185" s="129">
        <f>X185*(1+$N162)</f>
        <v>1014.9999999999999</v>
      </c>
      <c r="Z185" s="130">
        <f>X185</f>
        <v>1000</v>
      </c>
      <c r="AA185" s="130">
        <f>X185</f>
        <v>1000</v>
      </c>
      <c r="AB185" s="129">
        <f>AA185*(1+$N162)</f>
        <v>1014.9999999999999</v>
      </c>
    </row>
    <row r="186" spans="2:28" x14ac:dyDescent="0.25">
      <c r="B186" s="109" t="s">
        <v>48</v>
      </c>
      <c r="C186" s="63" t="str">
        <f t="shared" si="215"/>
        <v>No change</v>
      </c>
      <c r="D186" s="118">
        <f>D163</f>
        <v>1000</v>
      </c>
      <c r="E186" s="118">
        <f t="shared" si="213"/>
        <v>1000</v>
      </c>
      <c r="F186" s="118">
        <f t="shared" si="213"/>
        <v>1000</v>
      </c>
      <c r="G186" s="123">
        <f t="shared" ref="G186:AB186" si="216">F186</f>
        <v>1000</v>
      </c>
      <c r="H186" s="118">
        <f t="shared" si="216"/>
        <v>1000</v>
      </c>
      <c r="I186" s="118">
        <f t="shared" si="216"/>
        <v>1000</v>
      </c>
      <c r="J186" s="123">
        <f t="shared" si="216"/>
        <v>1000</v>
      </c>
      <c r="K186" s="118">
        <f t="shared" si="216"/>
        <v>1000</v>
      </c>
      <c r="L186" s="118">
        <f t="shared" si="216"/>
        <v>1000</v>
      </c>
      <c r="M186" s="123">
        <f t="shared" si="216"/>
        <v>1000</v>
      </c>
      <c r="N186" s="118">
        <f t="shared" si="216"/>
        <v>1000</v>
      </c>
      <c r="O186" s="118">
        <f t="shared" si="216"/>
        <v>1000</v>
      </c>
      <c r="P186" s="123">
        <f t="shared" si="216"/>
        <v>1000</v>
      </c>
      <c r="Q186" s="118">
        <f t="shared" si="216"/>
        <v>1000</v>
      </c>
      <c r="R186" s="118">
        <f t="shared" si="216"/>
        <v>1000</v>
      </c>
      <c r="S186" s="123">
        <f t="shared" si="216"/>
        <v>1000</v>
      </c>
      <c r="T186" s="118">
        <f t="shared" si="216"/>
        <v>1000</v>
      </c>
      <c r="U186" s="118">
        <f t="shared" si="216"/>
        <v>1000</v>
      </c>
      <c r="V186" s="123">
        <f t="shared" si="216"/>
        <v>1000</v>
      </c>
      <c r="W186" s="118">
        <f t="shared" si="216"/>
        <v>1000</v>
      </c>
      <c r="X186" s="118">
        <f t="shared" si="216"/>
        <v>1000</v>
      </c>
      <c r="Y186" s="123">
        <f t="shared" si="216"/>
        <v>1000</v>
      </c>
      <c r="Z186" s="118">
        <f t="shared" si="216"/>
        <v>1000</v>
      </c>
      <c r="AA186" s="118">
        <f t="shared" si="216"/>
        <v>1000</v>
      </c>
      <c r="AB186" s="123">
        <f t="shared" si="216"/>
        <v>1000</v>
      </c>
    </row>
    <row r="187" spans="2:28" s="131" customFormat="1" x14ac:dyDescent="0.25">
      <c r="B187" s="109" t="s">
        <v>50</v>
      </c>
      <c r="C187" s="129" t="str">
        <f t="shared" si="215"/>
        <v>Increase</v>
      </c>
      <c r="D187" s="130">
        <f>D163</f>
        <v>1000</v>
      </c>
      <c r="E187" s="130">
        <f t="shared" si="213"/>
        <v>1000</v>
      </c>
      <c r="F187" s="130">
        <f t="shared" si="213"/>
        <v>1000</v>
      </c>
      <c r="G187" s="129">
        <f>F187*(1+$N164)</f>
        <v>1025</v>
      </c>
      <c r="H187" s="130">
        <f>F187</f>
        <v>1000</v>
      </c>
      <c r="I187" s="130">
        <f>H187</f>
        <v>1000</v>
      </c>
      <c r="J187" s="129">
        <f>I187*(1+$N164)</f>
        <v>1025</v>
      </c>
      <c r="K187" s="130">
        <f>I187</f>
        <v>1000</v>
      </c>
      <c r="L187" s="130">
        <f>K187</f>
        <v>1000</v>
      </c>
      <c r="M187" s="129">
        <f>L187*(1+$N164)</f>
        <v>1025</v>
      </c>
      <c r="N187" s="130">
        <f>L187</f>
        <v>1000</v>
      </c>
      <c r="O187" s="130">
        <f>N187</f>
        <v>1000</v>
      </c>
      <c r="P187" s="129">
        <f>O187*(1+$N164)</f>
        <v>1025</v>
      </c>
      <c r="Q187" s="130">
        <f>O187</f>
        <v>1000</v>
      </c>
      <c r="R187" s="130">
        <f>Q187</f>
        <v>1000</v>
      </c>
      <c r="S187" s="129">
        <f>R187*(1+$N164)</f>
        <v>1025</v>
      </c>
      <c r="T187" s="130">
        <f>R187</f>
        <v>1000</v>
      </c>
      <c r="U187" s="130">
        <f>T187</f>
        <v>1000</v>
      </c>
      <c r="V187" s="129">
        <f>U187*(1+$N164)</f>
        <v>1025</v>
      </c>
      <c r="W187" s="130">
        <f>U187</f>
        <v>1000</v>
      </c>
      <c r="X187" s="130">
        <f>W187</f>
        <v>1000</v>
      </c>
      <c r="Y187" s="129">
        <f>X187*(1+$N164)</f>
        <v>1025</v>
      </c>
      <c r="Z187" s="130">
        <f>X187</f>
        <v>1000</v>
      </c>
      <c r="AA187" s="130">
        <f>Z187</f>
        <v>1000</v>
      </c>
      <c r="AB187" s="129">
        <f>AA187*(1+$N164)</f>
        <v>1025</v>
      </c>
    </row>
    <row r="188" spans="2:28" s="131" customFormat="1" x14ac:dyDescent="0.25">
      <c r="B188" s="109" t="s">
        <v>102</v>
      </c>
      <c r="C188" s="129" t="str">
        <f t="shared" si="215"/>
        <v>Increase</v>
      </c>
      <c r="D188" s="130">
        <f>D164</f>
        <v>100</v>
      </c>
      <c r="E188" s="130">
        <f t="shared" ref="E188:F188" si="217">D188</f>
        <v>100</v>
      </c>
      <c r="F188" s="130">
        <f t="shared" si="217"/>
        <v>100</v>
      </c>
      <c r="G188" s="129">
        <f>F188*(1+$N165)</f>
        <v>101</v>
      </c>
      <c r="H188" s="130">
        <f t="shared" ref="H188:H190" si="218">F188</f>
        <v>100</v>
      </c>
      <c r="I188" s="130">
        <f t="shared" ref="I188:I190" si="219">H188</f>
        <v>100</v>
      </c>
      <c r="J188" s="129">
        <f>I188*(1+$N165)</f>
        <v>101</v>
      </c>
      <c r="K188" s="130">
        <f t="shared" ref="K188:K190" si="220">I188</f>
        <v>100</v>
      </c>
      <c r="L188" s="130">
        <f t="shared" ref="L188:L190" si="221">K188</f>
        <v>100</v>
      </c>
      <c r="M188" s="129">
        <f>L188*(1+$N165)</f>
        <v>101</v>
      </c>
      <c r="N188" s="130">
        <f t="shared" ref="N188:N190" si="222">L188</f>
        <v>100</v>
      </c>
      <c r="O188" s="130">
        <f t="shared" ref="O188:O190" si="223">N188</f>
        <v>100</v>
      </c>
      <c r="P188" s="129">
        <f>O188*(1+$N165)</f>
        <v>101</v>
      </c>
      <c r="Q188" s="130">
        <f t="shared" ref="Q188:Q190" si="224">O188</f>
        <v>100</v>
      </c>
      <c r="R188" s="130">
        <f t="shared" ref="R188:R190" si="225">Q188</f>
        <v>100</v>
      </c>
      <c r="S188" s="129">
        <f>R188*(1+$N165)</f>
        <v>101</v>
      </c>
      <c r="T188" s="130">
        <f t="shared" ref="T188:T190" si="226">R188</f>
        <v>100</v>
      </c>
      <c r="U188" s="130">
        <f t="shared" ref="U188:U190" si="227">T188</f>
        <v>100</v>
      </c>
      <c r="V188" s="129">
        <f>U188*(1+$N165)</f>
        <v>101</v>
      </c>
      <c r="W188" s="130">
        <f t="shared" ref="W188:W190" si="228">U188</f>
        <v>100</v>
      </c>
      <c r="X188" s="130">
        <f t="shared" ref="X188:X190" si="229">W188</f>
        <v>100</v>
      </c>
      <c r="Y188" s="129">
        <f>X188*(1+$N165)</f>
        <v>101</v>
      </c>
      <c r="Z188" s="130">
        <f t="shared" ref="Z188:Z190" si="230">X188</f>
        <v>100</v>
      </c>
      <c r="AA188" s="130">
        <f t="shared" ref="AA188:AA190" si="231">Z188</f>
        <v>100</v>
      </c>
      <c r="AB188" s="129">
        <f>AA188*(1+$N165)</f>
        <v>101</v>
      </c>
    </row>
    <row r="189" spans="2:28" s="131" customFormat="1" x14ac:dyDescent="0.25">
      <c r="B189" s="109" t="s">
        <v>103</v>
      </c>
      <c r="C189" s="129" t="str">
        <f t="shared" si="215"/>
        <v>Increase</v>
      </c>
      <c r="D189" s="130">
        <f>D165</f>
        <v>2023.8181818181818</v>
      </c>
      <c r="E189" s="130">
        <f t="shared" ref="E189:F189" si="232">D189</f>
        <v>2023.8181818181818</v>
      </c>
      <c r="F189" s="130">
        <f t="shared" si="232"/>
        <v>2023.8181818181818</v>
      </c>
      <c r="G189" s="129">
        <f>F189*(1+$N166)</f>
        <v>2044.0563636363636</v>
      </c>
      <c r="H189" s="130">
        <f t="shared" si="218"/>
        <v>2023.8181818181818</v>
      </c>
      <c r="I189" s="130">
        <f t="shared" si="219"/>
        <v>2023.8181818181818</v>
      </c>
      <c r="J189" s="129">
        <f>I189*(1+$N166)</f>
        <v>2044.0563636363636</v>
      </c>
      <c r="K189" s="130">
        <f t="shared" si="220"/>
        <v>2023.8181818181818</v>
      </c>
      <c r="L189" s="130">
        <f t="shared" si="221"/>
        <v>2023.8181818181818</v>
      </c>
      <c r="M189" s="129">
        <f>L189*(1+$N166)</f>
        <v>2044.0563636363636</v>
      </c>
      <c r="N189" s="130">
        <f t="shared" si="222"/>
        <v>2023.8181818181818</v>
      </c>
      <c r="O189" s="130">
        <f t="shared" si="223"/>
        <v>2023.8181818181818</v>
      </c>
      <c r="P189" s="129">
        <f>O189*(1+$N166)</f>
        <v>2044.0563636363636</v>
      </c>
      <c r="Q189" s="130">
        <f t="shared" si="224"/>
        <v>2023.8181818181818</v>
      </c>
      <c r="R189" s="130">
        <f t="shared" si="225"/>
        <v>2023.8181818181818</v>
      </c>
      <c r="S189" s="129">
        <f>R189*(1+$N166)</f>
        <v>2044.0563636363636</v>
      </c>
      <c r="T189" s="130">
        <f t="shared" si="226"/>
        <v>2023.8181818181818</v>
      </c>
      <c r="U189" s="130">
        <f t="shared" si="227"/>
        <v>2023.8181818181818</v>
      </c>
      <c r="V189" s="129">
        <f>U189*(1+$N166)</f>
        <v>2044.0563636363636</v>
      </c>
      <c r="W189" s="130">
        <f t="shared" si="228"/>
        <v>2023.8181818181818</v>
      </c>
      <c r="X189" s="130">
        <f t="shared" si="229"/>
        <v>2023.8181818181818</v>
      </c>
      <c r="Y189" s="129">
        <f>X189*(1+$N166)</f>
        <v>2044.0563636363636</v>
      </c>
      <c r="Z189" s="130">
        <f t="shared" si="230"/>
        <v>2023.8181818181818</v>
      </c>
      <c r="AA189" s="130">
        <f t="shared" si="231"/>
        <v>2023.8181818181818</v>
      </c>
      <c r="AB189" s="129">
        <f>AA189*(1+$N166)</f>
        <v>2044.0563636363636</v>
      </c>
    </row>
    <row r="190" spans="2:28" s="131" customFormat="1" x14ac:dyDescent="0.25">
      <c r="B190" s="109" t="s">
        <v>35</v>
      </c>
      <c r="C190" s="129" t="str">
        <f t="shared" si="215"/>
        <v>Increase</v>
      </c>
      <c r="D190" s="130">
        <f>D166</f>
        <v>2000</v>
      </c>
      <c r="E190" s="130">
        <f t="shared" ref="E190:F190" si="233">D190</f>
        <v>2000</v>
      </c>
      <c r="F190" s="130">
        <f t="shared" si="233"/>
        <v>2000</v>
      </c>
      <c r="G190" s="129">
        <f>F190*(1+$N167)</f>
        <v>2029.9999999999998</v>
      </c>
      <c r="H190" s="130">
        <f t="shared" si="218"/>
        <v>2000</v>
      </c>
      <c r="I190" s="130">
        <f t="shared" si="219"/>
        <v>2000</v>
      </c>
      <c r="J190" s="129">
        <f>I190*(1+$N167)</f>
        <v>2029.9999999999998</v>
      </c>
      <c r="K190" s="130">
        <f t="shared" si="220"/>
        <v>2000</v>
      </c>
      <c r="L190" s="130">
        <f t="shared" si="221"/>
        <v>2000</v>
      </c>
      <c r="M190" s="129">
        <f>L190*(1+$N167)</f>
        <v>2029.9999999999998</v>
      </c>
      <c r="N190" s="130">
        <f t="shared" si="222"/>
        <v>2000</v>
      </c>
      <c r="O190" s="130">
        <f t="shared" si="223"/>
        <v>2000</v>
      </c>
      <c r="P190" s="129">
        <f>O190*(1+$N167)</f>
        <v>2029.9999999999998</v>
      </c>
      <c r="Q190" s="130">
        <f t="shared" si="224"/>
        <v>2000</v>
      </c>
      <c r="R190" s="130">
        <f t="shared" si="225"/>
        <v>2000</v>
      </c>
      <c r="S190" s="129">
        <f>R190*(1+$N167)</f>
        <v>2029.9999999999998</v>
      </c>
      <c r="T190" s="130">
        <f t="shared" si="226"/>
        <v>2000</v>
      </c>
      <c r="U190" s="130">
        <f t="shared" si="227"/>
        <v>2000</v>
      </c>
      <c r="V190" s="129">
        <f>U190*(1+$N167)</f>
        <v>2029.9999999999998</v>
      </c>
      <c r="W190" s="130">
        <f t="shared" si="228"/>
        <v>2000</v>
      </c>
      <c r="X190" s="130">
        <f t="shared" si="229"/>
        <v>2000</v>
      </c>
      <c r="Y190" s="129">
        <f>X190*(1+$N167)</f>
        <v>2029.9999999999998</v>
      </c>
      <c r="Z190" s="130">
        <f t="shared" si="230"/>
        <v>2000</v>
      </c>
      <c r="AA190" s="130">
        <f t="shared" si="231"/>
        <v>2000</v>
      </c>
      <c r="AB190" s="129">
        <f>AA190*(1+$N167)</f>
        <v>2029.9999999999998</v>
      </c>
    </row>
    <row r="191" spans="2:28" x14ac:dyDescent="0.25">
      <c r="B191" s="109" t="s">
        <v>12</v>
      </c>
      <c r="C191" s="63" t="str">
        <f t="shared" si="215"/>
        <v>No change</v>
      </c>
      <c r="D191" s="93">
        <f>D168</f>
        <v>58</v>
      </c>
      <c r="E191" s="93">
        <f>D191</f>
        <v>58</v>
      </c>
      <c r="F191" s="93">
        <f t="shared" ref="F191:AB194" si="234">E191</f>
        <v>58</v>
      </c>
      <c r="G191" s="125">
        <f t="shared" si="234"/>
        <v>58</v>
      </c>
      <c r="H191" s="93">
        <f t="shared" si="234"/>
        <v>58</v>
      </c>
      <c r="I191" s="93">
        <f t="shared" si="234"/>
        <v>58</v>
      </c>
      <c r="J191" s="125">
        <f t="shared" si="234"/>
        <v>58</v>
      </c>
      <c r="K191" s="93">
        <f t="shared" si="234"/>
        <v>58</v>
      </c>
      <c r="L191" s="93">
        <f t="shared" si="234"/>
        <v>58</v>
      </c>
      <c r="M191" s="125">
        <f t="shared" si="234"/>
        <v>58</v>
      </c>
      <c r="N191" s="93">
        <f t="shared" si="234"/>
        <v>58</v>
      </c>
      <c r="O191" s="93">
        <f t="shared" si="234"/>
        <v>58</v>
      </c>
      <c r="P191" s="125">
        <f t="shared" si="234"/>
        <v>58</v>
      </c>
      <c r="Q191" s="93">
        <f t="shared" si="234"/>
        <v>58</v>
      </c>
      <c r="R191" s="93">
        <f t="shared" si="234"/>
        <v>58</v>
      </c>
      <c r="S191" s="125">
        <f t="shared" si="234"/>
        <v>58</v>
      </c>
      <c r="T191" s="93">
        <f t="shared" si="234"/>
        <v>58</v>
      </c>
      <c r="U191" s="93">
        <f t="shared" si="234"/>
        <v>58</v>
      </c>
      <c r="V191" s="125">
        <f t="shared" si="234"/>
        <v>58</v>
      </c>
      <c r="W191" s="93">
        <f t="shared" si="234"/>
        <v>58</v>
      </c>
      <c r="X191" s="93">
        <f t="shared" si="234"/>
        <v>58</v>
      </c>
      <c r="Y191" s="125">
        <f t="shared" si="234"/>
        <v>58</v>
      </c>
      <c r="Z191" s="93">
        <f t="shared" si="234"/>
        <v>58</v>
      </c>
      <c r="AA191" s="93">
        <f t="shared" si="234"/>
        <v>58</v>
      </c>
      <c r="AB191" s="125">
        <f t="shared" si="234"/>
        <v>58</v>
      </c>
    </row>
    <row r="192" spans="2:28" x14ac:dyDescent="0.25">
      <c r="B192" s="159" t="s">
        <v>13</v>
      </c>
      <c r="C192" s="63" t="str">
        <f t="shared" si="215"/>
        <v>No change</v>
      </c>
      <c r="D192" s="118">
        <f>D169</f>
        <v>7</v>
      </c>
      <c r="E192" s="93">
        <f t="shared" ref="E192:T194" si="235">D192</f>
        <v>7</v>
      </c>
      <c r="F192" s="93">
        <f t="shared" si="235"/>
        <v>7</v>
      </c>
      <c r="G192" s="125">
        <f t="shared" si="235"/>
        <v>7</v>
      </c>
      <c r="H192" s="93">
        <f t="shared" si="235"/>
        <v>7</v>
      </c>
      <c r="I192" s="93">
        <f t="shared" si="235"/>
        <v>7</v>
      </c>
      <c r="J192" s="125">
        <f t="shared" si="235"/>
        <v>7</v>
      </c>
      <c r="K192" s="93">
        <f t="shared" si="235"/>
        <v>7</v>
      </c>
      <c r="L192" s="93">
        <f t="shared" si="235"/>
        <v>7</v>
      </c>
      <c r="M192" s="125">
        <f t="shared" si="235"/>
        <v>7</v>
      </c>
      <c r="N192" s="93">
        <f t="shared" si="235"/>
        <v>7</v>
      </c>
      <c r="O192" s="93">
        <f t="shared" si="235"/>
        <v>7</v>
      </c>
      <c r="P192" s="125">
        <f t="shared" si="235"/>
        <v>7</v>
      </c>
      <c r="Q192" s="93">
        <f t="shared" si="235"/>
        <v>7</v>
      </c>
      <c r="R192" s="93">
        <f t="shared" si="235"/>
        <v>7</v>
      </c>
      <c r="S192" s="125">
        <f t="shared" si="235"/>
        <v>7</v>
      </c>
      <c r="T192" s="93">
        <f t="shared" si="235"/>
        <v>7</v>
      </c>
      <c r="U192" s="93">
        <f t="shared" si="234"/>
        <v>7</v>
      </c>
      <c r="V192" s="125">
        <f t="shared" si="234"/>
        <v>7</v>
      </c>
      <c r="W192" s="93">
        <f t="shared" si="234"/>
        <v>7</v>
      </c>
      <c r="X192" s="93">
        <f t="shared" si="234"/>
        <v>7</v>
      </c>
      <c r="Y192" s="125">
        <f t="shared" si="234"/>
        <v>7</v>
      </c>
      <c r="Z192" s="93">
        <f t="shared" si="234"/>
        <v>7</v>
      </c>
      <c r="AA192" s="93">
        <f t="shared" si="234"/>
        <v>7</v>
      </c>
      <c r="AB192" s="125">
        <f t="shared" si="234"/>
        <v>7</v>
      </c>
    </row>
    <row r="193" spans="1:28" x14ac:dyDescent="0.25">
      <c r="B193" s="115" t="s">
        <v>132</v>
      </c>
      <c r="C193" s="63" t="str">
        <f t="shared" si="215"/>
        <v>No change</v>
      </c>
      <c r="D193" s="58">
        <f>D170</f>
        <v>0.01</v>
      </c>
      <c r="E193" s="64">
        <f>D193</f>
        <v>0.01</v>
      </c>
      <c r="F193" s="64">
        <f t="shared" ref="F193:AB193" si="236">E193</f>
        <v>0.01</v>
      </c>
      <c r="G193" s="126">
        <f t="shared" si="236"/>
        <v>0.01</v>
      </c>
      <c r="H193" s="64">
        <f t="shared" si="236"/>
        <v>0.01</v>
      </c>
      <c r="I193" s="64">
        <f t="shared" si="236"/>
        <v>0.01</v>
      </c>
      <c r="J193" s="126">
        <f t="shared" si="236"/>
        <v>0.01</v>
      </c>
      <c r="K193" s="64">
        <f t="shared" si="236"/>
        <v>0.01</v>
      </c>
      <c r="L193" s="64">
        <f t="shared" si="236"/>
        <v>0.01</v>
      </c>
      <c r="M193" s="126">
        <f t="shared" si="236"/>
        <v>0.01</v>
      </c>
      <c r="N193" s="64">
        <f t="shared" si="236"/>
        <v>0.01</v>
      </c>
      <c r="O193" s="64">
        <f t="shared" si="236"/>
        <v>0.01</v>
      </c>
      <c r="P193" s="126">
        <f t="shared" si="236"/>
        <v>0.01</v>
      </c>
      <c r="Q193" s="64">
        <f t="shared" si="236"/>
        <v>0.01</v>
      </c>
      <c r="R193" s="64">
        <f t="shared" si="236"/>
        <v>0.01</v>
      </c>
      <c r="S193" s="126">
        <f t="shared" si="236"/>
        <v>0.01</v>
      </c>
      <c r="T193" s="64">
        <f t="shared" si="236"/>
        <v>0.01</v>
      </c>
      <c r="U193" s="64">
        <f t="shared" si="236"/>
        <v>0.01</v>
      </c>
      <c r="V193" s="126">
        <f t="shared" si="236"/>
        <v>0.01</v>
      </c>
      <c r="W193" s="64">
        <f t="shared" si="236"/>
        <v>0.01</v>
      </c>
      <c r="X193" s="64">
        <f t="shared" si="236"/>
        <v>0.01</v>
      </c>
      <c r="Y193" s="126">
        <f t="shared" si="236"/>
        <v>0.01</v>
      </c>
      <c r="Z193" s="64">
        <f t="shared" si="236"/>
        <v>0.01</v>
      </c>
      <c r="AA193" s="64">
        <f t="shared" si="236"/>
        <v>0.01</v>
      </c>
      <c r="AB193" s="126">
        <f t="shared" si="236"/>
        <v>0.01</v>
      </c>
    </row>
    <row r="194" spans="1:28" x14ac:dyDescent="0.25">
      <c r="B194" s="115" t="s">
        <v>15</v>
      </c>
      <c r="C194" s="63" t="str">
        <f t="shared" si="215"/>
        <v>No change</v>
      </c>
      <c r="D194" s="58">
        <f>D171</f>
        <v>0.24</v>
      </c>
      <c r="E194" s="64">
        <f t="shared" si="235"/>
        <v>0.24</v>
      </c>
      <c r="F194" s="64">
        <f t="shared" si="234"/>
        <v>0.24</v>
      </c>
      <c r="G194" s="126">
        <f t="shared" si="234"/>
        <v>0.24</v>
      </c>
      <c r="H194" s="64">
        <f t="shared" si="234"/>
        <v>0.24</v>
      </c>
      <c r="I194" s="64">
        <f t="shared" si="234"/>
        <v>0.24</v>
      </c>
      <c r="J194" s="126">
        <f t="shared" si="234"/>
        <v>0.24</v>
      </c>
      <c r="K194" s="64">
        <f t="shared" si="234"/>
        <v>0.24</v>
      </c>
      <c r="L194" s="64">
        <f t="shared" si="234"/>
        <v>0.24</v>
      </c>
      <c r="M194" s="126">
        <f t="shared" si="234"/>
        <v>0.24</v>
      </c>
      <c r="N194" s="64">
        <f t="shared" si="234"/>
        <v>0.24</v>
      </c>
      <c r="O194" s="64">
        <f t="shared" si="234"/>
        <v>0.24</v>
      </c>
      <c r="P194" s="126">
        <f t="shared" si="234"/>
        <v>0.24</v>
      </c>
      <c r="Q194" s="64">
        <f t="shared" si="234"/>
        <v>0.24</v>
      </c>
      <c r="R194" s="64">
        <f t="shared" si="234"/>
        <v>0.24</v>
      </c>
      <c r="S194" s="126">
        <f t="shared" si="234"/>
        <v>0.24</v>
      </c>
      <c r="T194" s="64">
        <f t="shared" si="234"/>
        <v>0.24</v>
      </c>
      <c r="U194" s="64">
        <f t="shared" si="234"/>
        <v>0.24</v>
      </c>
      <c r="V194" s="126">
        <f t="shared" si="234"/>
        <v>0.24</v>
      </c>
      <c r="W194" s="64">
        <f t="shared" si="234"/>
        <v>0.24</v>
      </c>
      <c r="X194" s="64">
        <f t="shared" si="234"/>
        <v>0.24</v>
      </c>
      <c r="Y194" s="126">
        <f t="shared" si="234"/>
        <v>0.24</v>
      </c>
      <c r="Z194" s="64">
        <f t="shared" si="234"/>
        <v>0.24</v>
      </c>
      <c r="AA194" s="64">
        <f t="shared" si="234"/>
        <v>0.24</v>
      </c>
      <c r="AB194" s="126">
        <f t="shared" si="234"/>
        <v>0.24</v>
      </c>
    </row>
    <row r="195" spans="1:28" x14ac:dyDescent="0.25">
      <c r="G195" s="127"/>
      <c r="J195" s="127"/>
      <c r="M195" s="127"/>
      <c r="P195" s="127"/>
      <c r="S195" s="127"/>
      <c r="V195" s="127"/>
      <c r="Y195" s="127"/>
      <c r="AB195" s="127"/>
    </row>
    <row r="196" spans="1:28" x14ac:dyDescent="0.25">
      <c r="A196" s="63">
        <v>9</v>
      </c>
      <c r="B196" s="44" t="s">
        <v>335</v>
      </c>
      <c r="G196" s="127"/>
    </row>
    <row r="199" spans="1:28" ht="30" x14ac:dyDescent="0.25">
      <c r="B199" s="17" t="s">
        <v>3</v>
      </c>
      <c r="C199" s="13" t="s">
        <v>299</v>
      </c>
      <c r="D199" s="20" t="s">
        <v>5</v>
      </c>
      <c r="E199" s="484" t="s">
        <v>321</v>
      </c>
      <c r="F199" s="484"/>
      <c r="G199" s="484"/>
      <c r="H199" s="484"/>
    </row>
    <row r="200" spans="1:28" x14ac:dyDescent="0.25">
      <c r="B200" s="552" t="s">
        <v>336</v>
      </c>
      <c r="C200" s="552"/>
      <c r="D200" s="552"/>
      <c r="E200" s="552"/>
      <c r="F200" s="552"/>
      <c r="G200" s="552"/>
      <c r="H200" s="552"/>
    </row>
    <row r="202" spans="1:28" ht="30" x14ac:dyDescent="0.25">
      <c r="B202" s="17" t="s">
        <v>10</v>
      </c>
      <c r="C202" s="13" t="s">
        <v>299</v>
      </c>
      <c r="D202" s="21" t="s">
        <v>5</v>
      </c>
      <c r="E202" s="474" t="s">
        <v>6</v>
      </c>
      <c r="F202" s="474"/>
      <c r="G202" s="474"/>
      <c r="H202" s="474"/>
    </row>
    <row r="203" spans="1:28" x14ac:dyDescent="0.25">
      <c r="B203" s="553" t="s">
        <v>337</v>
      </c>
      <c r="C203" s="553"/>
      <c r="D203" s="553"/>
      <c r="E203" s="553"/>
      <c r="F203" s="553"/>
      <c r="G203" s="553"/>
      <c r="H203" s="553"/>
    </row>
  </sheetData>
  <mergeCells count="34">
    <mergeCell ref="B200:H200"/>
    <mergeCell ref="B203:H203"/>
    <mergeCell ref="E199:H199"/>
    <mergeCell ref="E202:H202"/>
    <mergeCell ref="E136:H136"/>
    <mergeCell ref="E131:H131"/>
    <mergeCell ref="E132:H132"/>
    <mergeCell ref="E133:H133"/>
    <mergeCell ref="E134:H134"/>
    <mergeCell ref="E135:H135"/>
    <mergeCell ref="E126:H126"/>
    <mergeCell ref="E127:H127"/>
    <mergeCell ref="E128:H128"/>
    <mergeCell ref="E129:H129"/>
    <mergeCell ref="E130:H130"/>
    <mergeCell ref="B3:E3"/>
    <mergeCell ref="B22:F22"/>
    <mergeCell ref="B23:J23"/>
    <mergeCell ref="E117:H117"/>
    <mergeCell ref="E118:H118"/>
    <mergeCell ref="C79:F79"/>
    <mergeCell ref="C93:F93"/>
    <mergeCell ref="C105:F105"/>
    <mergeCell ref="E119:H119"/>
    <mergeCell ref="E120:H120"/>
    <mergeCell ref="E121:H121"/>
    <mergeCell ref="E124:H124"/>
    <mergeCell ref="E125:H125"/>
    <mergeCell ref="K151:N151"/>
    <mergeCell ref="P151:S151"/>
    <mergeCell ref="U151:X151"/>
    <mergeCell ref="K150:N150"/>
    <mergeCell ref="P150:S150"/>
    <mergeCell ref="U150:X150"/>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49"/>
  <sheetViews>
    <sheetView zoomScale="70" zoomScaleNormal="70" workbookViewId="0">
      <selection activeCell="I5" sqref="I5"/>
    </sheetView>
  </sheetViews>
  <sheetFormatPr defaultColWidth="26" defaultRowHeight="15" x14ac:dyDescent="0.25"/>
  <cols>
    <col min="1" max="1" width="53.7109375" style="309" customWidth="1"/>
    <col min="2" max="2" width="49.7109375" style="336" customWidth="1"/>
    <col min="3" max="3" width="19.28515625" style="234" customWidth="1"/>
    <col min="4" max="4" width="12.7109375" style="234" customWidth="1"/>
    <col min="5" max="5" width="13.7109375" style="234" customWidth="1"/>
    <col min="6" max="6" width="15.85546875" style="234" customWidth="1"/>
    <col min="7" max="7" width="12.28515625" style="276" customWidth="1"/>
    <col min="8" max="8" width="24.140625" style="234" customWidth="1"/>
    <col min="9" max="9" width="49" style="234" customWidth="1"/>
    <col min="10" max="10" width="45.140625" style="234" customWidth="1"/>
    <col min="11" max="16384" width="26" style="234"/>
  </cols>
  <sheetData>
    <row r="1" spans="1:11" ht="15.75" thickBot="1" x14ac:dyDescent="0.3">
      <c r="A1" s="363"/>
      <c r="B1" s="8"/>
      <c r="C1" s="364"/>
      <c r="D1" s="364"/>
      <c r="E1" s="364"/>
      <c r="F1" s="364"/>
      <c r="G1" s="365"/>
      <c r="H1" s="364"/>
      <c r="I1" s="364"/>
      <c r="J1" s="364"/>
      <c r="K1" s="268"/>
    </row>
    <row r="2" spans="1:11" ht="30.6" customHeight="1" x14ac:dyDescent="0.25">
      <c r="A2" s="227" t="s">
        <v>249</v>
      </c>
      <c r="B2" s="228" t="s">
        <v>250</v>
      </c>
      <c r="C2" s="229" t="s">
        <v>251</v>
      </c>
      <c r="D2" s="230" t="s">
        <v>252</v>
      </c>
      <c r="E2" s="229" t="s">
        <v>253</v>
      </c>
      <c r="F2" s="230" t="s">
        <v>254</v>
      </c>
      <c r="G2" s="231" t="s">
        <v>255</v>
      </c>
      <c r="H2" s="230" t="s">
        <v>256</v>
      </c>
      <c r="I2" s="230" t="s">
        <v>257</v>
      </c>
      <c r="J2" s="232" t="s">
        <v>258</v>
      </c>
      <c r="K2" s="233"/>
    </row>
    <row r="3" spans="1:11" ht="19.350000000000001" customHeight="1" x14ac:dyDescent="0.25">
      <c r="A3" s="505" t="s">
        <v>259</v>
      </c>
      <c r="B3" s="506"/>
      <c r="C3" s="506"/>
      <c r="D3" s="506"/>
      <c r="E3" s="506"/>
      <c r="F3" s="506"/>
      <c r="G3" s="506"/>
      <c r="H3" s="506"/>
      <c r="I3" s="506"/>
      <c r="J3" s="507"/>
      <c r="K3" s="236"/>
    </row>
    <row r="4" spans="1:11" s="244" customFormat="1" ht="19.350000000000001" customHeight="1" x14ac:dyDescent="0.25">
      <c r="A4" s="237" t="s">
        <v>260</v>
      </c>
      <c r="B4" s="238"/>
      <c r="C4" s="239"/>
      <c r="D4" s="239"/>
      <c r="E4" s="239"/>
      <c r="F4" s="239"/>
      <c r="G4" s="239"/>
      <c r="H4" s="240"/>
      <c r="I4" s="241"/>
      <c r="J4" s="242"/>
      <c r="K4" s="243"/>
    </row>
    <row r="5" spans="1:11" ht="19.350000000000001" customHeight="1" x14ac:dyDescent="0.25">
      <c r="A5" s="245" t="s">
        <v>263</v>
      </c>
      <c r="B5" s="250">
        <v>3002420000080</v>
      </c>
      <c r="C5" s="246">
        <v>0</v>
      </c>
      <c r="D5" s="246">
        <v>0</v>
      </c>
      <c r="E5" s="246">
        <v>0</v>
      </c>
      <c r="F5" s="246">
        <v>0.05</v>
      </c>
      <c r="G5" s="246">
        <v>0</v>
      </c>
      <c r="H5" s="247">
        <v>0</v>
      </c>
      <c r="I5" s="248" t="s">
        <v>261</v>
      </c>
      <c r="J5" s="249" t="s">
        <v>262</v>
      </c>
      <c r="K5" s="236"/>
    </row>
    <row r="6" spans="1:11" ht="19.350000000000001" customHeight="1" x14ac:dyDescent="0.25">
      <c r="A6" s="245" t="s">
        <v>264</v>
      </c>
      <c r="B6" s="251" t="s">
        <v>265</v>
      </c>
      <c r="C6" s="366" t="s">
        <v>265</v>
      </c>
      <c r="D6" s="366" t="s">
        <v>265</v>
      </c>
      <c r="E6" s="366" t="s">
        <v>265</v>
      </c>
      <c r="F6" s="366" t="s">
        <v>265</v>
      </c>
      <c r="G6" s="366" t="s">
        <v>265</v>
      </c>
      <c r="H6" s="366" t="s">
        <v>265</v>
      </c>
      <c r="I6" s="248"/>
      <c r="J6" s="249" t="s">
        <v>266</v>
      </c>
      <c r="K6" s="236"/>
    </row>
    <row r="7" spans="1:11" ht="19.350000000000001" customHeight="1" x14ac:dyDescent="0.25">
      <c r="A7" s="245" t="s">
        <v>267</v>
      </c>
      <c r="B7" s="251" t="s">
        <v>265</v>
      </c>
      <c r="C7" s="366" t="s">
        <v>265</v>
      </c>
      <c r="D7" s="366" t="s">
        <v>265</v>
      </c>
      <c r="E7" s="366" t="s">
        <v>265</v>
      </c>
      <c r="F7" s="366" t="s">
        <v>265</v>
      </c>
      <c r="G7" s="366" t="s">
        <v>265</v>
      </c>
      <c r="H7" s="366" t="s">
        <v>265</v>
      </c>
      <c r="I7" s="248"/>
      <c r="J7" s="252" t="s">
        <v>268</v>
      </c>
      <c r="K7" s="236"/>
    </row>
    <row r="8" spans="1:11" ht="19.350000000000001" customHeight="1" x14ac:dyDescent="0.25">
      <c r="A8" s="253" t="s">
        <v>269</v>
      </c>
      <c r="B8" s="235" t="s">
        <v>250</v>
      </c>
      <c r="C8" s="254" t="s">
        <v>251</v>
      </c>
      <c r="D8" s="255" t="s">
        <v>252</v>
      </c>
      <c r="E8" s="254" t="s">
        <v>253</v>
      </c>
      <c r="F8" s="254" t="s">
        <v>270</v>
      </c>
      <c r="G8" s="256" t="s">
        <v>255</v>
      </c>
      <c r="H8" s="255" t="s">
        <v>271</v>
      </c>
      <c r="I8" s="255" t="s">
        <v>257</v>
      </c>
      <c r="J8" s="257" t="s">
        <v>257</v>
      </c>
      <c r="K8" s="236"/>
    </row>
    <row r="9" spans="1:11" ht="19.350000000000001" customHeight="1" thickBot="1" x14ac:dyDescent="0.3">
      <c r="A9" s="245" t="s">
        <v>244</v>
      </c>
      <c r="B9" s="258" t="s">
        <v>314</v>
      </c>
      <c r="C9" s="246"/>
      <c r="D9" s="246"/>
      <c r="E9" s="246"/>
      <c r="F9" s="246"/>
      <c r="G9" s="246"/>
      <c r="H9" s="247"/>
      <c r="I9" s="248"/>
      <c r="J9" s="252" t="s">
        <v>268</v>
      </c>
      <c r="K9" s="236"/>
    </row>
    <row r="10" spans="1:11" ht="19.350000000000001" customHeight="1" x14ac:dyDescent="0.25">
      <c r="A10" s="259" t="s">
        <v>272</v>
      </c>
      <c r="B10" s="260"/>
      <c r="C10" s="261"/>
      <c r="D10" s="262"/>
      <c r="E10" s="263"/>
      <c r="F10" s="263"/>
      <c r="G10" s="263"/>
      <c r="H10" s="263"/>
      <c r="I10" s="263"/>
      <c r="J10" s="264"/>
      <c r="K10" s="236"/>
    </row>
    <row r="11" spans="1:11" ht="19.350000000000001" customHeight="1" x14ac:dyDescent="0.25">
      <c r="A11" s="265" t="s">
        <v>273</v>
      </c>
      <c r="B11" s="266">
        <v>0.15</v>
      </c>
      <c r="C11" s="267" t="s">
        <v>274</v>
      </c>
      <c r="D11" s="268"/>
      <c r="E11" s="263"/>
      <c r="F11" s="269"/>
      <c r="G11" s="270"/>
      <c r="H11" s="271"/>
      <c r="I11" s="271"/>
      <c r="J11" s="272"/>
      <c r="K11" s="236"/>
    </row>
    <row r="12" spans="1:11" ht="19.350000000000001" customHeight="1" x14ac:dyDescent="0.25">
      <c r="A12" s="265" t="s">
        <v>275</v>
      </c>
      <c r="B12" s="266">
        <v>0.09</v>
      </c>
      <c r="C12" s="273" t="s">
        <v>276</v>
      </c>
      <c r="D12" s="236"/>
      <c r="E12" s="274"/>
      <c r="F12" s="275"/>
      <c r="J12" s="277"/>
      <c r="K12" s="236"/>
    </row>
    <row r="13" spans="1:11" ht="19.350000000000001" customHeight="1" x14ac:dyDescent="0.25">
      <c r="A13" s="265" t="s">
        <v>277</v>
      </c>
      <c r="B13" s="266">
        <v>0.06</v>
      </c>
      <c r="C13" s="273" t="s">
        <v>276</v>
      </c>
      <c r="D13" s="236"/>
      <c r="E13" s="274"/>
      <c r="F13" s="278"/>
      <c r="J13" s="277"/>
      <c r="K13" s="236"/>
    </row>
    <row r="14" spans="1:11" ht="19.350000000000001" customHeight="1" x14ac:dyDescent="0.25">
      <c r="A14" s="265" t="s">
        <v>278</v>
      </c>
      <c r="B14" s="266">
        <v>0.05</v>
      </c>
      <c r="C14" s="273" t="s">
        <v>276</v>
      </c>
      <c r="D14" s="236"/>
      <c r="E14" s="279"/>
      <c r="F14" s="275"/>
      <c r="J14" s="277"/>
      <c r="K14" s="236"/>
    </row>
    <row r="15" spans="1:11" ht="19.350000000000001" customHeight="1" x14ac:dyDescent="0.25">
      <c r="A15" s="265" t="s">
        <v>279</v>
      </c>
      <c r="B15" s="280">
        <v>0.05</v>
      </c>
      <c r="C15" s="273" t="s">
        <v>276</v>
      </c>
      <c r="D15" s="236"/>
      <c r="E15" s="279"/>
      <c r="F15" s="275"/>
      <c r="J15" s="277"/>
      <c r="K15" s="236"/>
    </row>
    <row r="16" spans="1:11" ht="19.350000000000001" customHeight="1" x14ac:dyDescent="0.25">
      <c r="A16" s="265" t="s">
        <v>280</v>
      </c>
      <c r="B16" s="266">
        <v>2.81E-2</v>
      </c>
      <c r="C16" s="281" t="s">
        <v>281</v>
      </c>
      <c r="D16" s="236"/>
      <c r="E16" s="279"/>
      <c r="F16" s="275"/>
      <c r="J16" s="277"/>
      <c r="K16" s="236"/>
    </row>
    <row r="17" spans="1:11" ht="19.350000000000001" customHeight="1" thickBot="1" x14ac:dyDescent="0.3">
      <c r="A17" s="282" t="s">
        <v>282</v>
      </c>
      <c r="B17" s="283">
        <v>0</v>
      </c>
      <c r="C17" s="284" t="s">
        <v>276</v>
      </c>
      <c r="D17" s="236"/>
      <c r="J17" s="277"/>
      <c r="K17" s="236"/>
    </row>
    <row r="18" spans="1:11" ht="19.350000000000001" customHeight="1" x14ac:dyDescent="0.25">
      <c r="A18" s="285" t="s">
        <v>283</v>
      </c>
      <c r="B18" s="286"/>
      <c r="C18" s="287"/>
      <c r="D18" s="288"/>
      <c r="E18" s="289"/>
      <c r="F18" s="289"/>
      <c r="G18" s="290"/>
      <c r="H18" s="291"/>
      <c r="I18" s="236"/>
      <c r="J18" s="277"/>
      <c r="K18" s="236"/>
    </row>
    <row r="19" spans="1:11" ht="19.350000000000001" customHeight="1" x14ac:dyDescent="0.25">
      <c r="A19" s="292" t="s">
        <v>284</v>
      </c>
      <c r="B19" s="293"/>
      <c r="C19" s="294"/>
      <c r="D19" s="295"/>
      <c r="H19" s="277"/>
      <c r="I19" s="236"/>
      <c r="J19" s="277"/>
      <c r="K19" s="236"/>
    </row>
    <row r="20" spans="1:11" ht="19.350000000000001" customHeight="1" x14ac:dyDescent="0.25">
      <c r="A20" s="292" t="s">
        <v>285</v>
      </c>
      <c r="B20" s="293"/>
      <c r="C20" s="294"/>
      <c r="D20" s="295"/>
      <c r="H20" s="277"/>
      <c r="I20" s="236"/>
      <c r="J20" s="277"/>
      <c r="K20" s="236"/>
    </row>
    <row r="21" spans="1:11" ht="19.350000000000001" customHeight="1" x14ac:dyDescent="0.25">
      <c r="A21" s="292" t="s">
        <v>286</v>
      </c>
      <c r="B21" s="293"/>
      <c r="C21" s="294"/>
      <c r="D21" s="295"/>
      <c r="H21" s="277"/>
      <c r="I21" s="236"/>
      <c r="J21" s="277"/>
      <c r="K21" s="236"/>
    </row>
    <row r="22" spans="1:11" ht="19.350000000000001" customHeight="1" x14ac:dyDescent="0.25">
      <c r="A22" s="292" t="s">
        <v>287</v>
      </c>
      <c r="B22" s="293"/>
      <c r="C22" s="294"/>
      <c r="D22" s="295"/>
      <c r="H22" s="277"/>
      <c r="I22" s="236"/>
      <c r="J22" s="277"/>
      <c r="K22" s="236"/>
    </row>
    <row r="23" spans="1:11" ht="19.350000000000001" customHeight="1" thickBot="1" x14ac:dyDescent="0.3">
      <c r="A23" s="296"/>
      <c r="B23" s="297"/>
      <c r="C23" s="298"/>
      <c r="D23" s="299"/>
      <c r="E23" s="300"/>
      <c r="F23" s="300"/>
      <c r="G23" s="301"/>
      <c r="H23" s="302"/>
      <c r="I23" s="236"/>
      <c r="J23" s="277"/>
      <c r="K23" s="236"/>
    </row>
    <row r="24" spans="1:11" ht="19.350000000000001" customHeight="1" x14ac:dyDescent="0.25">
      <c r="A24" s="303"/>
      <c r="B24" s="304"/>
      <c r="C24" s="305"/>
      <c r="D24" s="262"/>
      <c r="E24" s="263"/>
      <c r="F24" s="263"/>
      <c r="G24" s="263"/>
      <c r="H24" s="263"/>
      <c r="I24" s="236"/>
      <c r="J24" s="277"/>
      <c r="K24" s="236"/>
    </row>
    <row r="25" spans="1:11" ht="19.350000000000001" customHeight="1" x14ac:dyDescent="0.25">
      <c r="A25" s="306" t="s">
        <v>288</v>
      </c>
      <c r="B25" s="307"/>
      <c r="C25" s="308"/>
      <c r="D25" s="236"/>
      <c r="E25" s="263"/>
      <c r="F25" s="263"/>
      <c r="G25" s="263"/>
      <c r="H25" s="263"/>
      <c r="I25" s="236"/>
      <c r="J25" s="277"/>
      <c r="K25" s="236"/>
    </row>
    <row r="26" spans="1:11" ht="19.350000000000001" customHeight="1" x14ac:dyDescent="0.25">
      <c r="B26" s="244">
        <v>2018</v>
      </c>
      <c r="C26" s="310"/>
      <c r="D26" s="236"/>
      <c r="E26" s="263"/>
      <c r="F26" s="263"/>
      <c r="G26" s="263"/>
      <c r="H26" s="263"/>
      <c r="I26" s="236"/>
      <c r="J26" s="277"/>
      <c r="K26" s="236"/>
    </row>
    <row r="27" spans="1:11" ht="19.350000000000001" customHeight="1" x14ac:dyDescent="0.25">
      <c r="A27" s="309" t="s">
        <v>289</v>
      </c>
      <c r="B27" s="234">
        <v>29.797999999999998</v>
      </c>
      <c r="C27" s="310" t="s">
        <v>290</v>
      </c>
      <c r="D27" s="236"/>
      <c r="E27" s="263"/>
      <c r="F27" s="263"/>
      <c r="G27" s="263"/>
      <c r="H27" s="263"/>
      <c r="I27" s="236"/>
      <c r="J27" s="277"/>
      <c r="K27" s="236"/>
    </row>
    <row r="28" spans="1:11" ht="19.350000000000001" customHeight="1" x14ac:dyDescent="0.25">
      <c r="A28" s="309" t="s">
        <v>291</v>
      </c>
      <c r="B28" s="234">
        <v>67.709999999999994</v>
      </c>
      <c r="C28" s="310" t="s">
        <v>290</v>
      </c>
      <c r="D28" s="236"/>
      <c r="E28" s="263"/>
      <c r="F28" s="263"/>
      <c r="G28" s="263"/>
      <c r="H28" s="263"/>
      <c r="I28" s="236"/>
      <c r="J28" s="277"/>
      <c r="K28" s="236"/>
    </row>
    <row r="29" spans="1:11" ht="19.350000000000001" customHeight="1" x14ac:dyDescent="0.25">
      <c r="A29" s="311" t="s">
        <v>292</v>
      </c>
      <c r="B29" s="312">
        <v>2.74</v>
      </c>
      <c r="C29" s="313" t="s">
        <v>290</v>
      </c>
      <c r="D29" s="236"/>
      <c r="E29" s="263"/>
      <c r="F29" s="263"/>
      <c r="G29" s="263"/>
      <c r="H29" s="263"/>
      <c r="I29" s="236"/>
      <c r="J29" s="277"/>
      <c r="K29" s="236"/>
    </row>
    <row r="30" spans="1:11" ht="19.350000000000001" customHeight="1" x14ac:dyDescent="0.25">
      <c r="A30" s="314"/>
      <c r="B30" s="271"/>
      <c r="C30" s="264"/>
      <c r="D30" s="236"/>
      <c r="E30" s="263"/>
      <c r="F30" s="263"/>
      <c r="G30" s="263"/>
      <c r="H30" s="263"/>
      <c r="I30" s="236"/>
      <c r="J30" s="277"/>
      <c r="K30" s="236"/>
    </row>
    <row r="31" spans="1:11" ht="19.350000000000001" customHeight="1" x14ac:dyDescent="0.25">
      <c r="A31" s="315" t="s">
        <v>293</v>
      </c>
      <c r="B31" s="234"/>
      <c r="C31" s="310"/>
      <c r="D31" s="236"/>
      <c r="E31" s="263"/>
      <c r="F31" s="263"/>
      <c r="G31" s="263"/>
      <c r="H31" s="263"/>
      <c r="I31" s="236"/>
      <c r="J31" s="277"/>
      <c r="K31" s="236"/>
    </row>
    <row r="32" spans="1:11" ht="19.350000000000001" customHeight="1" thickBot="1" x14ac:dyDescent="0.3">
      <c r="A32" s="316"/>
      <c r="B32" s="317"/>
      <c r="C32" s="318"/>
      <c r="D32" s="262"/>
      <c r="E32" s="263"/>
      <c r="F32" s="263"/>
      <c r="G32" s="263"/>
      <c r="H32" s="263"/>
      <c r="I32" s="236"/>
      <c r="J32" s="277"/>
      <c r="K32" s="236"/>
    </row>
    <row r="33" spans="1:11" ht="19.350000000000001" customHeight="1" x14ac:dyDescent="0.25">
      <c r="A33" s="319"/>
      <c r="B33" s="263"/>
      <c r="C33" s="263"/>
      <c r="D33" s="263"/>
      <c r="E33" s="263"/>
      <c r="F33" s="263"/>
      <c r="G33" s="263"/>
      <c r="H33" s="263"/>
      <c r="I33" s="236"/>
      <c r="J33" s="277"/>
      <c r="K33" s="236"/>
    </row>
    <row r="34" spans="1:11" ht="19.350000000000001" customHeight="1" x14ac:dyDescent="0.25">
      <c r="A34" s="333"/>
      <c r="B34" s="371"/>
      <c r="C34" s="371"/>
      <c r="D34" s="372"/>
      <c r="E34" s="371"/>
      <c r="F34" s="371"/>
      <c r="G34" s="373"/>
      <c r="H34" s="374"/>
      <c r="I34" s="236"/>
      <c r="J34" s="277"/>
      <c r="K34" s="236"/>
    </row>
    <row r="35" spans="1:11" ht="19.350000000000001" customHeight="1" x14ac:dyDescent="0.25">
      <c r="A35" s="320" t="s">
        <v>333</v>
      </c>
      <c r="B35" s="6"/>
      <c r="C35" s="16"/>
      <c r="D35" s="16"/>
      <c r="E35" s="16"/>
      <c r="F35" s="16"/>
      <c r="G35" s="375"/>
      <c r="H35" s="16"/>
      <c r="I35" s="236"/>
      <c r="J35" s="277"/>
      <c r="K35" s="236"/>
    </row>
    <row r="36" spans="1:11" ht="19.350000000000001" customHeight="1" x14ac:dyDescent="0.25">
      <c r="A36" s="321"/>
      <c r="B36" s="322"/>
      <c r="C36" s="256" t="s">
        <v>294</v>
      </c>
      <c r="D36" s="256" t="s">
        <v>295</v>
      </c>
      <c r="E36" s="256" t="s">
        <v>296</v>
      </c>
      <c r="F36" s="256" t="s">
        <v>297</v>
      </c>
      <c r="G36" s="323" t="s">
        <v>298</v>
      </c>
      <c r="H36" s="324" t="s">
        <v>299</v>
      </c>
      <c r="I36" s="236"/>
      <c r="J36" s="277"/>
      <c r="K36" s="236"/>
    </row>
    <row r="37" spans="1:11" ht="19.350000000000001" customHeight="1" x14ac:dyDescent="0.25">
      <c r="A37" s="325"/>
      <c r="B37" s="326" t="s">
        <v>300</v>
      </c>
      <c r="C37" s="327"/>
      <c r="D37" s="328">
        <v>1</v>
      </c>
      <c r="E37" s="328"/>
      <c r="F37" s="329">
        <f>$B$16</f>
        <v>2.81E-2</v>
      </c>
      <c r="G37" s="330">
        <f>D37*F37</f>
        <v>2.81E-2</v>
      </c>
      <c r="H37" s="331">
        <f>D37+G37</f>
        <v>1.0281</v>
      </c>
      <c r="I37" s="236"/>
      <c r="J37" s="277"/>
      <c r="K37" s="236"/>
    </row>
    <row r="38" spans="1:11" ht="19.350000000000001" customHeight="1" x14ac:dyDescent="0.25">
      <c r="A38" s="325" t="s">
        <v>301</v>
      </c>
      <c r="B38" s="326" t="s">
        <v>302</v>
      </c>
      <c r="C38" s="329">
        <f>C5</f>
        <v>0</v>
      </c>
      <c r="D38" s="328">
        <f>C38*D37</f>
        <v>0</v>
      </c>
      <c r="E38" s="328"/>
      <c r="F38" s="328"/>
      <c r="G38" s="332"/>
      <c r="H38" s="331"/>
      <c r="I38" s="236"/>
      <c r="J38" s="277"/>
      <c r="K38" s="236"/>
    </row>
    <row r="39" spans="1:11" ht="19.350000000000001" customHeight="1" x14ac:dyDescent="0.25">
      <c r="A39" s="325" t="s">
        <v>301</v>
      </c>
      <c r="B39" s="326" t="s">
        <v>303</v>
      </c>
      <c r="C39" s="329">
        <f>E5</f>
        <v>0</v>
      </c>
      <c r="D39" s="328">
        <f>SUM(D37:D38)*C39</f>
        <v>0</v>
      </c>
      <c r="E39" s="328"/>
      <c r="F39" s="328"/>
      <c r="G39" s="332"/>
      <c r="H39" s="331"/>
      <c r="I39" s="236"/>
      <c r="J39" s="277"/>
      <c r="K39" s="236"/>
    </row>
    <row r="40" spans="1:11" ht="19.350000000000001" customHeight="1" x14ac:dyDescent="0.25">
      <c r="A40" s="325" t="s">
        <v>301</v>
      </c>
      <c r="B40" s="326" t="s">
        <v>304</v>
      </c>
      <c r="C40" s="329">
        <f>$B$14</f>
        <v>0.05</v>
      </c>
      <c r="D40" s="328">
        <f>D37*C40</f>
        <v>0.05</v>
      </c>
      <c r="E40" s="328">
        <f>1-$B$11</f>
        <v>0.85</v>
      </c>
      <c r="F40" s="328"/>
      <c r="G40" s="332"/>
      <c r="H40" s="331">
        <f>D40*E40</f>
        <v>4.2500000000000003E-2</v>
      </c>
      <c r="I40" s="236"/>
      <c r="J40" s="277"/>
      <c r="K40" s="236"/>
    </row>
    <row r="41" spans="1:11" ht="19.350000000000001" customHeight="1" x14ac:dyDescent="0.25">
      <c r="A41" s="325" t="s">
        <v>301</v>
      </c>
      <c r="B41" s="326" t="s">
        <v>305</v>
      </c>
      <c r="C41" s="329"/>
      <c r="D41" s="328">
        <f>SUM(D37:D40)</f>
        <v>1.05</v>
      </c>
      <c r="E41" s="328"/>
      <c r="F41" s="328"/>
      <c r="G41" s="332"/>
      <c r="H41" s="331"/>
      <c r="I41" s="236"/>
      <c r="J41" s="277"/>
      <c r="K41" s="236"/>
    </row>
    <row r="42" spans="1:11" ht="19.350000000000001" customHeight="1" x14ac:dyDescent="0.25">
      <c r="A42" s="325" t="s">
        <v>301</v>
      </c>
      <c r="B42" s="326" t="s">
        <v>306</v>
      </c>
      <c r="C42" s="329">
        <f>$B$15</f>
        <v>0.05</v>
      </c>
      <c r="D42" s="328">
        <f>D37*C42</f>
        <v>0.05</v>
      </c>
      <c r="E42" s="328">
        <f>1-$B$11</f>
        <v>0.85</v>
      </c>
      <c r="F42" s="328"/>
      <c r="G42" s="332"/>
      <c r="H42" s="331">
        <f>D42*E42</f>
        <v>4.2500000000000003E-2</v>
      </c>
      <c r="I42" s="236"/>
      <c r="J42" s="277"/>
      <c r="K42" s="236"/>
    </row>
    <row r="43" spans="1:11" ht="19.350000000000001" customHeight="1" x14ac:dyDescent="0.25">
      <c r="A43" s="325" t="s">
        <v>307</v>
      </c>
      <c r="B43" s="326" t="s">
        <v>308</v>
      </c>
      <c r="C43" s="246">
        <v>0</v>
      </c>
      <c r="D43" s="328">
        <f>C43*(SUM(D41,D42))</f>
        <v>0</v>
      </c>
      <c r="E43" s="328"/>
      <c r="F43" s="328"/>
      <c r="G43" s="332"/>
      <c r="H43" s="331"/>
      <c r="I43" s="236"/>
      <c r="J43" s="277"/>
      <c r="K43" s="236"/>
    </row>
    <row r="44" spans="1:11" ht="19.350000000000001" customHeight="1" x14ac:dyDescent="0.25">
      <c r="A44" s="325"/>
      <c r="B44" s="326" t="s">
        <v>309</v>
      </c>
      <c r="C44" s="327"/>
      <c r="D44" s="328">
        <f>SUM(D41:D42)</f>
        <v>1.1000000000000001</v>
      </c>
      <c r="E44" s="328"/>
      <c r="F44" s="328"/>
      <c r="G44" s="332"/>
      <c r="H44" s="331">
        <f>SUM(H37:H43)</f>
        <v>1.1131</v>
      </c>
      <c r="I44" s="236"/>
      <c r="J44" s="277"/>
      <c r="K44" s="236"/>
    </row>
    <row r="45" spans="1:11" ht="19.350000000000001" customHeight="1" x14ac:dyDescent="0.25">
      <c r="A45" s="333"/>
      <c r="B45" s="235" t="s">
        <v>310</v>
      </c>
      <c r="C45" s="334">
        <f>H44/D44</f>
        <v>1.0119090909090909</v>
      </c>
      <c r="D45" s="262"/>
      <c r="E45" s="263"/>
      <c r="F45" s="263"/>
      <c r="G45" s="335"/>
      <c r="J45" s="277"/>
      <c r="K45" s="236"/>
    </row>
    <row r="46" spans="1:11" ht="19.350000000000001" customHeight="1" x14ac:dyDescent="0.25">
      <c r="A46" s="333"/>
      <c r="B46" s="263"/>
      <c r="C46" s="263"/>
      <c r="D46" s="262"/>
      <c r="E46" s="263"/>
      <c r="F46" s="263"/>
      <c r="G46" s="335"/>
      <c r="I46" s="236"/>
      <c r="J46" s="277"/>
      <c r="K46" s="236"/>
    </row>
    <row r="47" spans="1:11" x14ac:dyDescent="0.25">
      <c r="J47" s="277"/>
      <c r="K47" s="236"/>
    </row>
    <row r="48" spans="1:11" ht="15.75" thickBot="1" x14ac:dyDescent="0.3">
      <c r="A48" s="337"/>
      <c r="B48" s="338"/>
      <c r="C48" s="300"/>
      <c r="D48" s="300"/>
      <c r="E48" s="300"/>
      <c r="F48" s="300"/>
      <c r="G48" s="301"/>
      <c r="H48" s="300"/>
      <c r="I48" s="300"/>
      <c r="J48" s="302"/>
      <c r="K48" s="236"/>
    </row>
    <row r="49" spans="1:10" x14ac:dyDescent="0.25">
      <c r="A49" s="314"/>
      <c r="B49" s="339"/>
      <c r="C49" s="271"/>
      <c r="D49" s="271"/>
      <c r="E49" s="271"/>
      <c r="F49" s="271"/>
      <c r="G49" s="270"/>
      <c r="H49" s="271"/>
      <c r="I49" s="271"/>
      <c r="J49" s="271"/>
    </row>
  </sheetData>
  <mergeCells count="1">
    <mergeCell ref="A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sheetPr>
  <dimension ref="A2:AA94"/>
  <sheetViews>
    <sheetView showGridLines="0" topLeftCell="A64" zoomScale="85" zoomScaleNormal="85" workbookViewId="0">
      <selection activeCell="B53" sqref="B53"/>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6" width="12.57031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2.28515625" style="26" customWidth="1"/>
    <col min="13" max="23" width="13.7109375" style="3" customWidth="1"/>
    <col min="24" max="24" width="15.7109375" style="3" customWidth="1"/>
    <col min="25" max="25" width="11" style="3" customWidth="1"/>
    <col min="26" max="26" width="11.140625" style="3" customWidth="1"/>
    <col min="27" max="27" width="12.42578125" style="3" customWidth="1"/>
    <col min="28"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51</v>
      </c>
      <c r="B6" s="31">
        <v>0</v>
      </c>
      <c r="C6" s="31">
        <v>0</v>
      </c>
      <c r="D6" s="31">
        <f>Assumption_Hatchery!F18*Assumption_Hatchery!F176*Assumption_Hatchery!F177*(1+Assumption_Hatchery!F178)^Assumption_Hatchery!F175</f>
        <v>221085.00000000003</v>
      </c>
      <c r="E6" s="136">
        <f>Assumption_Hatchery!G18*Assumption_Hatchery!G176*Assumption_Hatchery!G177*(1+Assumption_Hatchery!G178)^Assumption_Hatchery!G175</f>
        <v>395764.2585</v>
      </c>
      <c r="F6" s="31">
        <f>Assumption_Hatchery!H18*Assumption_Hatchery!H176*Assumption_Hatchery!H177*(1+Assumption_Hatchery!H178)^Assumption_Hatchery!H175</f>
        <v>460033.66800000006</v>
      </c>
      <c r="G6" s="31">
        <f>Assumption_Hatchery!I18*Assumption_Hatchery!I176*Assumption_Hatchery!I177*(1+Assumption_Hatchery!I178)^Assumption_Hatchery!I175</f>
        <v>469234.34136000008</v>
      </c>
      <c r="H6" s="136">
        <f>Assumption_Hatchery!J18*Assumption_Hatchery!J176*Assumption_Hatchery!J177*(1+Assumption_Hatchery!J178)^Assumption_Hatchery!J175</f>
        <v>466653.55248252011</v>
      </c>
      <c r="I6" s="31">
        <f>Assumption_Hatchery!K18*Assumption_Hatchery!K176*Assumption_Hatchery!K177*(1+Assumption_Hatchery!K178)^Assumption_Hatchery!K175</f>
        <v>488191.40875094401</v>
      </c>
      <c r="J6" s="31">
        <f>Assumption_Hatchery!L18*Assumption_Hatchery!L176*Assumption_Hatchery!L177*(1+Assumption_Hatchery!L178)^Assumption_Hatchery!L175</f>
        <v>497955.2369259629</v>
      </c>
      <c r="K6" s="136">
        <f>Assumption_Hatchery!M18*Assumption_Hatchery!M176*Assumption_Hatchery!M177*(1+Assumption_Hatchery!M178)^Assumption_Hatchery!M175</f>
        <v>495216.48312287009</v>
      </c>
      <c r="L6" s="31">
        <f>Assumption_Hatchery!N18*Assumption_Hatchery!N176*Assumption_Hatchery!N177*(1+Assumption_Hatchery!N178)^Assumption_Hatchery!N175</f>
        <v>518072.62849777186</v>
      </c>
      <c r="M6" s="31">
        <f>Assumption_Hatchery!O18*Assumption_Hatchery!O176*Assumption_Hatchery!O177*(1+Assumption_Hatchery!O178)^Assumption_Hatchery!O175</f>
        <v>528434.08106772718</v>
      </c>
      <c r="N6" s="136">
        <f>Assumption_Hatchery!P18*Assumption_Hatchery!P176*Assumption_Hatchery!P177*(1+Assumption_Hatchery!P178)^Assumption_Hatchery!P175</f>
        <v>525527.69362185476</v>
      </c>
      <c r="O6" s="31">
        <f>Assumption_Hatchery!Q18*Assumption_Hatchery!Q176*Assumption_Hatchery!Q177*(1+Assumption_Hatchery!Q178)^Assumption_Hatchery!Q175</f>
        <v>549782.81794286345</v>
      </c>
      <c r="P6" s="31">
        <f>Assumption_Hatchery!R18*Assumption_Hatchery!R176*Assumption_Hatchery!R177*(1+Assumption_Hatchery!R178)^Assumption_Hatchery!R175</f>
        <v>560778.47430172074</v>
      </c>
      <c r="Q6" s="136">
        <f>Assumption_Hatchery!S18*Assumption_Hatchery!S176*Assumption_Hatchery!S177*(1+Assumption_Hatchery!S178)^Assumption_Hatchery!S175</f>
        <v>557694.19269306108</v>
      </c>
      <c r="R6" s="31">
        <f>Assumption_Hatchery!T18*Assumption_Hatchery!T176*Assumption_Hatchery!T177*(1+Assumption_Hatchery!T178)^Assumption_Hatchery!T175</f>
        <v>583433.92466351017</v>
      </c>
      <c r="S6" s="31">
        <f>Assumption_Hatchery!U18*Assumption_Hatchery!U176*Assumption_Hatchery!U177*(1+Assumption_Hatchery!U178)^Assumption_Hatchery!U175</f>
        <v>595102.60315678047</v>
      </c>
      <c r="T6" s="31">
        <f>Assumption_Hatchery!V18*Assumption_Hatchery!V176*Assumption_Hatchery!V177*(1+Assumption_Hatchery!V178)^Assumption_Hatchery!V175</f>
        <v>591829.53883941809</v>
      </c>
      <c r="U6" s="31">
        <f>Assumption_Hatchery!W18*Assumption_Hatchery!W176*Assumption_Hatchery!W177*(1+Assumption_Hatchery!W178)^Assumption_Hatchery!W175</f>
        <v>619144.74832431425</v>
      </c>
      <c r="V6" s="31">
        <f>Assumption_Hatchery!X18*Assumption_Hatchery!X176*Assumption_Hatchery!X177*(1+Assumption_Hatchery!X178)^Assumption_Hatchery!X175</f>
        <v>631527.64329080062</v>
      </c>
      <c r="W6" s="31">
        <f>Assumption_Hatchery!Y18*Assumption_Hatchery!Y176*Assumption_Hatchery!Y177*(1+Assumption_Hatchery!Y178)^Assumption_Hatchery!Y175</f>
        <v>502443.39300216088</v>
      </c>
      <c r="X6" s="31">
        <f>Assumption_Hatchery!Z18*Assumption_Hatchery!Z176*Assumption_Hatchery!Z177*(1+Assumption_Hatchery!Z178)^Assumption_Hatchery!Z175</f>
        <v>328520.68003987451</v>
      </c>
      <c r="Y6" s="31">
        <f>Assumption_Hatchery!AA18*Assumption_Hatchery!AA176*Assumption_Hatchery!AA177*(1+Assumption_Hatchery!AA178)^Assumption_Hatchery!AA175</f>
        <v>67018.218728134379</v>
      </c>
      <c r="Z6" s="31">
        <f>Assumption_Hatchery!AB18*Assumption_Hatchery!AB176*Assumption_Hatchery!AB177*(1+Assumption_Hatchery!AB178)^Assumption_Hatchery!AB175</f>
        <v>0</v>
      </c>
    </row>
    <row r="7" spans="1:26" x14ac:dyDescent="0.25">
      <c r="A7" s="10" t="s">
        <v>52</v>
      </c>
      <c r="B7" s="31">
        <f>Assumption_Hatchery!D17*Assumption_Hatchery!D179</f>
        <v>0</v>
      </c>
      <c r="C7" s="31">
        <f>Assumption_Hatchery!E17*Assumption_Hatchery!E179</f>
        <v>0</v>
      </c>
      <c r="D7" s="31">
        <f>Assumption_Hatchery!F17*Assumption_Hatchery!F179</f>
        <v>0</v>
      </c>
      <c r="E7" s="136">
        <f>Assumption_Hatchery!G17*Assumption_Hatchery!G179</f>
        <v>0</v>
      </c>
      <c r="F7" s="31">
        <f>Assumption_Hatchery!H17*Assumption_Hatchery!H179</f>
        <v>0</v>
      </c>
      <c r="G7" s="31">
        <f>Assumption_Hatchery!I17*Assumption_Hatchery!I179</f>
        <v>0</v>
      </c>
      <c r="H7" s="136">
        <f>Assumption_Hatchery!J17*Assumption_Hatchery!J179</f>
        <v>0</v>
      </c>
      <c r="I7" s="31">
        <f>Assumption_Hatchery!K17*Assumption_Hatchery!K179</f>
        <v>0</v>
      </c>
      <c r="J7" s="31">
        <f>Assumption_Hatchery!L17*Assumption_Hatchery!L179</f>
        <v>0</v>
      </c>
      <c r="K7" s="136">
        <f>Assumption_Hatchery!M17*Assumption_Hatchery!M179</f>
        <v>0</v>
      </c>
      <c r="L7" s="31">
        <f>Assumption_Hatchery!N17*Assumption_Hatchery!N179</f>
        <v>0</v>
      </c>
      <c r="M7" s="31">
        <f>Assumption_Hatchery!O17*Assumption_Hatchery!O179</f>
        <v>0</v>
      </c>
      <c r="N7" s="136">
        <f>Assumption_Hatchery!P17*Assumption_Hatchery!P179</f>
        <v>0</v>
      </c>
      <c r="O7" s="31">
        <f>Assumption_Hatchery!Q17*Assumption_Hatchery!Q179</f>
        <v>0</v>
      </c>
      <c r="P7" s="31">
        <f>Assumption_Hatchery!R17*Assumption_Hatchery!R179</f>
        <v>0</v>
      </c>
      <c r="Q7" s="136">
        <f>Assumption_Hatchery!S17*Assumption_Hatchery!S179</f>
        <v>0</v>
      </c>
      <c r="R7" s="31">
        <f>Assumption_Hatchery!T17*Assumption_Hatchery!T179</f>
        <v>0</v>
      </c>
      <c r="S7" s="31">
        <f>Assumption_Hatchery!U17*Assumption_Hatchery!U179</f>
        <v>0</v>
      </c>
      <c r="T7" s="31">
        <f>Assumption_Hatchery!V17*Assumption_Hatchery!V179</f>
        <v>0</v>
      </c>
      <c r="U7" s="31">
        <f>Assumption_Hatchery!W17*Assumption_Hatchery!W179</f>
        <v>0</v>
      </c>
      <c r="V7" s="31">
        <f>Assumption_Hatchery!X17*Assumption_Hatchery!X179</f>
        <v>0</v>
      </c>
      <c r="W7" s="31">
        <f>Assumption_Hatchery!Y17*Assumption_Hatchery!Y179</f>
        <v>19000</v>
      </c>
      <c r="X7" s="31">
        <f>Assumption_Hatchery!Z17*Assumption_Hatchery!Z179</f>
        <v>30000</v>
      </c>
      <c r="Y7" s="31">
        <f>Assumption_Hatchery!AA17*Assumption_Hatchery!AA179</f>
        <v>40000</v>
      </c>
      <c r="Z7" s="31">
        <f>Assumption_Hatchery!AB17*Assumption_Hatchery!AB179</f>
        <v>9500</v>
      </c>
    </row>
    <row r="8" spans="1:26" s="12" customFormat="1" x14ac:dyDescent="0.25">
      <c r="A8" s="23" t="s">
        <v>53</v>
      </c>
      <c r="B8" s="38">
        <f t="shared" ref="B8" si="0">(B6+B7)</f>
        <v>0</v>
      </c>
      <c r="C8" s="38">
        <f t="shared" ref="C8:Z8" si="1">(C6+C7)</f>
        <v>0</v>
      </c>
      <c r="D8" s="38">
        <f t="shared" si="1"/>
        <v>221085.00000000003</v>
      </c>
      <c r="E8" s="38">
        <f t="shared" si="1"/>
        <v>395764.2585</v>
      </c>
      <c r="F8" s="38">
        <f t="shared" si="1"/>
        <v>460033.66800000006</v>
      </c>
      <c r="G8" s="38">
        <f t="shared" si="1"/>
        <v>469234.34136000008</v>
      </c>
      <c r="H8" s="38">
        <f t="shared" si="1"/>
        <v>466653.55248252011</v>
      </c>
      <c r="I8" s="38">
        <f t="shared" si="1"/>
        <v>488191.40875094401</v>
      </c>
      <c r="J8" s="38">
        <f t="shared" si="1"/>
        <v>497955.2369259629</v>
      </c>
      <c r="K8" s="38">
        <f t="shared" si="1"/>
        <v>495216.48312287009</v>
      </c>
      <c r="L8" s="38">
        <f t="shared" si="1"/>
        <v>518072.62849777186</v>
      </c>
      <c r="M8" s="38">
        <f t="shared" si="1"/>
        <v>528434.08106772718</v>
      </c>
      <c r="N8" s="38">
        <f t="shared" si="1"/>
        <v>525527.69362185476</v>
      </c>
      <c r="O8" s="38">
        <f t="shared" si="1"/>
        <v>549782.81794286345</v>
      </c>
      <c r="P8" s="38">
        <f t="shared" si="1"/>
        <v>560778.47430172074</v>
      </c>
      <c r="Q8" s="38">
        <f t="shared" si="1"/>
        <v>557694.19269306108</v>
      </c>
      <c r="R8" s="38">
        <f t="shared" si="1"/>
        <v>583433.92466351017</v>
      </c>
      <c r="S8" s="38">
        <f t="shared" si="1"/>
        <v>595102.60315678047</v>
      </c>
      <c r="T8" s="38">
        <f t="shared" si="1"/>
        <v>591829.53883941809</v>
      </c>
      <c r="U8" s="38">
        <f t="shared" si="1"/>
        <v>619144.74832431425</v>
      </c>
      <c r="V8" s="38">
        <f t="shared" si="1"/>
        <v>631527.64329080062</v>
      </c>
      <c r="W8" s="38">
        <f t="shared" si="1"/>
        <v>521443.39300216088</v>
      </c>
      <c r="X8" s="38">
        <f t="shared" si="1"/>
        <v>358520.68003987451</v>
      </c>
      <c r="Y8" s="38">
        <f t="shared" si="1"/>
        <v>107018.21872813438</v>
      </c>
      <c r="Z8" s="38">
        <f t="shared" si="1"/>
        <v>9500</v>
      </c>
    </row>
    <row r="9" spans="1:26" x14ac:dyDescent="0.25">
      <c r="A9" s="23"/>
      <c r="B9" s="41"/>
      <c r="C9" s="41"/>
      <c r="D9" s="41"/>
      <c r="E9" s="41"/>
      <c r="F9" s="41"/>
      <c r="G9" s="41"/>
      <c r="H9" s="41"/>
      <c r="I9" s="41"/>
      <c r="J9" s="41"/>
      <c r="K9" s="41"/>
    </row>
    <row r="10" spans="1:26" x14ac:dyDescent="0.25">
      <c r="A10" s="23" t="s">
        <v>20</v>
      </c>
    </row>
    <row r="11" spans="1:26" x14ac:dyDescent="0.25">
      <c r="A11" s="9" t="s">
        <v>44</v>
      </c>
      <c r="B11" s="33">
        <f>Assumption_Hatchery!D183*Assumption_Hatchery!D6</f>
        <v>0</v>
      </c>
      <c r="C11" s="33">
        <f>Assumption_Hatchery!E183*Assumption_Hatchery!E6</f>
        <v>100000</v>
      </c>
      <c r="D11" s="33">
        <f>Assumption_Hatchery!F183*Assumption_Hatchery!F6</f>
        <v>150000</v>
      </c>
      <c r="E11" s="146">
        <f>Assumption_Hatchery!G183*Assumption_Hatchery!G6</f>
        <v>200000</v>
      </c>
      <c r="F11" s="33">
        <f>Assumption_Hatchery!H183*Assumption_Hatchery!H6</f>
        <v>50000</v>
      </c>
      <c r="G11" s="33">
        <f>Assumption_Hatchery!I183*Assumption_Hatchery!I6</f>
        <v>0</v>
      </c>
      <c r="H11" s="33">
        <f>Assumption_Hatchery!J183*Assumption_Hatchery!J6</f>
        <v>0</v>
      </c>
      <c r="I11" s="33">
        <f>Assumption_Hatchery!K183*Assumption_Hatchery!K6</f>
        <v>0</v>
      </c>
      <c r="J11" s="33">
        <f>Assumption_Hatchery!L183*Assumption_Hatchery!L6</f>
        <v>0</v>
      </c>
      <c r="K11" s="33">
        <f>Assumption_Hatchery!M183*Assumption_Hatchery!M6</f>
        <v>0</v>
      </c>
      <c r="L11" s="33">
        <f>Assumption_Hatchery!N183*Assumption_Hatchery!N6</f>
        <v>0</v>
      </c>
      <c r="M11" s="33">
        <f>Assumption_Hatchery!O183*Assumption_Hatchery!O6</f>
        <v>0</v>
      </c>
      <c r="N11" s="33">
        <f>Assumption_Hatchery!P183*Assumption_Hatchery!P6</f>
        <v>0</v>
      </c>
      <c r="O11" s="33">
        <f>Assumption_Hatchery!Q183*Assumption_Hatchery!Q6</f>
        <v>0</v>
      </c>
      <c r="P11" s="33">
        <f>Assumption_Hatchery!R183*Assumption_Hatchery!R6</f>
        <v>0</v>
      </c>
      <c r="Q11" s="33">
        <f>Assumption_Hatchery!S183*Assumption_Hatchery!S6</f>
        <v>0</v>
      </c>
      <c r="R11" s="33">
        <f>Assumption_Hatchery!T183*Assumption_Hatchery!T6</f>
        <v>0</v>
      </c>
      <c r="S11" s="33">
        <f>Assumption_Hatchery!U183*Assumption_Hatchery!U6</f>
        <v>0</v>
      </c>
      <c r="T11" s="33">
        <f>Assumption_Hatchery!V183*Assumption_Hatchery!V6</f>
        <v>0</v>
      </c>
      <c r="U11" s="33">
        <f>Assumption_Hatchery!W183*Assumption_Hatchery!W6</f>
        <v>0</v>
      </c>
      <c r="V11" s="33">
        <f>Assumption_Hatchery!X183*Assumption_Hatchery!X6</f>
        <v>0</v>
      </c>
      <c r="W11" s="33">
        <f>Assumption_Hatchery!Y183*Assumption_Hatchery!Y6</f>
        <v>0</v>
      </c>
      <c r="X11" s="33">
        <f>Assumption_Hatchery!Z183*Assumption_Hatchery!Z6</f>
        <v>0</v>
      </c>
      <c r="Y11" s="33">
        <f>Assumption_Hatchery!AA183*Assumption_Hatchery!AA6</f>
        <v>0</v>
      </c>
      <c r="Z11" s="33">
        <f>Assumption_Hatchery!AB183*Assumption_Hatchery!AB6</f>
        <v>0</v>
      </c>
    </row>
    <row r="12" spans="1:26" x14ac:dyDescent="0.25">
      <c r="A12" s="9" t="s">
        <v>104</v>
      </c>
      <c r="B12" s="33">
        <v>0</v>
      </c>
      <c r="C12" s="33">
        <v>0</v>
      </c>
      <c r="D12" s="33">
        <f>Assumption_Hatchery!E6*Assumption_Hatchery!F184</f>
        <v>5000</v>
      </c>
      <c r="E12" s="146">
        <f>(Assumption_Hatchery!F16*Assumption_Hatchery!G184)+(Assumption_Hatchery!E18*Assumption_Hatchery!G185)</f>
        <v>17762.499999999996</v>
      </c>
      <c r="F12" s="33">
        <f>(Assumption_Hatchery!G16*Assumption_Hatchery!H184)+(Assumption_Hatchery!F18*Assumption_Hatchery!H185)</f>
        <v>35000</v>
      </c>
      <c r="G12" s="33">
        <f>(Assumption_Hatchery!H16*Assumption_Hatchery!I184)+(Assumption_Hatchery!G18*Assumption_Hatchery!I185)</f>
        <v>47500</v>
      </c>
      <c r="H12" s="33">
        <f>(Assumption_Hatchery!I16*Assumption_Hatchery!J184)+(Assumption_Hatchery!H18*Assumption_Hatchery!J185)</f>
        <v>50749.999999999993</v>
      </c>
      <c r="I12" s="33">
        <f>(Assumption_Hatchery!J16*Assumption_Hatchery!K184)+(Assumption_Hatchery!I18*Assumption_Hatchery!K185)</f>
        <v>50000</v>
      </c>
      <c r="J12" s="33">
        <f>(Assumption_Hatchery!K16*Assumption_Hatchery!L184)+(Assumption_Hatchery!J18*Assumption_Hatchery!L185)</f>
        <v>50000</v>
      </c>
      <c r="K12" s="33">
        <f>(Assumption_Hatchery!L16*Assumption_Hatchery!M184)+(Assumption_Hatchery!K18*Assumption_Hatchery!M185)</f>
        <v>50749.999999999993</v>
      </c>
      <c r="L12" s="33">
        <f>(Assumption_Hatchery!M16*Assumption_Hatchery!N184)+(Assumption_Hatchery!L18*Assumption_Hatchery!N185)</f>
        <v>50000</v>
      </c>
      <c r="M12" s="33">
        <f>(Assumption_Hatchery!N16*Assumption_Hatchery!O184)+(Assumption_Hatchery!M18*Assumption_Hatchery!O185)</f>
        <v>50000</v>
      </c>
      <c r="N12" s="33">
        <f>(Assumption_Hatchery!O16*Assumption_Hatchery!P184)+(Assumption_Hatchery!N18*Assumption_Hatchery!P185)</f>
        <v>50749.999999999993</v>
      </c>
      <c r="O12" s="33">
        <f>(Assumption_Hatchery!P16*Assumption_Hatchery!Q184)+(Assumption_Hatchery!O18*Assumption_Hatchery!Q185)</f>
        <v>50000</v>
      </c>
      <c r="P12" s="33">
        <f>(Assumption_Hatchery!Q16*Assumption_Hatchery!R184)+(Assumption_Hatchery!P18*Assumption_Hatchery!R185)</f>
        <v>50000</v>
      </c>
      <c r="Q12" s="33">
        <f>(Assumption_Hatchery!R16*Assumption_Hatchery!S184)+(Assumption_Hatchery!Q18*Assumption_Hatchery!S185)</f>
        <v>50749.999999999993</v>
      </c>
      <c r="R12" s="33">
        <f>(Assumption_Hatchery!S16*Assumption_Hatchery!T184)+(Assumption_Hatchery!R18*Assumption_Hatchery!T185)</f>
        <v>50000</v>
      </c>
      <c r="S12" s="33">
        <f>(Assumption_Hatchery!T16*Assumption_Hatchery!U184)+(Assumption_Hatchery!S18*Assumption_Hatchery!U185)</f>
        <v>50000</v>
      </c>
      <c r="T12" s="33">
        <f>(Assumption_Hatchery!U16*Assumption_Hatchery!V184)+(Assumption_Hatchery!T18*Assumption_Hatchery!V185)</f>
        <v>50749.999999999993</v>
      </c>
      <c r="U12" s="33">
        <f>(Assumption_Hatchery!V16*Assumption_Hatchery!W184)+(Assumption_Hatchery!U18*Assumption_Hatchery!W185)</f>
        <v>50000</v>
      </c>
      <c r="V12" s="33">
        <f>(Assumption_Hatchery!W16*Assumption_Hatchery!X184)+(Assumption_Hatchery!V18*Assumption_Hatchery!X185)</f>
        <v>50000</v>
      </c>
      <c r="W12" s="33">
        <f>(Assumption_Hatchery!X16*Assumption_Hatchery!Y184)+(Assumption_Hatchery!W18*Assumption_Hatchery!Y185)</f>
        <v>50749.999999999993</v>
      </c>
      <c r="X12" s="33">
        <f>(Assumption_Hatchery!Y16*Assumption_Hatchery!Z184)+(Assumption_Hatchery!X18*Assumption_Hatchery!Z185)</f>
        <v>50000</v>
      </c>
      <c r="Y12" s="33">
        <f>(Assumption_Hatchery!Z16*Assumption_Hatchery!AA184)+(Assumption_Hatchery!Y18*Assumption_Hatchery!AA185)</f>
        <v>40000</v>
      </c>
      <c r="Z12" s="33">
        <f>(Assumption_Hatchery!AA16*Assumption_Hatchery!AB184)+(Assumption_Hatchery!Z18*Assumption_Hatchery!AB185)</f>
        <v>25374.999999999996</v>
      </c>
    </row>
    <row r="13" spans="1:26" x14ac:dyDescent="0.25">
      <c r="A13" s="9" t="s">
        <v>48</v>
      </c>
      <c r="B13" s="33">
        <f>Assumption_Hatchery!D18*Assumption_Hatchery!D187</f>
        <v>0</v>
      </c>
      <c r="C13" s="33">
        <f>Assumption_Hatchery!E18*Assumption_Hatchery!E186</f>
        <v>10000</v>
      </c>
      <c r="D13" s="33">
        <f>Assumption_Hatchery!F18*Assumption_Hatchery!F186</f>
        <v>25000</v>
      </c>
      <c r="E13" s="146">
        <f>Assumption_Hatchery!G18*Assumption_Hatchery!G186</f>
        <v>45000</v>
      </c>
      <c r="F13" s="33">
        <f>Assumption_Hatchery!H18*Assumption_Hatchery!H186</f>
        <v>50000</v>
      </c>
      <c r="G13" s="33">
        <f>Assumption_Hatchery!I18*Assumption_Hatchery!I186</f>
        <v>50000</v>
      </c>
      <c r="H13" s="33">
        <f>Assumption_Hatchery!J18*Assumption_Hatchery!J186</f>
        <v>50000</v>
      </c>
      <c r="I13" s="33">
        <f>Assumption_Hatchery!K18*Assumption_Hatchery!K186</f>
        <v>50000</v>
      </c>
      <c r="J13" s="33">
        <f>Assumption_Hatchery!L18*Assumption_Hatchery!L186</f>
        <v>50000</v>
      </c>
      <c r="K13" s="33">
        <f>Assumption_Hatchery!M18*Assumption_Hatchery!M186</f>
        <v>50000</v>
      </c>
      <c r="L13" s="33">
        <f>Assumption_Hatchery!N18*Assumption_Hatchery!N186</f>
        <v>50000</v>
      </c>
      <c r="M13" s="33">
        <f>Assumption_Hatchery!O18*Assumption_Hatchery!O186</f>
        <v>50000</v>
      </c>
      <c r="N13" s="33">
        <f>Assumption_Hatchery!P18*Assumption_Hatchery!P186</f>
        <v>50000</v>
      </c>
      <c r="O13" s="33">
        <f>Assumption_Hatchery!Q18*Assumption_Hatchery!Q186</f>
        <v>50000</v>
      </c>
      <c r="P13" s="33">
        <f>Assumption_Hatchery!R18*Assumption_Hatchery!R186</f>
        <v>50000</v>
      </c>
      <c r="Q13" s="33">
        <f>Assumption_Hatchery!S18*Assumption_Hatchery!S186</f>
        <v>50000</v>
      </c>
      <c r="R13" s="33">
        <f>Assumption_Hatchery!T18*Assumption_Hatchery!T186</f>
        <v>50000</v>
      </c>
      <c r="S13" s="33">
        <f>Assumption_Hatchery!U18*Assumption_Hatchery!U186</f>
        <v>50000</v>
      </c>
      <c r="T13" s="33">
        <f>Assumption_Hatchery!V18*Assumption_Hatchery!V186</f>
        <v>50000</v>
      </c>
      <c r="U13" s="33">
        <f>Assumption_Hatchery!W18*Assumption_Hatchery!W186</f>
        <v>50000</v>
      </c>
      <c r="V13" s="33">
        <f>Assumption_Hatchery!X18*Assumption_Hatchery!X186</f>
        <v>50000</v>
      </c>
      <c r="W13" s="33">
        <f>Assumption_Hatchery!Y18*Assumption_Hatchery!Y186</f>
        <v>40000</v>
      </c>
      <c r="X13" s="33">
        <f>Assumption_Hatchery!Z18*Assumption_Hatchery!Z186</f>
        <v>25000</v>
      </c>
      <c r="Y13" s="33">
        <f>Assumption_Hatchery!AA18*Assumption_Hatchery!AA186</f>
        <v>5000</v>
      </c>
      <c r="Z13" s="33">
        <f>Assumption_Hatchery!AB18*Assumption_Hatchery!AB186</f>
        <v>0</v>
      </c>
    </row>
    <row r="14" spans="1:26" x14ac:dyDescent="0.25">
      <c r="A14" s="9" t="s">
        <v>50</v>
      </c>
      <c r="B14" s="33">
        <f>Assumption_Hatchery!D18*Assumption_Hatchery!D187</f>
        <v>0</v>
      </c>
      <c r="C14" s="33">
        <f>Assumption_Hatchery!E18*Assumption_Hatchery!E187</f>
        <v>10000</v>
      </c>
      <c r="D14" s="33">
        <f>Assumption_Hatchery!F18*Assumption_Hatchery!F187</f>
        <v>25000</v>
      </c>
      <c r="E14" s="146">
        <f>Assumption_Hatchery!G18*Assumption_Hatchery!G187</f>
        <v>46125</v>
      </c>
      <c r="F14" s="33">
        <f>Assumption_Hatchery!H18*Assumption_Hatchery!H187</f>
        <v>50000</v>
      </c>
      <c r="G14" s="33">
        <f>Assumption_Hatchery!I18*Assumption_Hatchery!I187</f>
        <v>50000</v>
      </c>
      <c r="H14" s="33">
        <f>Assumption_Hatchery!J18*Assumption_Hatchery!J187</f>
        <v>51250</v>
      </c>
      <c r="I14" s="33">
        <f>Assumption_Hatchery!K18*Assumption_Hatchery!K187</f>
        <v>50000</v>
      </c>
      <c r="J14" s="33">
        <f>Assumption_Hatchery!L18*Assumption_Hatchery!L187</f>
        <v>50000</v>
      </c>
      <c r="K14" s="33">
        <f>Assumption_Hatchery!M18*Assumption_Hatchery!M187</f>
        <v>51250</v>
      </c>
      <c r="L14" s="33">
        <f>Assumption_Hatchery!N18*Assumption_Hatchery!N187</f>
        <v>50000</v>
      </c>
      <c r="M14" s="33">
        <f>Assumption_Hatchery!O18*Assumption_Hatchery!O187</f>
        <v>50000</v>
      </c>
      <c r="N14" s="33">
        <f>Assumption_Hatchery!P18*Assumption_Hatchery!P187</f>
        <v>51250</v>
      </c>
      <c r="O14" s="33">
        <f>Assumption_Hatchery!Q18*Assumption_Hatchery!Q187</f>
        <v>50000</v>
      </c>
      <c r="P14" s="33">
        <f>Assumption_Hatchery!R18*Assumption_Hatchery!R187</f>
        <v>50000</v>
      </c>
      <c r="Q14" s="33">
        <f>Assumption_Hatchery!S18*Assumption_Hatchery!S187</f>
        <v>51250</v>
      </c>
      <c r="R14" s="33">
        <f>Assumption_Hatchery!T18*Assumption_Hatchery!T187</f>
        <v>50000</v>
      </c>
      <c r="S14" s="33">
        <f>Assumption_Hatchery!U18*Assumption_Hatchery!U187</f>
        <v>50000</v>
      </c>
      <c r="T14" s="33">
        <f>Assumption_Hatchery!V18*Assumption_Hatchery!V187</f>
        <v>51250</v>
      </c>
      <c r="U14" s="33">
        <f>Assumption_Hatchery!W18*Assumption_Hatchery!W187</f>
        <v>50000</v>
      </c>
      <c r="V14" s="33">
        <f>Assumption_Hatchery!X18*Assumption_Hatchery!X187</f>
        <v>50000</v>
      </c>
      <c r="W14" s="33">
        <f>Assumption_Hatchery!Y18*Assumption_Hatchery!Y187</f>
        <v>41000</v>
      </c>
      <c r="X14" s="33">
        <f>Assumption_Hatchery!Z18*Assumption_Hatchery!Z187</f>
        <v>25000</v>
      </c>
      <c r="Y14" s="33">
        <f>Assumption_Hatchery!AA18*Assumption_Hatchery!AA187</f>
        <v>5000</v>
      </c>
      <c r="Z14" s="33">
        <f>Assumption_Hatchery!AB18*Assumption_Hatchery!AB187</f>
        <v>0</v>
      </c>
    </row>
    <row r="15" spans="1:26" x14ac:dyDescent="0.25">
      <c r="A15" s="109" t="s">
        <v>102</v>
      </c>
      <c r="B15" s="33">
        <f>Assumption_Hatchery!D18*Assumption_Hatchery!D188</f>
        <v>0</v>
      </c>
      <c r="C15" s="33">
        <f>Assumption_Hatchery!E18*Assumption_Hatchery!E188</f>
        <v>1000</v>
      </c>
      <c r="D15" s="33">
        <f>Assumption_Hatchery!F18*Assumption_Hatchery!F188</f>
        <v>2500</v>
      </c>
      <c r="E15" s="146">
        <f>Assumption_Hatchery!G18*Assumption_Hatchery!G188</f>
        <v>4545</v>
      </c>
      <c r="F15" s="33">
        <f>Assumption_Hatchery!H18*Assumption_Hatchery!H188</f>
        <v>5000</v>
      </c>
      <c r="G15" s="33">
        <f>Assumption_Hatchery!I18*Assumption_Hatchery!I188</f>
        <v>5000</v>
      </c>
      <c r="H15" s="33">
        <f>Assumption_Hatchery!J18*Assumption_Hatchery!J188</f>
        <v>5050</v>
      </c>
      <c r="I15" s="33">
        <f>Assumption_Hatchery!K18*Assumption_Hatchery!K188</f>
        <v>5000</v>
      </c>
      <c r="J15" s="33">
        <f>Assumption_Hatchery!L18*Assumption_Hatchery!L188</f>
        <v>5000</v>
      </c>
      <c r="K15" s="33">
        <f>Assumption_Hatchery!M18*Assumption_Hatchery!M188</f>
        <v>5050</v>
      </c>
      <c r="L15" s="33">
        <f>Assumption_Hatchery!N18*Assumption_Hatchery!N188</f>
        <v>5000</v>
      </c>
      <c r="M15" s="33">
        <f>Assumption_Hatchery!O18*Assumption_Hatchery!O188</f>
        <v>5000</v>
      </c>
      <c r="N15" s="33">
        <f>Assumption_Hatchery!P18*Assumption_Hatchery!P188</f>
        <v>5050</v>
      </c>
      <c r="O15" s="33">
        <f>Assumption_Hatchery!Q18*Assumption_Hatchery!Q188</f>
        <v>5000</v>
      </c>
      <c r="P15" s="33">
        <f>Assumption_Hatchery!R18*Assumption_Hatchery!R188</f>
        <v>5000</v>
      </c>
      <c r="Q15" s="33">
        <f>Assumption_Hatchery!S18*Assumption_Hatchery!S188</f>
        <v>5050</v>
      </c>
      <c r="R15" s="33">
        <f>Assumption_Hatchery!T18*Assumption_Hatchery!T188</f>
        <v>5000</v>
      </c>
      <c r="S15" s="33">
        <f>Assumption_Hatchery!U18*Assumption_Hatchery!U188</f>
        <v>5000</v>
      </c>
      <c r="T15" s="33">
        <f>Assumption_Hatchery!V18*Assumption_Hatchery!V188</f>
        <v>5050</v>
      </c>
      <c r="U15" s="33">
        <f>Assumption_Hatchery!W18*Assumption_Hatchery!W188</f>
        <v>5000</v>
      </c>
      <c r="V15" s="33">
        <f>Assumption_Hatchery!X18*Assumption_Hatchery!X188</f>
        <v>5000</v>
      </c>
      <c r="W15" s="33">
        <f>Assumption_Hatchery!Y18*Assumption_Hatchery!Y188</f>
        <v>4040</v>
      </c>
      <c r="X15" s="33">
        <f>Assumption_Hatchery!Z18*Assumption_Hatchery!Z188</f>
        <v>2500</v>
      </c>
      <c r="Y15" s="33">
        <f>Assumption_Hatchery!AA18*Assumption_Hatchery!AA188</f>
        <v>500</v>
      </c>
      <c r="Z15" s="33">
        <f>Assumption_Hatchery!AB18*Assumption_Hatchery!AB188</f>
        <v>0</v>
      </c>
    </row>
    <row r="16" spans="1:26" x14ac:dyDescent="0.25">
      <c r="A16" s="109" t="s">
        <v>103</v>
      </c>
      <c r="B16" s="33">
        <f>Assumption_Hatchery!D18*Assumption_Hatchery!D189</f>
        <v>0</v>
      </c>
      <c r="C16" s="33">
        <f>Assumption_Hatchery!E18*Assumption_Hatchery!E189</f>
        <v>20238.181818181816</v>
      </c>
      <c r="D16" s="33">
        <f>Assumption_Hatchery!F18*Assumption_Hatchery!F189</f>
        <v>50595.454545454544</v>
      </c>
      <c r="E16" s="146">
        <f>Assumption_Hatchery!G18*Assumption_Hatchery!G189</f>
        <v>91982.536363636362</v>
      </c>
      <c r="F16" s="33">
        <f>Assumption_Hatchery!H18*Assumption_Hatchery!H189</f>
        <v>101190.90909090909</v>
      </c>
      <c r="G16" s="33">
        <f>Assumption_Hatchery!I18*Assumption_Hatchery!I189</f>
        <v>101190.90909090909</v>
      </c>
      <c r="H16" s="33">
        <f>Assumption_Hatchery!J18*Assumption_Hatchery!J189</f>
        <v>102202.81818181818</v>
      </c>
      <c r="I16" s="33">
        <f>Assumption_Hatchery!K18*Assumption_Hatchery!K189</f>
        <v>101190.90909090909</v>
      </c>
      <c r="J16" s="33">
        <f>Assumption_Hatchery!L18*Assumption_Hatchery!L189</f>
        <v>101190.90909090909</v>
      </c>
      <c r="K16" s="33">
        <f>Assumption_Hatchery!M18*Assumption_Hatchery!M189</f>
        <v>102202.81818181818</v>
      </c>
      <c r="L16" s="33">
        <f>Assumption_Hatchery!N18*Assumption_Hatchery!N189</f>
        <v>101190.90909090909</v>
      </c>
      <c r="M16" s="33">
        <f>Assumption_Hatchery!O18*Assumption_Hatchery!O189</f>
        <v>101190.90909090909</v>
      </c>
      <c r="N16" s="33">
        <f>Assumption_Hatchery!P18*Assumption_Hatchery!P189</f>
        <v>102202.81818181818</v>
      </c>
      <c r="O16" s="33">
        <f>Assumption_Hatchery!Q18*Assumption_Hatchery!Q189</f>
        <v>101190.90909090909</v>
      </c>
      <c r="P16" s="33">
        <f>Assumption_Hatchery!R18*Assumption_Hatchery!R189</f>
        <v>101190.90909090909</v>
      </c>
      <c r="Q16" s="33">
        <f>Assumption_Hatchery!S18*Assumption_Hatchery!S189</f>
        <v>102202.81818181818</v>
      </c>
      <c r="R16" s="33">
        <f>Assumption_Hatchery!T18*Assumption_Hatchery!T189</f>
        <v>101190.90909090909</v>
      </c>
      <c r="S16" s="33">
        <f>Assumption_Hatchery!U18*Assumption_Hatchery!U189</f>
        <v>101190.90909090909</v>
      </c>
      <c r="T16" s="33">
        <f>Assumption_Hatchery!V18*Assumption_Hatchery!V189</f>
        <v>102202.81818181818</v>
      </c>
      <c r="U16" s="33">
        <f>Assumption_Hatchery!W18*Assumption_Hatchery!W189</f>
        <v>101190.90909090909</v>
      </c>
      <c r="V16" s="33">
        <f>Assumption_Hatchery!X18*Assumption_Hatchery!X189</f>
        <v>101190.90909090909</v>
      </c>
      <c r="W16" s="33">
        <f>Assumption_Hatchery!Y18*Assumption_Hatchery!Y189</f>
        <v>81762.254545454547</v>
      </c>
      <c r="X16" s="33">
        <f>Assumption_Hatchery!Z18*Assumption_Hatchery!Z189</f>
        <v>50595.454545454544</v>
      </c>
      <c r="Y16" s="33">
        <f>Assumption_Hatchery!AA18*Assumption_Hatchery!AA189</f>
        <v>10119.090909090908</v>
      </c>
      <c r="Z16" s="33">
        <f>Assumption_Hatchery!AB18*Assumption_Hatchery!AB189</f>
        <v>0</v>
      </c>
    </row>
    <row r="17" spans="1:27" x14ac:dyDescent="0.25">
      <c r="A17" s="9" t="s">
        <v>35</v>
      </c>
      <c r="B17" s="33">
        <f>Assumption_Hatchery!D18*Assumption_Hatchery!D190</f>
        <v>0</v>
      </c>
      <c r="C17" s="33">
        <f>Assumption_Hatchery!E18*Assumption_Hatchery!E190</f>
        <v>20000</v>
      </c>
      <c r="D17" s="33">
        <f>Assumption_Hatchery!F18*Assumption_Hatchery!F190</f>
        <v>50000</v>
      </c>
      <c r="E17" s="146">
        <f>Assumption_Hatchery!G18*Assumption_Hatchery!G190</f>
        <v>91349.999999999985</v>
      </c>
      <c r="F17" s="33">
        <f>Assumption_Hatchery!H18*Assumption_Hatchery!H190</f>
        <v>100000</v>
      </c>
      <c r="G17" s="33">
        <f>Assumption_Hatchery!I18*Assumption_Hatchery!I190</f>
        <v>100000</v>
      </c>
      <c r="H17" s="33">
        <f>Assumption_Hatchery!J18*Assumption_Hatchery!J190</f>
        <v>101499.99999999999</v>
      </c>
      <c r="I17" s="33">
        <f>Assumption_Hatchery!K18*Assumption_Hatchery!K190</f>
        <v>100000</v>
      </c>
      <c r="J17" s="33">
        <f>Assumption_Hatchery!L18*Assumption_Hatchery!L190</f>
        <v>100000</v>
      </c>
      <c r="K17" s="33">
        <f>Assumption_Hatchery!M18*Assumption_Hatchery!M190</f>
        <v>101499.99999999999</v>
      </c>
      <c r="L17" s="33">
        <f>Assumption_Hatchery!N18*Assumption_Hatchery!N190</f>
        <v>100000</v>
      </c>
      <c r="M17" s="33">
        <f>Assumption_Hatchery!O18*Assumption_Hatchery!O190</f>
        <v>100000</v>
      </c>
      <c r="N17" s="33">
        <f>Assumption_Hatchery!P18*Assumption_Hatchery!P190</f>
        <v>101499.99999999999</v>
      </c>
      <c r="O17" s="33">
        <f>Assumption_Hatchery!Q18*Assumption_Hatchery!Q190</f>
        <v>100000</v>
      </c>
      <c r="P17" s="33">
        <f>Assumption_Hatchery!R18*Assumption_Hatchery!R190</f>
        <v>100000</v>
      </c>
      <c r="Q17" s="33">
        <f>Assumption_Hatchery!S18*Assumption_Hatchery!S190</f>
        <v>101499.99999999999</v>
      </c>
      <c r="R17" s="33">
        <f>Assumption_Hatchery!T18*Assumption_Hatchery!T190</f>
        <v>100000</v>
      </c>
      <c r="S17" s="33">
        <f>Assumption_Hatchery!U18*Assumption_Hatchery!U190</f>
        <v>100000</v>
      </c>
      <c r="T17" s="33">
        <f>Assumption_Hatchery!V18*Assumption_Hatchery!V190</f>
        <v>101499.99999999999</v>
      </c>
      <c r="U17" s="33">
        <f>Assumption_Hatchery!W18*Assumption_Hatchery!W190</f>
        <v>100000</v>
      </c>
      <c r="V17" s="33">
        <f>Assumption_Hatchery!X18*Assumption_Hatchery!X190</f>
        <v>100000</v>
      </c>
      <c r="W17" s="33">
        <f>Assumption_Hatchery!Y18*Assumption_Hatchery!Y190</f>
        <v>81199.999999999985</v>
      </c>
      <c r="X17" s="33">
        <f>Assumption_Hatchery!Z18*Assumption_Hatchery!Z190</f>
        <v>50000</v>
      </c>
      <c r="Y17" s="33">
        <f>Assumption_Hatchery!AA18*Assumption_Hatchery!AA190</f>
        <v>10000</v>
      </c>
      <c r="Z17" s="33">
        <f>Assumption_Hatchery!AB18*Assumption_Hatchery!AB190</f>
        <v>0</v>
      </c>
    </row>
    <row r="18" spans="1:27" x14ac:dyDescent="0.25">
      <c r="A18" s="9" t="s">
        <v>12</v>
      </c>
      <c r="B18" s="33">
        <f>Assumption_Hatchery!D18*Assumption_Hatchery!D191*Assumption_Hatchery!D192*(1+Assumption_Hatchery!D193)^Assumption_Hatchery!D182</f>
        <v>0</v>
      </c>
      <c r="C18" s="33">
        <f>Assumption_Hatchery!E18*Assumption_Hatchery!E191*Assumption_Hatchery!E192*(1+Assumption_Hatchery!E193)^Assumption_Hatchery!E182</f>
        <v>4100.6000000000004</v>
      </c>
      <c r="D18" s="33">
        <f>Assumption_Hatchery!F18*Assumption_Hatchery!F191*Assumption_Hatchery!F192*(1+Assumption_Hatchery!F193)^Assumption_Hatchery!F182</f>
        <v>10354.014999999999</v>
      </c>
      <c r="E18" s="146">
        <f>Assumption_Hatchery!G18*Assumption_Hatchery!G191*Assumption_Hatchery!G192*(1+Assumption_Hatchery!G193)^Assumption_Hatchery!G182</f>
        <v>18823.599269999999</v>
      </c>
      <c r="F18" s="33">
        <f>Assumption_Hatchery!H18*Assumption_Hatchery!H191*Assumption_Hatchery!H192*(1+Assumption_Hatchery!H193)^Assumption_Hatchery!H182</f>
        <v>21124.261403</v>
      </c>
      <c r="G18" s="33">
        <f>Assumption_Hatchery!I18*Assumption_Hatchery!I191*Assumption_Hatchery!I192*(1+Assumption_Hatchery!I193)^Assumption_Hatchery!I182</f>
        <v>21335.504017029998</v>
      </c>
      <c r="H18" s="33">
        <f>Assumption_Hatchery!J18*Assumption_Hatchery!J191*Assumption_Hatchery!J192*(1+Assumption_Hatchery!J193)^Assumption_Hatchery!J182</f>
        <v>21548.859057200301</v>
      </c>
      <c r="I18" s="33">
        <f>Assumption_Hatchery!K18*Assumption_Hatchery!K191*Assumption_Hatchery!K192*(1+Assumption_Hatchery!K193)^Assumption_Hatchery!K182</f>
        <v>21764.347647772298</v>
      </c>
      <c r="J18" s="33">
        <f>Assumption_Hatchery!L18*Assumption_Hatchery!L191*Assumption_Hatchery!L192*(1+Assumption_Hatchery!L193)^Assumption_Hatchery!L182</f>
        <v>21981.991124250027</v>
      </c>
      <c r="K18" s="33">
        <f>Assumption_Hatchery!M18*Assumption_Hatchery!M191*Assumption_Hatchery!M192*(1+Assumption_Hatchery!M193)^Assumption_Hatchery!M182</f>
        <v>22201.81103549253</v>
      </c>
      <c r="L18" s="33">
        <f>Assumption_Hatchery!N18*Assumption_Hatchery!N191*Assumption_Hatchery!N192*(1+Assumption_Hatchery!N193)^Assumption_Hatchery!N182</f>
        <v>22423.829145847456</v>
      </c>
      <c r="M18" s="33">
        <f>Assumption_Hatchery!O18*Assumption_Hatchery!O191*Assumption_Hatchery!O192*(1+Assumption_Hatchery!O193)^Assumption_Hatchery!O182</f>
        <v>22648.067437305926</v>
      </c>
      <c r="N18" s="33">
        <f>Assumption_Hatchery!P18*Assumption_Hatchery!P191*Assumption_Hatchery!P192*(1+Assumption_Hatchery!P193)^Assumption_Hatchery!P182</f>
        <v>22874.548111678985</v>
      </c>
      <c r="O18" s="33">
        <f>Assumption_Hatchery!Q18*Assumption_Hatchery!Q191*Assumption_Hatchery!Q192*(1+Assumption_Hatchery!Q193)^Assumption_Hatchery!Q182</f>
        <v>23103.293592795777</v>
      </c>
      <c r="P18" s="33">
        <f>Assumption_Hatchery!R18*Assumption_Hatchery!R191*Assumption_Hatchery!R192*(1+Assumption_Hatchery!R193)^Assumption_Hatchery!R182</f>
        <v>23334.326528723737</v>
      </c>
      <c r="Q18" s="33">
        <f>Assumption_Hatchery!S18*Assumption_Hatchery!S191*Assumption_Hatchery!S192*(1+Assumption_Hatchery!S193)^Assumption_Hatchery!S182</f>
        <v>23567.66979401097</v>
      </c>
      <c r="R18" s="33">
        <f>Assumption_Hatchery!T18*Assumption_Hatchery!T191*Assumption_Hatchery!T192*(1+Assumption_Hatchery!T193)^Assumption_Hatchery!T182</f>
        <v>23803.346491951084</v>
      </c>
      <c r="S18" s="33">
        <f>Assumption_Hatchery!U18*Assumption_Hatchery!U191*Assumption_Hatchery!U192*(1+Assumption_Hatchery!U193)^Assumption_Hatchery!U182</f>
        <v>24041.379956870598</v>
      </c>
      <c r="T18" s="33">
        <f>Assumption_Hatchery!V18*Assumption_Hatchery!V191*Assumption_Hatchery!V192*(1+Assumption_Hatchery!V193)^Assumption_Hatchery!V182</f>
        <v>24281.793756439303</v>
      </c>
      <c r="U18" s="33">
        <f>Assumption_Hatchery!W18*Assumption_Hatchery!W191*Assumption_Hatchery!W192*(1+Assumption_Hatchery!W193)^Assumption_Hatchery!W182</f>
        <v>24524.611694003692</v>
      </c>
      <c r="V18" s="33">
        <f>Assumption_Hatchery!X18*Assumption_Hatchery!X191*Assumption_Hatchery!X192*(1+Assumption_Hatchery!X193)^Assumption_Hatchery!X182</f>
        <v>24769.857810943729</v>
      </c>
      <c r="W18" s="33">
        <f>Assumption_Hatchery!Y18*Assumption_Hatchery!Y191*Assumption_Hatchery!Y192*(1+Assumption_Hatchery!Y193)^Assumption_Hatchery!Y182</f>
        <v>20014.045111242533</v>
      </c>
      <c r="X18" s="33">
        <f>Assumption_Hatchery!Z18*Assumption_Hatchery!Z191*Assumption_Hatchery!Z192*(1+Assumption_Hatchery!Z193)^Assumption_Hatchery!Z182</f>
        <v>12633.865976471852</v>
      </c>
      <c r="Y18" s="33">
        <f>Assumption_Hatchery!AA18*Assumption_Hatchery!AA191*Assumption_Hatchery!AA192*(1+Assumption_Hatchery!AA193)^Assumption_Hatchery!AA182</f>
        <v>2552.0409272473134</v>
      </c>
      <c r="Z18" s="33">
        <f>Assumption_Hatchery!AB18*Assumption_Hatchery!AB191*Assumption_Hatchery!AB192*(1+Assumption_Hatchery!AB193)^Assumption_Hatchery!AB182</f>
        <v>0</v>
      </c>
    </row>
    <row r="19" spans="1:27" s="50" customFormat="1" x14ac:dyDescent="0.25">
      <c r="A19" s="52" t="s">
        <v>131</v>
      </c>
      <c r="B19" s="49">
        <f>Assumption_Hatchery!D43</f>
        <v>0</v>
      </c>
      <c r="C19" s="49">
        <f>Assumption_Hatchery!E43</f>
        <v>0</v>
      </c>
      <c r="D19" s="49">
        <f>Assumption_Hatchery!F43</f>
        <v>133200</v>
      </c>
      <c r="E19" s="49">
        <f>Assumption_Hatchery!G43</f>
        <v>311400</v>
      </c>
      <c r="F19" s="49">
        <f>Assumption_Hatchery!H43</f>
        <v>433800</v>
      </c>
      <c r="G19" s="49">
        <f>Assumption_Hatchery!I43</f>
        <v>289800</v>
      </c>
      <c r="H19" s="49">
        <f>Assumption_Hatchery!J43</f>
        <v>55800</v>
      </c>
      <c r="I19" s="49">
        <f>Assumption_Hatchery!K43</f>
        <v>0</v>
      </c>
      <c r="J19" s="49">
        <f>Assumption_Hatchery!L43</f>
        <v>0</v>
      </c>
      <c r="K19" s="49">
        <f>Assumption_Hatchery!M43</f>
        <v>0</v>
      </c>
      <c r="L19" s="49">
        <f>Assumption_Hatchery!N43</f>
        <v>0</v>
      </c>
      <c r="M19" s="49">
        <f>Assumption_Hatchery!O43</f>
        <v>0</v>
      </c>
      <c r="N19" s="49">
        <f>Assumption_Hatchery!P43</f>
        <v>0</v>
      </c>
      <c r="O19" s="49">
        <f>Assumption_Hatchery!Q43</f>
        <v>0</v>
      </c>
      <c r="P19" s="49">
        <f>Assumption_Hatchery!R43</f>
        <v>0</v>
      </c>
      <c r="Q19" s="49">
        <f>Assumption_Hatchery!S43</f>
        <v>0</v>
      </c>
      <c r="R19" s="49">
        <f>Assumption_Hatchery!T43</f>
        <v>0</v>
      </c>
      <c r="S19" s="49">
        <f>Assumption_Hatchery!U43</f>
        <v>0</v>
      </c>
      <c r="T19" s="49">
        <f>Assumption_Hatchery!V43</f>
        <v>0</v>
      </c>
      <c r="U19" s="49">
        <f>Assumption_Hatchery!W43</f>
        <v>0</v>
      </c>
      <c r="V19" s="49">
        <f>Assumption_Hatchery!X43</f>
        <v>0</v>
      </c>
      <c r="W19" s="49">
        <f>Assumption_Hatchery!Y43</f>
        <v>0</v>
      </c>
      <c r="X19" s="49">
        <f>Assumption_Hatchery!Z43</f>
        <v>0</v>
      </c>
      <c r="Y19" s="49">
        <f>Assumption_Hatchery!AA43</f>
        <v>0</v>
      </c>
      <c r="Z19" s="49">
        <f>Assumption_Hatchery!AB43</f>
        <v>0</v>
      </c>
    </row>
    <row r="20" spans="1:27" x14ac:dyDescent="0.25">
      <c r="A20" s="117" t="s">
        <v>54</v>
      </c>
      <c r="B20" s="37">
        <f>SUM(B11:B19)</f>
        <v>0</v>
      </c>
      <c r="C20" s="37">
        <f t="shared" ref="C20:Z20" si="2">SUM(C11:C19)</f>
        <v>165338.78181818183</v>
      </c>
      <c r="D20" s="37">
        <f t="shared" si="2"/>
        <v>451649.46954545454</v>
      </c>
      <c r="E20" s="37">
        <f t="shared" si="2"/>
        <v>826988.63563363638</v>
      </c>
      <c r="F20" s="37">
        <f t="shared" si="2"/>
        <v>846115.17049390904</v>
      </c>
      <c r="G20" s="37">
        <f t="shared" si="2"/>
        <v>664826.41310793906</v>
      </c>
      <c r="H20" s="37">
        <f t="shared" si="2"/>
        <v>438101.67723901849</v>
      </c>
      <c r="I20" s="37">
        <f t="shared" si="2"/>
        <v>377955.25673868135</v>
      </c>
      <c r="J20" s="37">
        <f t="shared" si="2"/>
        <v>378172.90021515911</v>
      </c>
      <c r="K20" s="37">
        <f t="shared" si="2"/>
        <v>382954.62921731069</v>
      </c>
      <c r="L20" s="37">
        <f t="shared" si="2"/>
        <v>378614.73823675653</v>
      </c>
      <c r="M20" s="37">
        <f t="shared" si="2"/>
        <v>378838.97652821499</v>
      </c>
      <c r="N20" s="37">
        <f t="shared" si="2"/>
        <v>383627.36629349715</v>
      </c>
      <c r="O20" s="37">
        <f t="shared" si="2"/>
        <v>379294.20268370485</v>
      </c>
      <c r="P20" s="37">
        <f t="shared" si="2"/>
        <v>379525.23561963282</v>
      </c>
      <c r="Q20" s="37">
        <f t="shared" si="2"/>
        <v>384320.48797582916</v>
      </c>
      <c r="R20" s="37">
        <f t="shared" si="2"/>
        <v>379994.25558286015</v>
      </c>
      <c r="S20" s="37">
        <f t="shared" si="2"/>
        <v>380232.28904777963</v>
      </c>
      <c r="T20" s="37">
        <f t="shared" si="2"/>
        <v>385034.61193825747</v>
      </c>
      <c r="U20" s="37">
        <f t="shared" si="2"/>
        <v>380715.52078491275</v>
      </c>
      <c r="V20" s="37">
        <f t="shared" si="2"/>
        <v>380960.7669018528</v>
      </c>
      <c r="W20" s="37">
        <f t="shared" si="2"/>
        <v>318766.29965669703</v>
      </c>
      <c r="X20" s="37">
        <f t="shared" si="2"/>
        <v>215729.32052192639</v>
      </c>
      <c r="Y20" s="37">
        <f t="shared" si="2"/>
        <v>73171.131836338231</v>
      </c>
      <c r="Z20" s="37">
        <f t="shared" si="2"/>
        <v>25374.999999999996</v>
      </c>
    </row>
    <row r="21" spans="1:27" x14ac:dyDescent="0.25">
      <c r="B21" s="32"/>
      <c r="C21" s="32"/>
      <c r="D21" s="32"/>
      <c r="E21" s="32"/>
      <c r="F21" s="32"/>
      <c r="G21" s="32"/>
      <c r="H21" s="32"/>
      <c r="I21" s="32"/>
      <c r="J21" s="32"/>
      <c r="K21" s="32"/>
      <c r="L21" s="32"/>
    </row>
    <row r="22" spans="1:27" x14ac:dyDescent="0.25">
      <c r="A22" s="23" t="s">
        <v>317</v>
      </c>
      <c r="B22" s="34">
        <f>B8-B20</f>
        <v>0</v>
      </c>
      <c r="C22" s="34">
        <f t="shared" ref="C22:Z22" si="3">C8-C20</f>
        <v>-165338.78181818183</v>
      </c>
      <c r="D22" s="34">
        <f t="shared" si="3"/>
        <v>-230564.46954545451</v>
      </c>
      <c r="E22" s="34">
        <f t="shared" si="3"/>
        <v>-431224.37713363639</v>
      </c>
      <c r="F22" s="34">
        <f t="shared" si="3"/>
        <v>-386081.50249390898</v>
      </c>
      <c r="G22" s="34">
        <f t="shared" si="3"/>
        <v>-195592.07174793899</v>
      </c>
      <c r="H22" s="34">
        <f t="shared" si="3"/>
        <v>28551.875243501621</v>
      </c>
      <c r="I22" s="34">
        <f t="shared" si="3"/>
        <v>110236.15201226267</v>
      </c>
      <c r="J22" s="34">
        <f t="shared" si="3"/>
        <v>119782.33671080379</v>
      </c>
      <c r="K22" s="34">
        <f t="shared" si="3"/>
        <v>112261.8539055594</v>
      </c>
      <c r="L22" s="34">
        <f t="shared" si="3"/>
        <v>139457.89026101533</v>
      </c>
      <c r="M22" s="34">
        <f t="shared" si="3"/>
        <v>149595.10453951219</v>
      </c>
      <c r="N22" s="34">
        <f t="shared" si="3"/>
        <v>141900.32732835761</v>
      </c>
      <c r="O22" s="34">
        <f t="shared" si="3"/>
        <v>170488.6152591586</v>
      </c>
      <c r="P22" s="34">
        <f t="shared" si="3"/>
        <v>181253.23868208792</v>
      </c>
      <c r="Q22" s="34">
        <f t="shared" si="3"/>
        <v>173373.70471723191</v>
      </c>
      <c r="R22" s="34">
        <f t="shared" si="3"/>
        <v>203439.66908065003</v>
      </c>
      <c r="S22" s="34">
        <f t="shared" si="3"/>
        <v>214870.31410900084</v>
      </c>
      <c r="T22" s="34">
        <f t="shared" si="3"/>
        <v>206794.92690116062</v>
      </c>
      <c r="U22" s="34">
        <f t="shared" si="3"/>
        <v>238429.2275394015</v>
      </c>
      <c r="V22" s="34">
        <f t="shared" si="3"/>
        <v>250566.87638894783</v>
      </c>
      <c r="W22" s="34">
        <f t="shared" si="3"/>
        <v>202677.09334546386</v>
      </c>
      <c r="X22" s="34">
        <f t="shared" si="3"/>
        <v>142791.35951794812</v>
      </c>
      <c r="Y22" s="34">
        <f t="shared" si="3"/>
        <v>33847.086891796149</v>
      </c>
      <c r="Z22" s="34">
        <f t="shared" si="3"/>
        <v>-15874.999999999996</v>
      </c>
    </row>
    <row r="23" spans="1:27" x14ac:dyDescent="0.25">
      <c r="A23" s="23"/>
      <c r="B23" s="344"/>
      <c r="C23" s="344"/>
      <c r="D23" s="344"/>
      <c r="E23" s="344"/>
      <c r="F23" s="344"/>
      <c r="G23" s="344"/>
      <c r="H23" s="344"/>
      <c r="I23" s="344"/>
      <c r="J23" s="344"/>
      <c r="K23" s="344"/>
      <c r="L23" s="344"/>
      <c r="M23" s="344"/>
      <c r="N23" s="344"/>
      <c r="O23" s="344"/>
      <c r="P23" s="344"/>
      <c r="Q23" s="344"/>
      <c r="R23" s="344"/>
      <c r="S23" s="344"/>
      <c r="T23" s="344"/>
      <c r="U23" s="344"/>
      <c r="V23" s="344"/>
      <c r="W23" s="344"/>
      <c r="X23" s="344"/>
      <c r="Y23" s="344"/>
      <c r="Z23" s="344"/>
    </row>
    <row r="24" spans="1:27" x14ac:dyDescent="0.25">
      <c r="A24" s="10" t="s">
        <v>319</v>
      </c>
      <c r="B24" s="345">
        <f>B8/(1+Assumption_Hatchery!$C76)^B4</f>
        <v>0</v>
      </c>
      <c r="C24" s="345">
        <f>C8/(1+Assumption_Hatchery!$C76)^C4</f>
        <v>0</v>
      </c>
      <c r="D24" s="345">
        <f>D8/(1+Assumption_Hatchery!$C76)^D4</f>
        <v>196764.86294054825</v>
      </c>
      <c r="E24" s="345">
        <f>E8/(1+Assumption_Hatchery!$C76)^E4</f>
        <v>332291.30297158047</v>
      </c>
      <c r="F24" s="345">
        <f>F8/(1+Assumption_Hatchery!$C76)^F4</f>
        <v>364389.75329894334</v>
      </c>
      <c r="G24" s="345">
        <f>G8/(1+Assumption_Hatchery!$C76)^G4</f>
        <v>350639.19657068129</v>
      </c>
      <c r="H24" s="345">
        <f>H8/(1+Assumption_Hatchery!$C76)^H4</f>
        <v>328972.34055617225</v>
      </c>
      <c r="I24" s="345">
        <f>I8/(1+Assumption_Hatchery!$C76)^I4</f>
        <v>324675.16919912485</v>
      </c>
      <c r="J24" s="345">
        <f>J8/(1+Assumption_Hatchery!$C76)^J4</f>
        <v>312423.27602179942</v>
      </c>
      <c r="K24" s="345">
        <f>K8/(1+Assumption_Hatchery!$C76)^K4</f>
        <v>293117.87547516939</v>
      </c>
      <c r="L24" s="345">
        <f>L8/(1+Assumption_Hatchery!$C76)^L4</f>
        <v>289289.04981584207</v>
      </c>
      <c r="M24" s="345">
        <f>M8/(1+Assumption_Hatchery!$C76)^M4</f>
        <v>278372.48189826298</v>
      </c>
      <c r="N24" s="345">
        <f>N8/(1+Assumption_Hatchery!$C76)^N4</f>
        <v>261171.16344134207</v>
      </c>
      <c r="O24" s="345">
        <f>O8/(1+Assumption_Hatchery!$C76)^O4</f>
        <v>257759.63881003277</v>
      </c>
      <c r="P24" s="345">
        <f>P8/(1+Assumption_Hatchery!$C76)^P4</f>
        <v>248032.85998701269</v>
      </c>
      <c r="Q24" s="345">
        <f>Q8/(1+Assumption_Hatchery!$C76)^Q4</f>
        <v>232706.30118592829</v>
      </c>
      <c r="R24" s="345">
        <f>R8/(1+Assumption_Hatchery!$C76)^R4</f>
        <v>229666.59623574934</v>
      </c>
      <c r="S24" s="345">
        <f>S8/(1+Assumption_Hatchery!$C76)^S4</f>
        <v>220999.93222685315</v>
      </c>
      <c r="T24" s="345">
        <f>T8/(1+Assumption_Hatchery!$C76)^T4</f>
        <v>207343.8043392504</v>
      </c>
      <c r="U24" s="345">
        <f>U8/(1+Assumption_Hatchery!$C76)^U4</f>
        <v>204635.39470346915</v>
      </c>
      <c r="V24" s="345">
        <f>V8/(1+Assumption_Hatchery!$C76)^V4</f>
        <v>196913.30433730053</v>
      </c>
      <c r="W24" s="345">
        <f>W8/(1+Assumption_Hatchery!$C76)^W4</f>
        <v>153385.3912656527</v>
      </c>
      <c r="X24" s="345">
        <f>X8/(1+Assumption_Hatchery!$C76)^X4</f>
        <v>99491.316058068929</v>
      </c>
      <c r="Y24" s="345">
        <f>Y8/(1+Assumption_Hatchery!$C76)^Y4</f>
        <v>28017.076565185653</v>
      </c>
      <c r="Z24" s="345">
        <f>Z8/(1+Assumption_Hatchery!$C76)^Z4</f>
        <v>2346.2962091742252</v>
      </c>
      <c r="AA24" s="343">
        <f>SUM(B24:Z24)</f>
        <v>5413404.3841131451</v>
      </c>
    </row>
    <row r="25" spans="1:27" s="12" customFormat="1" x14ac:dyDescent="0.25">
      <c r="A25" s="10" t="s">
        <v>320</v>
      </c>
      <c r="B25" s="346">
        <f>B20/(1+Assumption_Hatchery!$C76)^BaU_Hatchery!B4</f>
        <v>0</v>
      </c>
      <c r="C25" s="346">
        <f>C20/(1+Assumption_Hatchery!$C76)^BaU_Hatchery!C4</f>
        <v>155979.98284734134</v>
      </c>
      <c r="D25" s="346">
        <f>D20/(1+Assumption_Hatchery!$C76)^BaU_Hatchery!D4</f>
        <v>401966.42002977437</v>
      </c>
      <c r="E25" s="346">
        <f>E20/(1+Assumption_Hatchery!$C76)^BaU_Hatchery!E4</f>
        <v>694355.60532657511</v>
      </c>
      <c r="F25" s="346">
        <f>F20/(1+Assumption_Hatchery!$C76)^BaU_Hatchery!F4</f>
        <v>670202.46491778258</v>
      </c>
      <c r="G25" s="346">
        <f>G20/(1+Assumption_Hatchery!$C76)^BaU_Hatchery!G4</f>
        <v>496796.9707321329</v>
      </c>
      <c r="H25" s="346">
        <f>H20/(1+Assumption_Hatchery!$C76)^BaU_Hatchery!H4</f>
        <v>308844.39515394712</v>
      </c>
      <c r="I25" s="346">
        <f>I20/(1+Assumption_Hatchery!$C76)^BaU_Hatchery!I4</f>
        <v>251361.83212501637</v>
      </c>
      <c r="J25" s="346">
        <f>J20/(1+Assumption_Hatchery!$C76)^BaU_Hatchery!J4</f>
        <v>237270.35610120892</v>
      </c>
      <c r="K25" s="346">
        <f>K20/(1+Assumption_Hatchery!$C76)^BaU_Hatchery!K4</f>
        <v>226670.25663543661</v>
      </c>
      <c r="L25" s="346">
        <f>L20/(1+Assumption_Hatchery!$C76)^BaU_Hatchery!L4</f>
        <v>211416.49229448941</v>
      </c>
      <c r="M25" s="346">
        <f>M20/(1+Assumption_Hatchery!$C76)^BaU_Hatchery!M4</f>
        <v>199567.64696719259</v>
      </c>
      <c r="N25" s="346">
        <f>N20/(1+Assumption_Hatchery!$C76)^BaU_Hatchery!N4</f>
        <v>190651.04807760014</v>
      </c>
      <c r="O25" s="346">
        <f>O20/(1+Assumption_Hatchery!$C76)^BaU_Hatchery!O4</f>
        <v>177827.92312845908</v>
      </c>
      <c r="P25" s="346">
        <f>P20/(1+Assumption_Hatchery!$C76)^BaU_Hatchery!P4</f>
        <v>167864.37772098617</v>
      </c>
      <c r="Q25" s="346">
        <f>Q20/(1+Assumption_Hatchery!$C76)^BaU_Hatchery!Q4</f>
        <v>160363.51175714686</v>
      </c>
      <c r="R25" s="346">
        <f>R20/(1+Assumption_Hatchery!$C76)^BaU_Hatchery!R4</f>
        <v>149583.32654239493</v>
      </c>
      <c r="S25" s="346">
        <f>S20/(1+Assumption_Hatchery!$C76)^BaU_Hatchery!S4</f>
        <v>141204.74295401861</v>
      </c>
      <c r="T25" s="346">
        <f>T20/(1+Assumption_Hatchery!$C76)^BaU_Hatchery!T4</f>
        <v>134894.48566241111</v>
      </c>
      <c r="U25" s="346">
        <f>U20/(1+Assumption_Hatchery!$C76)^BaU_Hatchery!U4</f>
        <v>125831.43291841104</v>
      </c>
      <c r="V25" s="346">
        <f>V20/(1+Assumption_Hatchery!$C76)^BaU_Hatchery!V4</f>
        <v>118785.36787814542</v>
      </c>
      <c r="W25" s="346">
        <f>W20/(1+Assumption_Hatchery!$C76)^BaU_Hatchery!W4</f>
        <v>93766.829249947259</v>
      </c>
      <c r="X25" s="346">
        <f>X20/(1+Assumption_Hatchery!$C76)^BaU_Hatchery!X4</f>
        <v>59865.985997383214</v>
      </c>
      <c r="Y25" s="346">
        <f>Y20/(1+Assumption_Hatchery!$C76)^BaU_Hatchery!Y4</f>
        <v>19156.00191615822</v>
      </c>
      <c r="Z25" s="346">
        <f>Z20/(1+Assumption_Hatchery!$C76)^BaU_Hatchery!Z4</f>
        <v>6267.0806639785214</v>
      </c>
      <c r="AA25" s="343">
        <f>SUM(B25:Z25)</f>
        <v>5400494.5375979375</v>
      </c>
    </row>
    <row r="26" spans="1:27" x14ac:dyDescent="0.25">
      <c r="B26" s="32"/>
      <c r="C26" s="32"/>
      <c r="D26" s="32"/>
      <c r="E26" s="32"/>
      <c r="F26" s="32"/>
      <c r="G26" s="32"/>
      <c r="H26" s="32"/>
      <c r="I26" s="32"/>
      <c r="J26" s="32"/>
      <c r="K26" s="32"/>
      <c r="L26" s="32"/>
    </row>
    <row r="27" spans="1:27" s="12" customFormat="1" x14ac:dyDescent="0.25">
      <c r="A27" s="25" t="s">
        <v>318</v>
      </c>
      <c r="B27" s="35">
        <f>NPV(Assumption_Hatchery!C76,C22:Z22)+B22</f>
        <v>12909.846515206753</v>
      </c>
      <c r="C27" s="40"/>
      <c r="D27" s="40"/>
      <c r="E27" s="40"/>
      <c r="F27" s="40"/>
      <c r="G27" s="40"/>
      <c r="H27" s="40"/>
      <c r="I27" s="40"/>
      <c r="J27" s="40"/>
      <c r="K27" s="40"/>
      <c r="L27" s="40"/>
    </row>
    <row r="29" spans="1:27" s="12" customFormat="1" x14ac:dyDescent="0.25">
      <c r="A29" s="25" t="s">
        <v>238</v>
      </c>
      <c r="B29" s="36">
        <f>IRR(B22:Z22)</f>
        <v>6.1046896108141402E-2</v>
      </c>
      <c r="C29" s="4"/>
      <c r="D29" s="4"/>
      <c r="E29" s="4"/>
      <c r="F29" s="4"/>
      <c r="G29" s="4"/>
      <c r="H29" s="4"/>
      <c r="I29" s="4"/>
      <c r="J29" s="4"/>
      <c r="K29" s="4"/>
      <c r="L29" s="4"/>
    </row>
    <row r="32" spans="1:27" s="1" customFormat="1" x14ac:dyDescent="0.25">
      <c r="A32" s="24"/>
      <c r="B32" s="42"/>
      <c r="C32" s="42"/>
      <c r="D32" s="42"/>
      <c r="E32" s="42"/>
      <c r="F32" s="42"/>
      <c r="G32" s="42"/>
      <c r="H32" s="42"/>
      <c r="I32" s="42"/>
      <c r="J32" s="42"/>
      <c r="K32" s="42"/>
      <c r="L32" s="42"/>
    </row>
    <row r="34" spans="1:26" ht="38.25" customHeight="1" x14ac:dyDescent="0.25">
      <c r="A34" s="11" t="str">
        <f>A2</f>
        <v>Aggregate Economic Analysis</v>
      </c>
      <c r="B34" s="30"/>
      <c r="C34" s="69"/>
      <c r="D34" s="70"/>
      <c r="E34" s="30"/>
      <c r="F34" s="116" t="s">
        <v>90</v>
      </c>
      <c r="G34" s="30"/>
      <c r="H34" s="30"/>
      <c r="I34" s="30"/>
      <c r="J34" s="30"/>
      <c r="K34" s="30"/>
      <c r="L34" s="30"/>
      <c r="M34" s="11"/>
    </row>
    <row r="35" spans="1:26" ht="38.25" customHeight="1" x14ac:dyDescent="0.25">
      <c r="A35" s="11"/>
      <c r="B35" s="30"/>
      <c r="C35" s="69"/>
      <c r="D35" s="70"/>
      <c r="E35" s="30"/>
      <c r="F35" s="116"/>
      <c r="G35" s="30"/>
      <c r="H35" s="30"/>
      <c r="I35" s="30"/>
      <c r="J35" s="30"/>
      <c r="K35" s="30"/>
      <c r="L35" s="30"/>
      <c r="M35" s="11"/>
    </row>
    <row r="36" spans="1:26" x14ac:dyDescent="0.25">
      <c r="A36" s="10" t="s">
        <v>19</v>
      </c>
      <c r="B36" s="26">
        <v>0</v>
      </c>
      <c r="C36" s="26">
        <v>1</v>
      </c>
      <c r="D36" s="26">
        <v>2</v>
      </c>
      <c r="E36" s="26">
        <v>3</v>
      </c>
      <c r="F36" s="26">
        <v>4</v>
      </c>
      <c r="G36" s="26">
        <v>5</v>
      </c>
      <c r="H36" s="26">
        <v>6</v>
      </c>
      <c r="I36" s="26">
        <v>7</v>
      </c>
      <c r="J36" s="26">
        <v>8</v>
      </c>
      <c r="K36" s="26">
        <v>9</v>
      </c>
      <c r="L36" s="26">
        <v>10</v>
      </c>
      <c r="M36" s="26">
        <v>11</v>
      </c>
      <c r="N36" s="26">
        <v>12</v>
      </c>
      <c r="O36" s="26">
        <v>13</v>
      </c>
      <c r="P36" s="26">
        <v>14</v>
      </c>
      <c r="Q36" s="26">
        <v>15</v>
      </c>
      <c r="R36" s="26">
        <v>16</v>
      </c>
      <c r="S36" s="26">
        <v>17</v>
      </c>
      <c r="T36" s="26">
        <v>18</v>
      </c>
      <c r="U36" s="26">
        <v>19</v>
      </c>
      <c r="V36" s="26">
        <v>20</v>
      </c>
      <c r="W36" s="26">
        <v>21</v>
      </c>
      <c r="X36" s="26">
        <v>22</v>
      </c>
      <c r="Y36" s="26">
        <v>23</v>
      </c>
      <c r="Z36" s="26">
        <v>24</v>
      </c>
    </row>
    <row r="37" spans="1:26" x14ac:dyDescent="0.25">
      <c r="A37" s="23" t="s">
        <v>3</v>
      </c>
    </row>
    <row r="38" spans="1:26" x14ac:dyDescent="0.25">
      <c r="A38" s="10" t="s">
        <v>51</v>
      </c>
      <c r="B38" s="31">
        <f t="shared" ref="B38:Z38" si="4">B6</f>
        <v>0</v>
      </c>
      <c r="C38" s="31">
        <f t="shared" si="4"/>
        <v>0</v>
      </c>
      <c r="D38" s="31">
        <f t="shared" si="4"/>
        <v>221085.00000000003</v>
      </c>
      <c r="E38" s="31">
        <f t="shared" si="4"/>
        <v>395764.2585</v>
      </c>
      <c r="F38" s="31">
        <f t="shared" si="4"/>
        <v>460033.66800000006</v>
      </c>
      <c r="G38" s="31">
        <f t="shared" si="4"/>
        <v>469234.34136000008</v>
      </c>
      <c r="H38" s="31">
        <f t="shared" si="4"/>
        <v>466653.55248252011</v>
      </c>
      <c r="I38" s="31">
        <f t="shared" si="4"/>
        <v>488191.40875094401</v>
      </c>
      <c r="J38" s="31">
        <f t="shared" si="4"/>
        <v>497955.2369259629</v>
      </c>
      <c r="K38" s="31">
        <f t="shared" si="4"/>
        <v>495216.48312287009</v>
      </c>
      <c r="L38" s="31">
        <f t="shared" si="4"/>
        <v>518072.62849777186</v>
      </c>
      <c r="M38" s="31">
        <f t="shared" si="4"/>
        <v>528434.08106772718</v>
      </c>
      <c r="N38" s="31">
        <f t="shared" si="4"/>
        <v>525527.69362185476</v>
      </c>
      <c r="O38" s="31">
        <f t="shared" si="4"/>
        <v>549782.81794286345</v>
      </c>
      <c r="P38" s="31">
        <f t="shared" si="4"/>
        <v>560778.47430172074</v>
      </c>
      <c r="Q38" s="31">
        <f t="shared" si="4"/>
        <v>557694.19269306108</v>
      </c>
      <c r="R38" s="31">
        <f t="shared" si="4"/>
        <v>583433.92466351017</v>
      </c>
      <c r="S38" s="31">
        <f t="shared" si="4"/>
        <v>595102.60315678047</v>
      </c>
      <c r="T38" s="31">
        <f t="shared" si="4"/>
        <v>591829.53883941809</v>
      </c>
      <c r="U38" s="31">
        <f t="shared" si="4"/>
        <v>619144.74832431425</v>
      </c>
      <c r="V38" s="31">
        <f t="shared" si="4"/>
        <v>631527.64329080062</v>
      </c>
      <c r="W38" s="31">
        <f t="shared" si="4"/>
        <v>502443.39300216088</v>
      </c>
      <c r="X38" s="31">
        <f t="shared" si="4"/>
        <v>328520.68003987451</v>
      </c>
      <c r="Y38" s="31">
        <f t="shared" si="4"/>
        <v>67018.218728134379</v>
      </c>
      <c r="Z38" s="31">
        <f t="shared" si="4"/>
        <v>0</v>
      </c>
    </row>
    <row r="39" spans="1:26" x14ac:dyDescent="0.25">
      <c r="A39" s="10" t="s">
        <v>52</v>
      </c>
      <c r="B39" s="31">
        <f t="shared" ref="B39:Z39" si="5">B7</f>
        <v>0</v>
      </c>
      <c r="C39" s="31">
        <f t="shared" si="5"/>
        <v>0</v>
      </c>
      <c r="D39" s="31">
        <f t="shared" si="5"/>
        <v>0</v>
      </c>
      <c r="E39" s="31">
        <f t="shared" si="5"/>
        <v>0</v>
      </c>
      <c r="F39" s="31">
        <f t="shared" si="5"/>
        <v>0</v>
      </c>
      <c r="G39" s="31">
        <f t="shared" si="5"/>
        <v>0</v>
      </c>
      <c r="H39" s="31">
        <f t="shared" si="5"/>
        <v>0</v>
      </c>
      <c r="I39" s="31">
        <f t="shared" si="5"/>
        <v>0</v>
      </c>
      <c r="J39" s="31">
        <f t="shared" si="5"/>
        <v>0</v>
      </c>
      <c r="K39" s="31">
        <f t="shared" si="5"/>
        <v>0</v>
      </c>
      <c r="L39" s="31">
        <f t="shared" si="5"/>
        <v>0</v>
      </c>
      <c r="M39" s="31">
        <f t="shared" si="5"/>
        <v>0</v>
      </c>
      <c r="N39" s="31">
        <f t="shared" si="5"/>
        <v>0</v>
      </c>
      <c r="O39" s="31">
        <f t="shared" si="5"/>
        <v>0</v>
      </c>
      <c r="P39" s="31">
        <f t="shared" si="5"/>
        <v>0</v>
      </c>
      <c r="Q39" s="31">
        <f t="shared" si="5"/>
        <v>0</v>
      </c>
      <c r="R39" s="31">
        <f t="shared" si="5"/>
        <v>0</v>
      </c>
      <c r="S39" s="31">
        <f t="shared" si="5"/>
        <v>0</v>
      </c>
      <c r="T39" s="31">
        <f t="shared" si="5"/>
        <v>0</v>
      </c>
      <c r="U39" s="31">
        <f t="shared" si="5"/>
        <v>0</v>
      </c>
      <c r="V39" s="31">
        <f t="shared" si="5"/>
        <v>0</v>
      </c>
      <c r="W39" s="31">
        <f t="shared" si="5"/>
        <v>19000</v>
      </c>
      <c r="X39" s="31">
        <f t="shared" si="5"/>
        <v>30000</v>
      </c>
      <c r="Y39" s="31">
        <f t="shared" si="5"/>
        <v>40000</v>
      </c>
      <c r="Z39" s="31">
        <f t="shared" si="5"/>
        <v>9500</v>
      </c>
    </row>
    <row r="40" spans="1:26" s="12" customFormat="1" x14ac:dyDescent="0.25">
      <c r="A40" s="23" t="s">
        <v>53</v>
      </c>
      <c r="B40" s="38">
        <f t="shared" ref="B40:Z40" si="6">(B38+B39)</f>
        <v>0</v>
      </c>
      <c r="C40" s="38">
        <f t="shared" si="6"/>
        <v>0</v>
      </c>
      <c r="D40" s="38">
        <f t="shared" si="6"/>
        <v>221085.00000000003</v>
      </c>
      <c r="E40" s="38">
        <f t="shared" si="6"/>
        <v>395764.2585</v>
      </c>
      <c r="F40" s="38">
        <f t="shared" si="6"/>
        <v>460033.66800000006</v>
      </c>
      <c r="G40" s="38">
        <f t="shared" si="6"/>
        <v>469234.34136000008</v>
      </c>
      <c r="H40" s="38">
        <f t="shared" si="6"/>
        <v>466653.55248252011</v>
      </c>
      <c r="I40" s="38">
        <f t="shared" si="6"/>
        <v>488191.40875094401</v>
      </c>
      <c r="J40" s="38">
        <f t="shared" si="6"/>
        <v>497955.2369259629</v>
      </c>
      <c r="K40" s="38">
        <f t="shared" si="6"/>
        <v>495216.48312287009</v>
      </c>
      <c r="L40" s="38">
        <f t="shared" si="6"/>
        <v>518072.62849777186</v>
      </c>
      <c r="M40" s="38">
        <f t="shared" si="6"/>
        <v>528434.08106772718</v>
      </c>
      <c r="N40" s="38">
        <f t="shared" si="6"/>
        <v>525527.69362185476</v>
      </c>
      <c r="O40" s="38">
        <f t="shared" si="6"/>
        <v>549782.81794286345</v>
      </c>
      <c r="P40" s="38">
        <f t="shared" si="6"/>
        <v>560778.47430172074</v>
      </c>
      <c r="Q40" s="38">
        <f t="shared" si="6"/>
        <v>557694.19269306108</v>
      </c>
      <c r="R40" s="38">
        <f t="shared" si="6"/>
        <v>583433.92466351017</v>
      </c>
      <c r="S40" s="38">
        <f t="shared" si="6"/>
        <v>595102.60315678047</v>
      </c>
      <c r="T40" s="38">
        <f t="shared" si="6"/>
        <v>591829.53883941809</v>
      </c>
      <c r="U40" s="38">
        <f t="shared" si="6"/>
        <v>619144.74832431425</v>
      </c>
      <c r="V40" s="38">
        <f t="shared" si="6"/>
        <v>631527.64329080062</v>
      </c>
      <c r="W40" s="38">
        <f t="shared" si="6"/>
        <v>521443.39300216088</v>
      </c>
      <c r="X40" s="38">
        <f t="shared" si="6"/>
        <v>358520.68003987451</v>
      </c>
      <c r="Y40" s="38">
        <f t="shared" si="6"/>
        <v>107018.21872813438</v>
      </c>
      <c r="Z40" s="38">
        <f t="shared" si="6"/>
        <v>9500</v>
      </c>
    </row>
    <row r="41" spans="1:26" x14ac:dyDescent="0.25">
      <c r="A41" s="23"/>
      <c r="B41" s="41"/>
      <c r="C41" s="41"/>
      <c r="D41" s="41"/>
      <c r="E41" s="41"/>
      <c r="F41" s="41"/>
      <c r="G41" s="41"/>
      <c r="H41" s="41"/>
      <c r="I41" s="41"/>
      <c r="J41" s="41"/>
      <c r="K41" s="41"/>
    </row>
    <row r="42" spans="1:26" x14ac:dyDescent="0.25">
      <c r="A42" s="23" t="s">
        <v>20</v>
      </c>
    </row>
    <row r="43" spans="1:26" x14ac:dyDescent="0.25">
      <c r="A43" s="9" t="s">
        <v>44</v>
      </c>
      <c r="B43" s="33">
        <f t="shared" ref="B43:Z43" si="7">B11</f>
        <v>0</v>
      </c>
      <c r="C43" s="33">
        <f t="shared" si="7"/>
        <v>100000</v>
      </c>
      <c r="D43" s="33">
        <f t="shared" si="7"/>
        <v>150000</v>
      </c>
      <c r="E43" s="33">
        <f t="shared" si="7"/>
        <v>200000</v>
      </c>
      <c r="F43" s="33">
        <f t="shared" si="7"/>
        <v>50000</v>
      </c>
      <c r="G43" s="33">
        <f t="shared" si="7"/>
        <v>0</v>
      </c>
      <c r="H43" s="33">
        <f t="shared" si="7"/>
        <v>0</v>
      </c>
      <c r="I43" s="33">
        <f t="shared" si="7"/>
        <v>0</v>
      </c>
      <c r="J43" s="33">
        <f t="shared" si="7"/>
        <v>0</v>
      </c>
      <c r="K43" s="33">
        <f t="shared" si="7"/>
        <v>0</v>
      </c>
      <c r="L43" s="33">
        <f t="shared" si="7"/>
        <v>0</v>
      </c>
      <c r="M43" s="33">
        <f t="shared" si="7"/>
        <v>0</v>
      </c>
      <c r="N43" s="33">
        <f t="shared" si="7"/>
        <v>0</v>
      </c>
      <c r="O43" s="33">
        <f t="shared" si="7"/>
        <v>0</v>
      </c>
      <c r="P43" s="33">
        <f t="shared" si="7"/>
        <v>0</v>
      </c>
      <c r="Q43" s="33">
        <f t="shared" si="7"/>
        <v>0</v>
      </c>
      <c r="R43" s="33">
        <f t="shared" si="7"/>
        <v>0</v>
      </c>
      <c r="S43" s="33">
        <f t="shared" si="7"/>
        <v>0</v>
      </c>
      <c r="T43" s="33">
        <f t="shared" si="7"/>
        <v>0</v>
      </c>
      <c r="U43" s="33">
        <f t="shared" si="7"/>
        <v>0</v>
      </c>
      <c r="V43" s="33">
        <f t="shared" si="7"/>
        <v>0</v>
      </c>
      <c r="W43" s="33">
        <f t="shared" si="7"/>
        <v>0</v>
      </c>
      <c r="X43" s="33">
        <f t="shared" si="7"/>
        <v>0</v>
      </c>
      <c r="Y43" s="33">
        <f t="shared" si="7"/>
        <v>0</v>
      </c>
      <c r="Z43" s="33">
        <f t="shared" si="7"/>
        <v>0</v>
      </c>
    </row>
    <row r="44" spans="1:26" x14ac:dyDescent="0.25">
      <c r="A44" s="9" t="s">
        <v>104</v>
      </c>
      <c r="B44" s="33">
        <f t="shared" ref="B44:Z44" si="8">B12</f>
        <v>0</v>
      </c>
      <c r="C44" s="33">
        <f t="shared" si="8"/>
        <v>0</v>
      </c>
      <c r="D44" s="33">
        <f t="shared" si="8"/>
        <v>5000</v>
      </c>
      <c r="E44" s="33">
        <f t="shared" si="8"/>
        <v>17762.499999999996</v>
      </c>
      <c r="F44" s="33">
        <f t="shared" si="8"/>
        <v>35000</v>
      </c>
      <c r="G44" s="33">
        <f t="shared" si="8"/>
        <v>47500</v>
      </c>
      <c r="H44" s="33">
        <f t="shared" si="8"/>
        <v>50749.999999999993</v>
      </c>
      <c r="I44" s="33">
        <f t="shared" si="8"/>
        <v>50000</v>
      </c>
      <c r="J44" s="33">
        <f t="shared" si="8"/>
        <v>50000</v>
      </c>
      <c r="K44" s="33">
        <f t="shared" si="8"/>
        <v>50749.999999999993</v>
      </c>
      <c r="L44" s="33">
        <f t="shared" si="8"/>
        <v>50000</v>
      </c>
      <c r="M44" s="33">
        <f t="shared" si="8"/>
        <v>50000</v>
      </c>
      <c r="N44" s="33">
        <f t="shared" si="8"/>
        <v>50749.999999999993</v>
      </c>
      <c r="O44" s="33">
        <f t="shared" si="8"/>
        <v>50000</v>
      </c>
      <c r="P44" s="33">
        <f t="shared" si="8"/>
        <v>50000</v>
      </c>
      <c r="Q44" s="33">
        <f t="shared" si="8"/>
        <v>50749.999999999993</v>
      </c>
      <c r="R44" s="33">
        <f t="shared" si="8"/>
        <v>50000</v>
      </c>
      <c r="S44" s="33">
        <f t="shared" si="8"/>
        <v>50000</v>
      </c>
      <c r="T44" s="33">
        <f t="shared" si="8"/>
        <v>50749.999999999993</v>
      </c>
      <c r="U44" s="33">
        <f t="shared" si="8"/>
        <v>50000</v>
      </c>
      <c r="V44" s="33">
        <f t="shared" si="8"/>
        <v>50000</v>
      </c>
      <c r="W44" s="33">
        <f t="shared" si="8"/>
        <v>50749.999999999993</v>
      </c>
      <c r="X44" s="33">
        <f t="shared" si="8"/>
        <v>50000</v>
      </c>
      <c r="Y44" s="33">
        <f t="shared" si="8"/>
        <v>40000</v>
      </c>
      <c r="Z44" s="33">
        <f t="shared" si="8"/>
        <v>25374.999999999996</v>
      </c>
    </row>
    <row r="45" spans="1:26" x14ac:dyDescent="0.25">
      <c r="A45" s="9" t="s">
        <v>48</v>
      </c>
      <c r="B45" s="33">
        <f t="shared" ref="B45:Z45" si="9">B13</f>
        <v>0</v>
      </c>
      <c r="C45" s="33">
        <f t="shared" si="9"/>
        <v>10000</v>
      </c>
      <c r="D45" s="33">
        <f t="shared" si="9"/>
        <v>25000</v>
      </c>
      <c r="E45" s="33">
        <f t="shared" si="9"/>
        <v>45000</v>
      </c>
      <c r="F45" s="33">
        <f t="shared" si="9"/>
        <v>50000</v>
      </c>
      <c r="G45" s="33">
        <f t="shared" si="9"/>
        <v>50000</v>
      </c>
      <c r="H45" s="33">
        <f t="shared" si="9"/>
        <v>50000</v>
      </c>
      <c r="I45" s="33">
        <f t="shared" si="9"/>
        <v>50000</v>
      </c>
      <c r="J45" s="33">
        <f t="shared" si="9"/>
        <v>50000</v>
      </c>
      <c r="K45" s="33">
        <f t="shared" si="9"/>
        <v>50000</v>
      </c>
      <c r="L45" s="33">
        <f t="shared" si="9"/>
        <v>50000</v>
      </c>
      <c r="M45" s="33">
        <f t="shared" si="9"/>
        <v>50000</v>
      </c>
      <c r="N45" s="33">
        <f t="shared" si="9"/>
        <v>50000</v>
      </c>
      <c r="O45" s="33">
        <f t="shared" si="9"/>
        <v>50000</v>
      </c>
      <c r="P45" s="33">
        <f t="shared" si="9"/>
        <v>50000</v>
      </c>
      <c r="Q45" s="33">
        <f t="shared" si="9"/>
        <v>50000</v>
      </c>
      <c r="R45" s="33">
        <f t="shared" si="9"/>
        <v>50000</v>
      </c>
      <c r="S45" s="33">
        <f t="shared" si="9"/>
        <v>50000</v>
      </c>
      <c r="T45" s="33">
        <f t="shared" si="9"/>
        <v>50000</v>
      </c>
      <c r="U45" s="33">
        <f t="shared" si="9"/>
        <v>50000</v>
      </c>
      <c r="V45" s="33">
        <f t="shared" si="9"/>
        <v>50000</v>
      </c>
      <c r="W45" s="33">
        <f t="shared" si="9"/>
        <v>40000</v>
      </c>
      <c r="X45" s="33">
        <f t="shared" si="9"/>
        <v>25000</v>
      </c>
      <c r="Y45" s="33">
        <f t="shared" si="9"/>
        <v>5000</v>
      </c>
      <c r="Z45" s="33">
        <f t="shared" si="9"/>
        <v>0</v>
      </c>
    </row>
    <row r="46" spans="1:26" x14ac:dyDescent="0.25">
      <c r="A46" s="9" t="s">
        <v>50</v>
      </c>
      <c r="B46" s="33">
        <f t="shared" ref="B46:Z46" si="10">B14</f>
        <v>0</v>
      </c>
      <c r="C46" s="33">
        <f t="shared" si="10"/>
        <v>10000</v>
      </c>
      <c r="D46" s="33">
        <f t="shared" si="10"/>
        <v>25000</v>
      </c>
      <c r="E46" s="33">
        <f t="shared" si="10"/>
        <v>46125</v>
      </c>
      <c r="F46" s="33">
        <f t="shared" si="10"/>
        <v>50000</v>
      </c>
      <c r="G46" s="33">
        <f t="shared" si="10"/>
        <v>50000</v>
      </c>
      <c r="H46" s="33">
        <f t="shared" si="10"/>
        <v>51250</v>
      </c>
      <c r="I46" s="33">
        <f t="shared" si="10"/>
        <v>50000</v>
      </c>
      <c r="J46" s="33">
        <f t="shared" si="10"/>
        <v>50000</v>
      </c>
      <c r="K46" s="33">
        <f t="shared" si="10"/>
        <v>51250</v>
      </c>
      <c r="L46" s="33">
        <f t="shared" si="10"/>
        <v>50000</v>
      </c>
      <c r="M46" s="33">
        <f t="shared" si="10"/>
        <v>50000</v>
      </c>
      <c r="N46" s="33">
        <f t="shared" si="10"/>
        <v>51250</v>
      </c>
      <c r="O46" s="33">
        <f t="shared" si="10"/>
        <v>50000</v>
      </c>
      <c r="P46" s="33">
        <f t="shared" si="10"/>
        <v>50000</v>
      </c>
      <c r="Q46" s="33">
        <f t="shared" si="10"/>
        <v>51250</v>
      </c>
      <c r="R46" s="33">
        <f t="shared" si="10"/>
        <v>50000</v>
      </c>
      <c r="S46" s="33">
        <f t="shared" si="10"/>
        <v>50000</v>
      </c>
      <c r="T46" s="33">
        <f t="shared" si="10"/>
        <v>51250</v>
      </c>
      <c r="U46" s="33">
        <f t="shared" si="10"/>
        <v>50000</v>
      </c>
      <c r="V46" s="33">
        <f t="shared" si="10"/>
        <v>50000</v>
      </c>
      <c r="W46" s="33">
        <f t="shared" si="10"/>
        <v>41000</v>
      </c>
      <c r="X46" s="33">
        <f t="shared" si="10"/>
        <v>25000</v>
      </c>
      <c r="Y46" s="33">
        <f t="shared" si="10"/>
        <v>5000</v>
      </c>
      <c r="Z46" s="33">
        <f t="shared" si="10"/>
        <v>0</v>
      </c>
    </row>
    <row r="47" spans="1:26" x14ac:dyDescent="0.25">
      <c r="A47" s="109" t="s">
        <v>102</v>
      </c>
      <c r="B47" s="33">
        <f t="shared" ref="B47:Z47" si="11">B15</f>
        <v>0</v>
      </c>
      <c r="C47" s="33">
        <f t="shared" si="11"/>
        <v>1000</v>
      </c>
      <c r="D47" s="33">
        <f t="shared" si="11"/>
        <v>2500</v>
      </c>
      <c r="E47" s="33">
        <f t="shared" si="11"/>
        <v>4545</v>
      </c>
      <c r="F47" s="33">
        <f t="shared" si="11"/>
        <v>5000</v>
      </c>
      <c r="G47" s="33">
        <f t="shared" si="11"/>
        <v>5000</v>
      </c>
      <c r="H47" s="33">
        <f t="shared" si="11"/>
        <v>5050</v>
      </c>
      <c r="I47" s="33">
        <f t="shared" si="11"/>
        <v>5000</v>
      </c>
      <c r="J47" s="33">
        <f t="shared" si="11"/>
        <v>5000</v>
      </c>
      <c r="K47" s="33">
        <f t="shared" si="11"/>
        <v>5050</v>
      </c>
      <c r="L47" s="33">
        <f t="shared" si="11"/>
        <v>5000</v>
      </c>
      <c r="M47" s="33">
        <f t="shared" si="11"/>
        <v>5000</v>
      </c>
      <c r="N47" s="33">
        <f t="shared" si="11"/>
        <v>5050</v>
      </c>
      <c r="O47" s="33">
        <f t="shared" si="11"/>
        <v>5000</v>
      </c>
      <c r="P47" s="33">
        <f t="shared" si="11"/>
        <v>5000</v>
      </c>
      <c r="Q47" s="33">
        <f t="shared" si="11"/>
        <v>5050</v>
      </c>
      <c r="R47" s="33">
        <f t="shared" si="11"/>
        <v>5000</v>
      </c>
      <c r="S47" s="33">
        <f t="shared" si="11"/>
        <v>5000</v>
      </c>
      <c r="T47" s="33">
        <f t="shared" si="11"/>
        <v>5050</v>
      </c>
      <c r="U47" s="33">
        <f t="shared" si="11"/>
        <v>5000</v>
      </c>
      <c r="V47" s="33">
        <f t="shared" si="11"/>
        <v>5000</v>
      </c>
      <c r="W47" s="33">
        <f t="shared" si="11"/>
        <v>4040</v>
      </c>
      <c r="X47" s="33">
        <f t="shared" si="11"/>
        <v>2500</v>
      </c>
      <c r="Y47" s="33">
        <f t="shared" si="11"/>
        <v>500</v>
      </c>
      <c r="Z47" s="33">
        <f t="shared" si="11"/>
        <v>0</v>
      </c>
    </row>
    <row r="48" spans="1:26" x14ac:dyDescent="0.25">
      <c r="A48" s="109" t="s">
        <v>103</v>
      </c>
      <c r="B48" s="33">
        <f t="shared" ref="B48:Z48" si="12">B16</f>
        <v>0</v>
      </c>
      <c r="C48" s="33">
        <f t="shared" si="12"/>
        <v>20238.181818181816</v>
      </c>
      <c r="D48" s="33">
        <f t="shared" si="12"/>
        <v>50595.454545454544</v>
      </c>
      <c r="E48" s="33">
        <f t="shared" si="12"/>
        <v>91982.536363636362</v>
      </c>
      <c r="F48" s="33">
        <f t="shared" si="12"/>
        <v>101190.90909090909</v>
      </c>
      <c r="G48" s="33">
        <f t="shared" si="12"/>
        <v>101190.90909090909</v>
      </c>
      <c r="H48" s="33">
        <f t="shared" si="12"/>
        <v>102202.81818181818</v>
      </c>
      <c r="I48" s="33">
        <f t="shared" si="12"/>
        <v>101190.90909090909</v>
      </c>
      <c r="J48" s="33">
        <f t="shared" si="12"/>
        <v>101190.90909090909</v>
      </c>
      <c r="K48" s="33">
        <f t="shared" si="12"/>
        <v>102202.81818181818</v>
      </c>
      <c r="L48" s="33">
        <f t="shared" si="12"/>
        <v>101190.90909090909</v>
      </c>
      <c r="M48" s="33">
        <f t="shared" si="12"/>
        <v>101190.90909090909</v>
      </c>
      <c r="N48" s="33">
        <f t="shared" si="12"/>
        <v>102202.81818181818</v>
      </c>
      <c r="O48" s="33">
        <f t="shared" si="12"/>
        <v>101190.90909090909</v>
      </c>
      <c r="P48" s="33">
        <f t="shared" si="12"/>
        <v>101190.90909090909</v>
      </c>
      <c r="Q48" s="33">
        <f t="shared" si="12"/>
        <v>102202.81818181818</v>
      </c>
      <c r="R48" s="33">
        <f t="shared" si="12"/>
        <v>101190.90909090909</v>
      </c>
      <c r="S48" s="33">
        <f t="shared" si="12"/>
        <v>101190.90909090909</v>
      </c>
      <c r="T48" s="33">
        <f t="shared" si="12"/>
        <v>102202.81818181818</v>
      </c>
      <c r="U48" s="33">
        <f t="shared" si="12"/>
        <v>101190.90909090909</v>
      </c>
      <c r="V48" s="33">
        <f t="shared" si="12"/>
        <v>101190.90909090909</v>
      </c>
      <c r="W48" s="33">
        <f t="shared" si="12"/>
        <v>81762.254545454547</v>
      </c>
      <c r="X48" s="33">
        <f t="shared" si="12"/>
        <v>50595.454545454544</v>
      </c>
      <c r="Y48" s="33">
        <f t="shared" si="12"/>
        <v>10119.090909090908</v>
      </c>
      <c r="Z48" s="33">
        <f t="shared" si="12"/>
        <v>0</v>
      </c>
    </row>
    <row r="49" spans="1:27" x14ac:dyDescent="0.25">
      <c r="A49" s="9" t="s">
        <v>35</v>
      </c>
      <c r="B49" s="33">
        <f t="shared" ref="B49:Z49" si="13">B17</f>
        <v>0</v>
      </c>
      <c r="C49" s="33">
        <f t="shared" si="13"/>
        <v>20000</v>
      </c>
      <c r="D49" s="33">
        <f t="shared" si="13"/>
        <v>50000</v>
      </c>
      <c r="E49" s="33">
        <f t="shared" si="13"/>
        <v>91349.999999999985</v>
      </c>
      <c r="F49" s="33">
        <f t="shared" si="13"/>
        <v>100000</v>
      </c>
      <c r="G49" s="33">
        <f t="shared" si="13"/>
        <v>100000</v>
      </c>
      <c r="H49" s="33">
        <f t="shared" si="13"/>
        <v>101499.99999999999</v>
      </c>
      <c r="I49" s="33">
        <f t="shared" si="13"/>
        <v>100000</v>
      </c>
      <c r="J49" s="33">
        <f t="shared" si="13"/>
        <v>100000</v>
      </c>
      <c r="K49" s="33">
        <f t="shared" si="13"/>
        <v>101499.99999999999</v>
      </c>
      <c r="L49" s="33">
        <f t="shared" si="13"/>
        <v>100000</v>
      </c>
      <c r="M49" s="33">
        <f t="shared" si="13"/>
        <v>100000</v>
      </c>
      <c r="N49" s="33">
        <f t="shared" si="13"/>
        <v>101499.99999999999</v>
      </c>
      <c r="O49" s="33">
        <f t="shared" si="13"/>
        <v>100000</v>
      </c>
      <c r="P49" s="33">
        <f t="shared" si="13"/>
        <v>100000</v>
      </c>
      <c r="Q49" s="33">
        <f t="shared" si="13"/>
        <v>101499.99999999999</v>
      </c>
      <c r="R49" s="33">
        <f t="shared" si="13"/>
        <v>100000</v>
      </c>
      <c r="S49" s="33">
        <f t="shared" si="13"/>
        <v>100000</v>
      </c>
      <c r="T49" s="33">
        <f t="shared" si="13"/>
        <v>101499.99999999999</v>
      </c>
      <c r="U49" s="33">
        <f t="shared" si="13"/>
        <v>100000</v>
      </c>
      <c r="V49" s="33">
        <f t="shared" si="13"/>
        <v>100000</v>
      </c>
      <c r="W49" s="33">
        <f t="shared" si="13"/>
        <v>81199.999999999985</v>
      </c>
      <c r="X49" s="33">
        <f t="shared" si="13"/>
        <v>50000</v>
      </c>
      <c r="Y49" s="33">
        <f t="shared" si="13"/>
        <v>10000</v>
      </c>
      <c r="Z49" s="33">
        <f t="shared" si="13"/>
        <v>0</v>
      </c>
    </row>
    <row r="50" spans="1:27" x14ac:dyDescent="0.25">
      <c r="A50" s="9" t="s">
        <v>12</v>
      </c>
      <c r="B50" s="33">
        <f t="shared" ref="B50:Z50" si="14">B18</f>
        <v>0</v>
      </c>
      <c r="C50" s="33">
        <f t="shared" si="14"/>
        <v>4100.6000000000004</v>
      </c>
      <c r="D50" s="33">
        <f t="shared" si="14"/>
        <v>10354.014999999999</v>
      </c>
      <c r="E50" s="33">
        <f t="shared" si="14"/>
        <v>18823.599269999999</v>
      </c>
      <c r="F50" s="33">
        <f t="shared" si="14"/>
        <v>21124.261403</v>
      </c>
      <c r="G50" s="33">
        <f t="shared" si="14"/>
        <v>21335.504017029998</v>
      </c>
      <c r="H50" s="33">
        <f t="shared" si="14"/>
        <v>21548.859057200301</v>
      </c>
      <c r="I50" s="33">
        <f t="shared" si="14"/>
        <v>21764.347647772298</v>
      </c>
      <c r="J50" s="33">
        <f t="shared" si="14"/>
        <v>21981.991124250027</v>
      </c>
      <c r="K50" s="33">
        <f t="shared" si="14"/>
        <v>22201.81103549253</v>
      </c>
      <c r="L50" s="33">
        <f t="shared" si="14"/>
        <v>22423.829145847456</v>
      </c>
      <c r="M50" s="33">
        <f t="shared" si="14"/>
        <v>22648.067437305926</v>
      </c>
      <c r="N50" s="33">
        <f t="shared" si="14"/>
        <v>22874.548111678985</v>
      </c>
      <c r="O50" s="33">
        <f t="shared" si="14"/>
        <v>23103.293592795777</v>
      </c>
      <c r="P50" s="33">
        <f t="shared" si="14"/>
        <v>23334.326528723737</v>
      </c>
      <c r="Q50" s="33">
        <f t="shared" si="14"/>
        <v>23567.66979401097</v>
      </c>
      <c r="R50" s="33">
        <f t="shared" si="14"/>
        <v>23803.346491951084</v>
      </c>
      <c r="S50" s="33">
        <f t="shared" si="14"/>
        <v>24041.379956870598</v>
      </c>
      <c r="T50" s="33">
        <f t="shared" si="14"/>
        <v>24281.793756439303</v>
      </c>
      <c r="U50" s="33">
        <f t="shared" si="14"/>
        <v>24524.611694003692</v>
      </c>
      <c r="V50" s="33">
        <f t="shared" si="14"/>
        <v>24769.857810943729</v>
      </c>
      <c r="W50" s="33">
        <f t="shared" si="14"/>
        <v>20014.045111242533</v>
      </c>
      <c r="X50" s="33">
        <f t="shared" si="14"/>
        <v>12633.865976471852</v>
      </c>
      <c r="Y50" s="33">
        <f t="shared" si="14"/>
        <v>2552.0409272473134</v>
      </c>
      <c r="Z50" s="33">
        <f t="shared" si="14"/>
        <v>0</v>
      </c>
    </row>
    <row r="51" spans="1:27" s="50" customFormat="1" x14ac:dyDescent="0.25">
      <c r="A51" s="52" t="s">
        <v>131</v>
      </c>
      <c r="B51" s="49">
        <f>Assumption_Hatchery!D53</f>
        <v>0</v>
      </c>
      <c r="C51" s="49">
        <f>Assumption_Hatchery!E53</f>
        <v>0</v>
      </c>
      <c r="D51" s="49">
        <f>Assumption_Hatchery!F53</f>
        <v>59200</v>
      </c>
      <c r="E51" s="49">
        <f>Assumption_Hatchery!G53</f>
        <v>138400</v>
      </c>
      <c r="F51" s="49">
        <f>Assumption_Hatchery!H53</f>
        <v>192800</v>
      </c>
      <c r="G51" s="49">
        <f>Assumption_Hatchery!I53</f>
        <v>128800</v>
      </c>
      <c r="H51" s="49">
        <f>Assumption_Hatchery!J53</f>
        <v>24800</v>
      </c>
      <c r="I51" s="49">
        <f>Assumption_Hatchery!K53</f>
        <v>0</v>
      </c>
      <c r="J51" s="49">
        <f>Assumption_Hatchery!L53</f>
        <v>0</v>
      </c>
      <c r="K51" s="49">
        <f>Assumption_Hatchery!M53</f>
        <v>0</v>
      </c>
      <c r="L51" s="49">
        <f>Assumption_Hatchery!N53</f>
        <v>0</v>
      </c>
      <c r="M51" s="49">
        <f>Assumption_Hatchery!O53</f>
        <v>0</v>
      </c>
      <c r="N51" s="49">
        <f>Assumption_Hatchery!P53</f>
        <v>0</v>
      </c>
      <c r="O51" s="49">
        <f>Assumption_Hatchery!Q53</f>
        <v>0</v>
      </c>
      <c r="P51" s="49">
        <f>Assumption_Hatchery!R53</f>
        <v>0</v>
      </c>
      <c r="Q51" s="49">
        <f>Assumption_Hatchery!S53</f>
        <v>0</v>
      </c>
      <c r="R51" s="49">
        <f>Assumption_Hatchery!T53</f>
        <v>0</v>
      </c>
      <c r="S51" s="49">
        <f>Assumption_Hatchery!U53</f>
        <v>0</v>
      </c>
      <c r="T51" s="49">
        <f>Assumption_Hatchery!V53</f>
        <v>0</v>
      </c>
      <c r="U51" s="49">
        <f>Assumption_Hatchery!W53</f>
        <v>0</v>
      </c>
      <c r="V51" s="49">
        <f>Assumption_Hatchery!X53</f>
        <v>0</v>
      </c>
      <c r="W51" s="49">
        <f>Assumption_Hatchery!Y53</f>
        <v>0</v>
      </c>
      <c r="X51" s="49">
        <f>Assumption_Hatchery!Z53</f>
        <v>0</v>
      </c>
      <c r="Y51" s="49">
        <f>Assumption_Hatchery!AA53</f>
        <v>0</v>
      </c>
      <c r="Z51" s="49">
        <f>Assumption_Hatchery!AB53</f>
        <v>0</v>
      </c>
    </row>
    <row r="52" spans="1:27" x14ac:dyDescent="0.25">
      <c r="A52" s="117" t="s">
        <v>54</v>
      </c>
      <c r="B52" s="37">
        <f>SUM(B43:B51)</f>
        <v>0</v>
      </c>
      <c r="C52" s="37">
        <f t="shared" ref="C52" si="15">SUM(C43:C51)</f>
        <v>165338.78181818183</v>
      </c>
      <c r="D52" s="37">
        <f t="shared" ref="D52" si="16">SUM(D43:D51)</f>
        <v>377649.46954545454</v>
      </c>
      <c r="E52" s="37">
        <f t="shared" ref="E52" si="17">SUM(E43:E51)</f>
        <v>653988.63563363638</v>
      </c>
      <c r="F52" s="37">
        <f t="shared" ref="F52" si="18">SUM(F43:F51)</f>
        <v>605115.17049390904</v>
      </c>
      <c r="G52" s="37">
        <f t="shared" ref="G52" si="19">SUM(G43:G51)</f>
        <v>503826.41310793906</v>
      </c>
      <c r="H52" s="37">
        <f t="shared" ref="H52" si="20">SUM(H43:H51)</f>
        <v>407101.67723901849</v>
      </c>
      <c r="I52" s="37">
        <f t="shared" ref="I52" si="21">SUM(I43:I51)</f>
        <v>377955.25673868135</v>
      </c>
      <c r="J52" s="37">
        <f t="shared" ref="J52" si="22">SUM(J43:J51)</f>
        <v>378172.90021515911</v>
      </c>
      <c r="K52" s="37">
        <f t="shared" ref="K52" si="23">SUM(K43:K51)</f>
        <v>382954.62921731069</v>
      </c>
      <c r="L52" s="37">
        <f t="shared" ref="L52" si="24">SUM(L43:L51)</f>
        <v>378614.73823675653</v>
      </c>
      <c r="M52" s="37">
        <f t="shared" ref="M52" si="25">SUM(M43:M51)</f>
        <v>378838.97652821499</v>
      </c>
      <c r="N52" s="37">
        <f t="shared" ref="N52" si="26">SUM(N43:N51)</f>
        <v>383627.36629349715</v>
      </c>
      <c r="O52" s="37">
        <f t="shared" ref="O52" si="27">SUM(O43:O51)</f>
        <v>379294.20268370485</v>
      </c>
      <c r="P52" s="37">
        <f t="shared" ref="P52" si="28">SUM(P43:P51)</f>
        <v>379525.23561963282</v>
      </c>
      <c r="Q52" s="37">
        <f t="shared" ref="Q52" si="29">SUM(Q43:Q51)</f>
        <v>384320.48797582916</v>
      </c>
      <c r="R52" s="37">
        <f t="shared" ref="R52" si="30">SUM(R43:R51)</f>
        <v>379994.25558286015</v>
      </c>
      <c r="S52" s="37">
        <f t="shared" ref="S52" si="31">SUM(S43:S51)</f>
        <v>380232.28904777963</v>
      </c>
      <c r="T52" s="37">
        <f t="shared" ref="T52" si="32">SUM(T43:T51)</f>
        <v>385034.61193825747</v>
      </c>
      <c r="U52" s="37">
        <f t="shared" ref="U52" si="33">SUM(U43:U51)</f>
        <v>380715.52078491275</v>
      </c>
      <c r="V52" s="37">
        <f t="shared" ref="V52" si="34">SUM(V43:V51)</f>
        <v>380960.7669018528</v>
      </c>
      <c r="W52" s="37">
        <f t="shared" ref="W52" si="35">SUM(W43:W51)</f>
        <v>318766.29965669703</v>
      </c>
      <c r="X52" s="37">
        <f t="shared" ref="X52" si="36">SUM(X43:X51)</f>
        <v>215729.32052192639</v>
      </c>
      <c r="Y52" s="37">
        <f t="shared" ref="Y52" si="37">SUM(Y43:Y51)</f>
        <v>73171.131836338231</v>
      </c>
      <c r="Z52" s="37">
        <f t="shared" ref="Z52" si="38">SUM(Z43:Z51)</f>
        <v>25374.999999999996</v>
      </c>
    </row>
    <row r="53" spans="1:27" x14ac:dyDescent="0.25">
      <c r="B53" s="32"/>
      <c r="C53" s="32"/>
      <c r="D53" s="32"/>
      <c r="E53" s="32"/>
      <c r="F53" s="32"/>
      <c r="G53" s="32"/>
      <c r="H53" s="32"/>
      <c r="I53" s="32"/>
      <c r="J53" s="32"/>
      <c r="K53" s="32"/>
      <c r="L53" s="32"/>
    </row>
    <row r="54" spans="1:27" x14ac:dyDescent="0.25">
      <c r="A54" s="23" t="str">
        <f>A22</f>
        <v>Net Resource Flow ($)</v>
      </c>
      <c r="B54" s="34">
        <f>B40-B52</f>
        <v>0</v>
      </c>
      <c r="C54" s="34">
        <f t="shared" ref="C54:Z54" si="39">C40-C52</f>
        <v>-165338.78181818183</v>
      </c>
      <c r="D54" s="34">
        <f t="shared" si="39"/>
        <v>-156564.46954545451</v>
      </c>
      <c r="E54" s="34">
        <f t="shared" si="39"/>
        <v>-258224.37713363639</v>
      </c>
      <c r="F54" s="34">
        <f t="shared" si="39"/>
        <v>-145081.50249390898</v>
      </c>
      <c r="G54" s="34">
        <f t="shared" si="39"/>
        <v>-34592.071747938986</v>
      </c>
      <c r="H54" s="34">
        <f t="shared" si="39"/>
        <v>59551.875243501621</v>
      </c>
      <c r="I54" s="34">
        <f t="shared" si="39"/>
        <v>110236.15201226267</v>
      </c>
      <c r="J54" s="34">
        <f t="shared" si="39"/>
        <v>119782.33671080379</v>
      </c>
      <c r="K54" s="34">
        <f t="shared" si="39"/>
        <v>112261.8539055594</v>
      </c>
      <c r="L54" s="34">
        <f t="shared" si="39"/>
        <v>139457.89026101533</v>
      </c>
      <c r="M54" s="34">
        <f t="shared" si="39"/>
        <v>149595.10453951219</v>
      </c>
      <c r="N54" s="34">
        <f t="shared" si="39"/>
        <v>141900.32732835761</v>
      </c>
      <c r="O54" s="34">
        <f t="shared" si="39"/>
        <v>170488.6152591586</v>
      </c>
      <c r="P54" s="34">
        <f t="shared" si="39"/>
        <v>181253.23868208792</v>
      </c>
      <c r="Q54" s="34">
        <f t="shared" si="39"/>
        <v>173373.70471723191</v>
      </c>
      <c r="R54" s="34">
        <f t="shared" si="39"/>
        <v>203439.66908065003</v>
      </c>
      <c r="S54" s="34">
        <f t="shared" si="39"/>
        <v>214870.31410900084</v>
      </c>
      <c r="T54" s="34">
        <f t="shared" si="39"/>
        <v>206794.92690116062</v>
      </c>
      <c r="U54" s="34">
        <f t="shared" si="39"/>
        <v>238429.2275394015</v>
      </c>
      <c r="V54" s="34">
        <f t="shared" si="39"/>
        <v>250566.87638894783</v>
      </c>
      <c r="W54" s="34">
        <f t="shared" si="39"/>
        <v>202677.09334546386</v>
      </c>
      <c r="X54" s="34">
        <f t="shared" si="39"/>
        <v>142791.35951794812</v>
      </c>
      <c r="Y54" s="34">
        <f t="shared" si="39"/>
        <v>33847.086891796149</v>
      </c>
      <c r="Z54" s="34">
        <f t="shared" si="39"/>
        <v>-15874.999999999996</v>
      </c>
    </row>
    <row r="55" spans="1:27" x14ac:dyDescent="0.25">
      <c r="A55" s="23"/>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12"/>
    </row>
    <row r="56" spans="1:27" x14ac:dyDescent="0.25">
      <c r="A56" s="10" t="str">
        <f>A24</f>
        <v>Economic Benefits in Present Value</v>
      </c>
      <c r="B56" s="345">
        <f>B40/(1+Assumption_Hatchery!$C76)^BaU_Hatchery!B36</f>
        <v>0</v>
      </c>
      <c r="C56" s="345">
        <f>C40/(1+Assumption_Hatchery!$C76)^BaU_Hatchery!C36</f>
        <v>0</v>
      </c>
      <c r="D56" s="345">
        <f>D40/(1+Assumption_Hatchery!$C76)^BaU_Hatchery!D36</f>
        <v>196764.86294054825</v>
      </c>
      <c r="E56" s="345">
        <f>E40/(1+Assumption_Hatchery!$C76)^BaU_Hatchery!E36</f>
        <v>332291.30297158047</v>
      </c>
      <c r="F56" s="345">
        <f>F40/(1+Assumption_Hatchery!$C76)^BaU_Hatchery!F36</f>
        <v>364389.75329894334</v>
      </c>
      <c r="G56" s="345">
        <f>G40/(1+Assumption_Hatchery!$C76)^BaU_Hatchery!G36</f>
        <v>350639.19657068129</v>
      </c>
      <c r="H56" s="345">
        <f>H40/(1+Assumption_Hatchery!$C76)^BaU_Hatchery!H36</f>
        <v>328972.34055617225</v>
      </c>
      <c r="I56" s="345">
        <f>I40/(1+Assumption_Hatchery!$C76)^BaU_Hatchery!I36</f>
        <v>324675.16919912485</v>
      </c>
      <c r="J56" s="345">
        <f>J40/(1+Assumption_Hatchery!$C76)^BaU_Hatchery!J36</f>
        <v>312423.27602179942</v>
      </c>
      <c r="K56" s="345">
        <f>K40/(1+Assumption_Hatchery!$C76)^BaU_Hatchery!K36</f>
        <v>293117.87547516939</v>
      </c>
      <c r="L56" s="345">
        <f>L40/(1+Assumption_Hatchery!$C76)^BaU_Hatchery!L36</f>
        <v>289289.04981584207</v>
      </c>
      <c r="M56" s="345">
        <f>M40/(1+Assumption_Hatchery!$C76)^BaU_Hatchery!M36</f>
        <v>278372.48189826298</v>
      </c>
      <c r="N56" s="345">
        <f>N40/(1+Assumption_Hatchery!$C76)^BaU_Hatchery!N36</f>
        <v>261171.16344134207</v>
      </c>
      <c r="O56" s="345">
        <f>O40/(1+Assumption_Hatchery!$C76)^BaU_Hatchery!O36</f>
        <v>257759.63881003277</v>
      </c>
      <c r="P56" s="345">
        <f>P40/(1+Assumption_Hatchery!$C76)^BaU_Hatchery!P36</f>
        <v>248032.85998701269</v>
      </c>
      <c r="Q56" s="345">
        <f>Q40/(1+Assumption_Hatchery!$C76)^BaU_Hatchery!Q36</f>
        <v>232706.30118592829</v>
      </c>
      <c r="R56" s="345">
        <f>R40/(1+Assumption_Hatchery!$C76)^BaU_Hatchery!R36</f>
        <v>229666.59623574934</v>
      </c>
      <c r="S56" s="345">
        <f>S40/(1+Assumption_Hatchery!$C76)^BaU_Hatchery!S36</f>
        <v>220999.93222685315</v>
      </c>
      <c r="T56" s="345">
        <f>T40/(1+Assumption_Hatchery!$C76)^BaU_Hatchery!T36</f>
        <v>207343.8043392504</v>
      </c>
      <c r="U56" s="345">
        <f>U40/(1+Assumption_Hatchery!$C76)^BaU_Hatchery!U36</f>
        <v>204635.39470346915</v>
      </c>
      <c r="V56" s="345">
        <f>V40/(1+Assumption_Hatchery!$C76)^BaU_Hatchery!V36</f>
        <v>196913.30433730053</v>
      </c>
      <c r="W56" s="345">
        <f>W40/(1+Assumption_Hatchery!$C76)^BaU_Hatchery!W36</f>
        <v>153385.3912656527</v>
      </c>
      <c r="X56" s="345">
        <f>X40/(1+Assumption_Hatchery!$C76)^BaU_Hatchery!X36</f>
        <v>99491.316058068929</v>
      </c>
      <c r="Y56" s="345">
        <f>Y40/(1+Assumption_Hatchery!$C76)^BaU_Hatchery!Y36</f>
        <v>28017.076565185653</v>
      </c>
      <c r="Z56" s="345">
        <f>Z40/(1+Assumption_Hatchery!$C76)^BaU_Hatchery!Z36</f>
        <v>2346.2962091742252</v>
      </c>
      <c r="AA56" s="343">
        <f>SUM(B56:Z56)</f>
        <v>5413404.3841131451</v>
      </c>
    </row>
    <row r="57" spans="1:27" s="12" customFormat="1" x14ac:dyDescent="0.25">
      <c r="A57" s="10" t="str">
        <f>A25</f>
        <v>Economic Costs in Present Value</v>
      </c>
      <c r="B57" s="346">
        <f>B52/(1+Assumption_Hatchery!$C76)^BaU_Hatchery!B36</f>
        <v>0</v>
      </c>
      <c r="C57" s="346">
        <f>C52/(1+Assumption_Hatchery!$C76)^BaU_Hatchery!C36</f>
        <v>155979.98284734134</v>
      </c>
      <c r="D57" s="346">
        <f>D52/(1+Assumption_Hatchery!$C76)^BaU_Hatchery!D36</f>
        <v>336106.68346872064</v>
      </c>
      <c r="E57" s="346">
        <f>E52/(1+Assumption_Hatchery!$C76)^BaU_Hatchery!E36</f>
        <v>549101.46936198696</v>
      </c>
      <c r="F57" s="346">
        <f>F52/(1+Assumption_Hatchery!$C76)^BaU_Hatchery!F36</f>
        <v>479307.89207741967</v>
      </c>
      <c r="G57" s="346">
        <f>G52/(1+Assumption_Hatchery!$C76)^BaU_Hatchery!G36</f>
        <v>376488.4049006977</v>
      </c>
      <c r="H57" s="346">
        <f>H52/(1+Assumption_Hatchery!$C76)^BaU_Hatchery!H36</f>
        <v>286990.61840031715</v>
      </c>
      <c r="I57" s="346">
        <f>I52/(1+Assumption_Hatchery!$C76)^BaU_Hatchery!I36</f>
        <v>251361.83212501637</v>
      </c>
      <c r="J57" s="346">
        <f>J52/(1+Assumption_Hatchery!$C76)^BaU_Hatchery!J36</f>
        <v>237270.35610120892</v>
      </c>
      <c r="K57" s="346">
        <f>K52/(1+Assumption_Hatchery!$C76)^BaU_Hatchery!K36</f>
        <v>226670.25663543661</v>
      </c>
      <c r="L57" s="346">
        <f>L52/(1+Assumption_Hatchery!$C76)^BaU_Hatchery!L36</f>
        <v>211416.49229448941</v>
      </c>
      <c r="M57" s="346">
        <f>M52/(1+Assumption_Hatchery!$C76)^BaU_Hatchery!M36</f>
        <v>199567.64696719259</v>
      </c>
      <c r="N57" s="346">
        <f>N52/(1+Assumption_Hatchery!$C76)^BaU_Hatchery!N36</f>
        <v>190651.04807760014</v>
      </c>
      <c r="O57" s="346">
        <f>O52/(1+Assumption_Hatchery!$C76)^BaU_Hatchery!O36</f>
        <v>177827.92312845908</v>
      </c>
      <c r="P57" s="346">
        <f>P52/(1+Assumption_Hatchery!$C76)^BaU_Hatchery!P36</f>
        <v>167864.37772098617</v>
      </c>
      <c r="Q57" s="346">
        <f>Q52/(1+Assumption_Hatchery!$C76)^BaU_Hatchery!Q36</f>
        <v>160363.51175714686</v>
      </c>
      <c r="R57" s="346">
        <f>R52/(1+Assumption_Hatchery!$C76)^BaU_Hatchery!R36</f>
        <v>149583.32654239493</v>
      </c>
      <c r="S57" s="346">
        <f>S52/(1+Assumption_Hatchery!$C76)^BaU_Hatchery!S36</f>
        <v>141204.74295401861</v>
      </c>
      <c r="T57" s="346">
        <f>T52/(1+Assumption_Hatchery!$C76)^BaU_Hatchery!T36</f>
        <v>134894.48566241111</v>
      </c>
      <c r="U57" s="346">
        <f>U52/(1+Assumption_Hatchery!$C76)^BaU_Hatchery!U36</f>
        <v>125831.43291841104</v>
      </c>
      <c r="V57" s="346">
        <f>V52/(1+Assumption_Hatchery!$C76)^BaU_Hatchery!V36</f>
        <v>118785.36787814542</v>
      </c>
      <c r="W57" s="346">
        <f>W52/(1+Assumption_Hatchery!$C76)^BaU_Hatchery!W36</f>
        <v>93766.829249947259</v>
      </c>
      <c r="X57" s="346">
        <f>X52/(1+Assumption_Hatchery!$C76)^BaU_Hatchery!X36</f>
        <v>59865.985997383214</v>
      </c>
      <c r="Y57" s="346">
        <f>Y52/(1+Assumption_Hatchery!$C76)^BaU_Hatchery!Y36</f>
        <v>19156.00191615822</v>
      </c>
      <c r="Z57" s="346">
        <f>Z52/(1+Assumption_Hatchery!$C76)^BaU_Hatchery!Z36</f>
        <v>6267.0806639785214</v>
      </c>
      <c r="AA57" s="343">
        <f>SUM(B57:Z57)</f>
        <v>4856323.7496468676</v>
      </c>
    </row>
    <row r="58" spans="1:27" x14ac:dyDescent="0.25">
      <c r="B58" s="32"/>
      <c r="C58" s="32"/>
      <c r="D58" s="32"/>
      <c r="E58" s="32"/>
      <c r="F58" s="32"/>
      <c r="G58" s="32"/>
      <c r="H58" s="32"/>
      <c r="I58" s="32"/>
      <c r="J58" s="32"/>
      <c r="K58" s="32"/>
      <c r="L58" s="32"/>
    </row>
    <row r="59" spans="1:27" s="12" customFormat="1" x14ac:dyDescent="0.25">
      <c r="A59" s="25" t="s">
        <v>318</v>
      </c>
      <c r="B59" s="35">
        <f>NPV(Assumption_Hatchery!C76,C54:Z54)+B54</f>
        <v>557080.6344662765</v>
      </c>
      <c r="C59" s="40"/>
      <c r="D59" s="40"/>
      <c r="E59" s="40"/>
      <c r="F59" s="40"/>
      <c r="G59" s="40"/>
      <c r="H59" s="40"/>
      <c r="I59" s="40"/>
      <c r="J59" s="40"/>
      <c r="K59" s="40"/>
      <c r="L59" s="40"/>
    </row>
    <row r="61" spans="1:27" s="12" customFormat="1" x14ac:dyDescent="0.25">
      <c r="A61" s="25" t="s">
        <v>238</v>
      </c>
      <c r="B61" s="36">
        <f>IRR(B54:Z54)</f>
        <v>0.12190073456595596</v>
      </c>
      <c r="C61" s="4"/>
      <c r="D61" s="4"/>
      <c r="E61" s="4"/>
      <c r="F61" s="4"/>
      <c r="G61" s="4"/>
      <c r="H61" s="4"/>
      <c r="I61" s="4"/>
      <c r="J61" s="4"/>
      <c r="K61" s="4"/>
      <c r="L61" s="4"/>
    </row>
    <row r="63" spans="1:27" ht="38.25" customHeight="1" x14ac:dyDescent="0.25">
      <c r="A63" s="11"/>
      <c r="B63" s="30"/>
      <c r="C63" s="69"/>
      <c r="D63" s="70"/>
      <c r="E63" s="30"/>
      <c r="F63" s="116"/>
      <c r="G63" s="30"/>
      <c r="H63" s="30"/>
      <c r="I63" s="30"/>
      <c r="J63" s="30"/>
      <c r="K63" s="30"/>
      <c r="L63" s="30"/>
      <c r="M63" s="11"/>
    </row>
    <row r="64" spans="1:27" s="1" customFormat="1" x14ac:dyDescent="0.25">
      <c r="A64" s="24"/>
      <c r="B64" s="42"/>
      <c r="C64" s="42"/>
      <c r="D64" s="42"/>
      <c r="E64" s="42"/>
      <c r="F64" s="42"/>
      <c r="G64" s="42"/>
      <c r="H64" s="42"/>
      <c r="I64" s="42"/>
      <c r="J64" s="42"/>
      <c r="K64" s="42"/>
      <c r="L64" s="42"/>
    </row>
    <row r="66" spans="1:26" ht="26.25" x14ac:dyDescent="0.25">
      <c r="F66" s="19" t="s">
        <v>92</v>
      </c>
    </row>
    <row r="67" spans="1:26" ht="38.25" customHeight="1" x14ac:dyDescent="0.25">
      <c r="A67" s="11" t="str">
        <f>A2</f>
        <v>Aggregate Economic Analysis</v>
      </c>
      <c r="B67" s="30"/>
      <c r="C67" s="69"/>
      <c r="D67" s="70"/>
      <c r="E67" s="30"/>
      <c r="F67" s="30"/>
      <c r="G67" s="30"/>
      <c r="H67" s="30"/>
      <c r="I67" s="30"/>
      <c r="J67" s="30"/>
      <c r="K67" s="30"/>
      <c r="L67" s="30"/>
      <c r="M67" s="11"/>
    </row>
    <row r="69" spans="1:26" x14ac:dyDescent="0.25">
      <c r="A69" s="10" t="s">
        <v>19</v>
      </c>
      <c r="B69" s="26">
        <v>0</v>
      </c>
      <c r="C69" s="26">
        <v>1</v>
      </c>
      <c r="D69" s="26">
        <v>2</v>
      </c>
      <c r="E69" s="26">
        <v>3</v>
      </c>
      <c r="F69" s="26">
        <v>4</v>
      </c>
      <c r="G69" s="26">
        <v>5</v>
      </c>
      <c r="H69" s="26">
        <v>6</v>
      </c>
      <c r="I69" s="26">
        <v>7</v>
      </c>
      <c r="J69" s="26">
        <v>8</v>
      </c>
      <c r="K69" s="26">
        <v>9</v>
      </c>
      <c r="L69" s="26">
        <v>10</v>
      </c>
      <c r="M69" s="26">
        <v>11</v>
      </c>
      <c r="N69" s="26">
        <v>12</v>
      </c>
      <c r="O69" s="26">
        <v>13</v>
      </c>
      <c r="P69" s="26">
        <v>14</v>
      </c>
      <c r="Q69" s="26">
        <v>15</v>
      </c>
      <c r="R69" s="26">
        <v>16</v>
      </c>
      <c r="S69" s="26">
        <v>17</v>
      </c>
      <c r="T69" s="26">
        <v>18</v>
      </c>
      <c r="U69" s="26">
        <v>19</v>
      </c>
      <c r="V69" s="26">
        <v>20</v>
      </c>
      <c r="W69" s="26">
        <v>21</v>
      </c>
      <c r="X69" s="26">
        <v>22</v>
      </c>
      <c r="Y69" s="26">
        <v>23</v>
      </c>
      <c r="Z69" s="26">
        <v>24</v>
      </c>
    </row>
    <row r="70" spans="1:26" x14ac:dyDescent="0.25">
      <c r="A70" s="23" t="s">
        <v>3</v>
      </c>
    </row>
    <row r="71" spans="1:26" x14ac:dyDescent="0.25">
      <c r="A71" s="10" t="s">
        <v>51</v>
      </c>
      <c r="B71" s="31">
        <f t="shared" ref="B71:Z71" si="40">B6</f>
        <v>0</v>
      </c>
      <c r="C71" s="31">
        <f t="shared" si="40"/>
        <v>0</v>
      </c>
      <c r="D71" s="31">
        <f t="shared" si="40"/>
        <v>221085.00000000003</v>
      </c>
      <c r="E71" s="31">
        <f t="shared" si="40"/>
        <v>395764.2585</v>
      </c>
      <c r="F71" s="31">
        <f t="shared" si="40"/>
        <v>460033.66800000006</v>
      </c>
      <c r="G71" s="31">
        <f t="shared" si="40"/>
        <v>469234.34136000008</v>
      </c>
      <c r="H71" s="31">
        <f t="shared" si="40"/>
        <v>466653.55248252011</v>
      </c>
      <c r="I71" s="31">
        <f t="shared" si="40"/>
        <v>488191.40875094401</v>
      </c>
      <c r="J71" s="31">
        <f t="shared" si="40"/>
        <v>497955.2369259629</v>
      </c>
      <c r="K71" s="31">
        <f t="shared" si="40"/>
        <v>495216.48312287009</v>
      </c>
      <c r="L71" s="31">
        <f t="shared" si="40"/>
        <v>518072.62849777186</v>
      </c>
      <c r="M71" s="31">
        <f t="shared" si="40"/>
        <v>528434.08106772718</v>
      </c>
      <c r="N71" s="31">
        <f t="shared" si="40"/>
        <v>525527.69362185476</v>
      </c>
      <c r="O71" s="31">
        <f t="shared" si="40"/>
        <v>549782.81794286345</v>
      </c>
      <c r="P71" s="31">
        <f t="shared" si="40"/>
        <v>560778.47430172074</v>
      </c>
      <c r="Q71" s="31">
        <f t="shared" si="40"/>
        <v>557694.19269306108</v>
      </c>
      <c r="R71" s="31">
        <f t="shared" si="40"/>
        <v>583433.92466351017</v>
      </c>
      <c r="S71" s="31">
        <f t="shared" si="40"/>
        <v>595102.60315678047</v>
      </c>
      <c r="T71" s="31">
        <f t="shared" si="40"/>
        <v>591829.53883941809</v>
      </c>
      <c r="U71" s="31">
        <f t="shared" si="40"/>
        <v>619144.74832431425</v>
      </c>
      <c r="V71" s="31">
        <f t="shared" si="40"/>
        <v>631527.64329080062</v>
      </c>
      <c r="W71" s="31">
        <f t="shared" si="40"/>
        <v>502443.39300216088</v>
      </c>
      <c r="X71" s="31">
        <f t="shared" si="40"/>
        <v>328520.68003987451</v>
      </c>
      <c r="Y71" s="31">
        <f t="shared" si="40"/>
        <v>67018.218728134379</v>
      </c>
      <c r="Z71" s="31">
        <f t="shared" si="40"/>
        <v>0</v>
      </c>
    </row>
    <row r="72" spans="1:26" x14ac:dyDescent="0.25">
      <c r="A72" s="10" t="s">
        <v>52</v>
      </c>
      <c r="B72" s="31">
        <f t="shared" ref="B72:Z72" si="41">B7</f>
        <v>0</v>
      </c>
      <c r="C72" s="31">
        <f t="shared" si="41"/>
        <v>0</v>
      </c>
      <c r="D72" s="31">
        <f t="shared" si="41"/>
        <v>0</v>
      </c>
      <c r="E72" s="31">
        <f t="shared" si="41"/>
        <v>0</v>
      </c>
      <c r="F72" s="31">
        <f t="shared" si="41"/>
        <v>0</v>
      </c>
      <c r="G72" s="31">
        <f t="shared" si="41"/>
        <v>0</v>
      </c>
      <c r="H72" s="31">
        <f t="shared" si="41"/>
        <v>0</v>
      </c>
      <c r="I72" s="31">
        <f t="shared" si="41"/>
        <v>0</v>
      </c>
      <c r="J72" s="31">
        <f t="shared" si="41"/>
        <v>0</v>
      </c>
      <c r="K72" s="31">
        <f t="shared" si="41"/>
        <v>0</v>
      </c>
      <c r="L72" s="31">
        <f t="shared" si="41"/>
        <v>0</v>
      </c>
      <c r="M72" s="31">
        <f t="shared" si="41"/>
        <v>0</v>
      </c>
      <c r="N72" s="31">
        <f t="shared" si="41"/>
        <v>0</v>
      </c>
      <c r="O72" s="31">
        <f t="shared" si="41"/>
        <v>0</v>
      </c>
      <c r="P72" s="31">
        <f t="shared" si="41"/>
        <v>0</v>
      </c>
      <c r="Q72" s="31">
        <f t="shared" si="41"/>
        <v>0</v>
      </c>
      <c r="R72" s="31">
        <f t="shared" si="41"/>
        <v>0</v>
      </c>
      <c r="S72" s="31">
        <f t="shared" si="41"/>
        <v>0</v>
      </c>
      <c r="T72" s="31">
        <f t="shared" si="41"/>
        <v>0</v>
      </c>
      <c r="U72" s="31">
        <f t="shared" si="41"/>
        <v>0</v>
      </c>
      <c r="V72" s="31">
        <f t="shared" si="41"/>
        <v>0</v>
      </c>
      <c r="W72" s="31">
        <f t="shared" si="41"/>
        <v>19000</v>
      </c>
      <c r="X72" s="31">
        <f t="shared" si="41"/>
        <v>30000</v>
      </c>
      <c r="Y72" s="31">
        <f t="shared" si="41"/>
        <v>40000</v>
      </c>
      <c r="Z72" s="31">
        <f t="shared" si="41"/>
        <v>9500</v>
      </c>
    </row>
    <row r="73" spans="1:26" s="12" customFormat="1" x14ac:dyDescent="0.25">
      <c r="A73" s="23" t="s">
        <v>53</v>
      </c>
      <c r="B73" s="38">
        <f t="shared" ref="B73:Z73" si="42">(B71+B72)</f>
        <v>0</v>
      </c>
      <c r="C73" s="38">
        <f t="shared" si="42"/>
        <v>0</v>
      </c>
      <c r="D73" s="38">
        <f t="shared" si="42"/>
        <v>221085.00000000003</v>
      </c>
      <c r="E73" s="38">
        <f t="shared" si="42"/>
        <v>395764.2585</v>
      </c>
      <c r="F73" s="38">
        <f t="shared" si="42"/>
        <v>460033.66800000006</v>
      </c>
      <c r="G73" s="38">
        <f t="shared" si="42"/>
        <v>469234.34136000008</v>
      </c>
      <c r="H73" s="38">
        <f t="shared" si="42"/>
        <v>466653.55248252011</v>
      </c>
      <c r="I73" s="38">
        <f t="shared" si="42"/>
        <v>488191.40875094401</v>
      </c>
      <c r="J73" s="38">
        <f t="shared" si="42"/>
        <v>497955.2369259629</v>
      </c>
      <c r="K73" s="38">
        <f t="shared" si="42"/>
        <v>495216.48312287009</v>
      </c>
      <c r="L73" s="38">
        <f t="shared" si="42"/>
        <v>518072.62849777186</v>
      </c>
      <c r="M73" s="38">
        <f t="shared" si="42"/>
        <v>528434.08106772718</v>
      </c>
      <c r="N73" s="38">
        <f t="shared" si="42"/>
        <v>525527.69362185476</v>
      </c>
      <c r="O73" s="38">
        <f t="shared" si="42"/>
        <v>549782.81794286345</v>
      </c>
      <c r="P73" s="38">
        <f t="shared" si="42"/>
        <v>560778.47430172074</v>
      </c>
      <c r="Q73" s="38">
        <f t="shared" si="42"/>
        <v>557694.19269306108</v>
      </c>
      <c r="R73" s="38">
        <f t="shared" si="42"/>
        <v>583433.92466351017</v>
      </c>
      <c r="S73" s="38">
        <f t="shared" si="42"/>
        <v>595102.60315678047</v>
      </c>
      <c r="T73" s="38">
        <f t="shared" si="42"/>
        <v>591829.53883941809</v>
      </c>
      <c r="U73" s="38">
        <f t="shared" si="42"/>
        <v>619144.74832431425</v>
      </c>
      <c r="V73" s="38">
        <f t="shared" si="42"/>
        <v>631527.64329080062</v>
      </c>
      <c r="W73" s="38">
        <f t="shared" si="42"/>
        <v>521443.39300216088</v>
      </c>
      <c r="X73" s="38">
        <f t="shared" si="42"/>
        <v>358520.68003987451</v>
      </c>
      <c r="Y73" s="38">
        <f t="shared" si="42"/>
        <v>107018.21872813438</v>
      </c>
      <c r="Z73" s="38">
        <f t="shared" si="42"/>
        <v>9500</v>
      </c>
    </row>
    <row r="74" spans="1:26" x14ac:dyDescent="0.25">
      <c r="A74" s="23"/>
      <c r="B74" s="41"/>
      <c r="C74" s="41"/>
      <c r="D74" s="41"/>
      <c r="E74" s="41"/>
      <c r="F74" s="41"/>
      <c r="G74" s="41"/>
      <c r="H74" s="41"/>
      <c r="I74" s="41"/>
      <c r="J74" s="41"/>
      <c r="K74" s="41"/>
    </row>
    <row r="75" spans="1:26" x14ac:dyDescent="0.25">
      <c r="A75" s="23" t="s">
        <v>20</v>
      </c>
    </row>
    <row r="76" spans="1:26" x14ac:dyDescent="0.25">
      <c r="A76" s="9" t="s">
        <v>44</v>
      </c>
      <c r="B76" s="33">
        <f t="shared" ref="B76:Z76" si="43">B11</f>
        <v>0</v>
      </c>
      <c r="C76" s="33">
        <f t="shared" si="43"/>
        <v>100000</v>
      </c>
      <c r="D76" s="33">
        <f t="shared" si="43"/>
        <v>150000</v>
      </c>
      <c r="E76" s="33">
        <f t="shared" si="43"/>
        <v>200000</v>
      </c>
      <c r="F76" s="33">
        <f t="shared" si="43"/>
        <v>50000</v>
      </c>
      <c r="G76" s="33">
        <f t="shared" si="43"/>
        <v>0</v>
      </c>
      <c r="H76" s="33">
        <f t="shared" si="43"/>
        <v>0</v>
      </c>
      <c r="I76" s="33">
        <f t="shared" si="43"/>
        <v>0</v>
      </c>
      <c r="J76" s="33">
        <f t="shared" si="43"/>
        <v>0</v>
      </c>
      <c r="K76" s="33">
        <f t="shared" si="43"/>
        <v>0</v>
      </c>
      <c r="L76" s="33">
        <f t="shared" si="43"/>
        <v>0</v>
      </c>
      <c r="M76" s="33">
        <f t="shared" si="43"/>
        <v>0</v>
      </c>
      <c r="N76" s="33">
        <f t="shared" si="43"/>
        <v>0</v>
      </c>
      <c r="O76" s="33">
        <f t="shared" si="43"/>
        <v>0</v>
      </c>
      <c r="P76" s="33">
        <f t="shared" si="43"/>
        <v>0</v>
      </c>
      <c r="Q76" s="33">
        <f t="shared" si="43"/>
        <v>0</v>
      </c>
      <c r="R76" s="33">
        <f t="shared" si="43"/>
        <v>0</v>
      </c>
      <c r="S76" s="33">
        <f t="shared" si="43"/>
        <v>0</v>
      </c>
      <c r="T76" s="33">
        <f t="shared" si="43"/>
        <v>0</v>
      </c>
      <c r="U76" s="33">
        <f t="shared" si="43"/>
        <v>0</v>
      </c>
      <c r="V76" s="33">
        <f t="shared" si="43"/>
        <v>0</v>
      </c>
      <c r="W76" s="33">
        <f t="shared" si="43"/>
        <v>0</v>
      </c>
      <c r="X76" s="33">
        <f t="shared" si="43"/>
        <v>0</v>
      </c>
      <c r="Y76" s="33">
        <f t="shared" si="43"/>
        <v>0</v>
      </c>
      <c r="Z76" s="33">
        <f t="shared" si="43"/>
        <v>0</v>
      </c>
    </row>
    <row r="77" spans="1:26" x14ac:dyDescent="0.25">
      <c r="A77" s="9" t="s">
        <v>104</v>
      </c>
      <c r="B77" s="33">
        <f t="shared" ref="B77:Z77" si="44">B12</f>
        <v>0</v>
      </c>
      <c r="C77" s="33">
        <f t="shared" si="44"/>
        <v>0</v>
      </c>
      <c r="D77" s="33">
        <f t="shared" si="44"/>
        <v>5000</v>
      </c>
      <c r="E77" s="33">
        <f t="shared" si="44"/>
        <v>17762.499999999996</v>
      </c>
      <c r="F77" s="33">
        <f t="shared" si="44"/>
        <v>35000</v>
      </c>
      <c r="G77" s="33">
        <f t="shared" si="44"/>
        <v>47500</v>
      </c>
      <c r="H77" s="33">
        <f t="shared" si="44"/>
        <v>50749.999999999993</v>
      </c>
      <c r="I77" s="33">
        <f t="shared" si="44"/>
        <v>50000</v>
      </c>
      <c r="J77" s="33">
        <f t="shared" si="44"/>
        <v>50000</v>
      </c>
      <c r="K77" s="33">
        <f t="shared" si="44"/>
        <v>50749.999999999993</v>
      </c>
      <c r="L77" s="33">
        <f t="shared" si="44"/>
        <v>50000</v>
      </c>
      <c r="M77" s="33">
        <f t="shared" si="44"/>
        <v>50000</v>
      </c>
      <c r="N77" s="33">
        <f t="shared" si="44"/>
        <v>50749.999999999993</v>
      </c>
      <c r="O77" s="33">
        <f t="shared" si="44"/>
        <v>50000</v>
      </c>
      <c r="P77" s="33">
        <f t="shared" si="44"/>
        <v>50000</v>
      </c>
      <c r="Q77" s="33">
        <f t="shared" si="44"/>
        <v>50749.999999999993</v>
      </c>
      <c r="R77" s="33">
        <f t="shared" si="44"/>
        <v>50000</v>
      </c>
      <c r="S77" s="33">
        <f t="shared" si="44"/>
        <v>50000</v>
      </c>
      <c r="T77" s="33">
        <f t="shared" si="44"/>
        <v>50749.999999999993</v>
      </c>
      <c r="U77" s="33">
        <f t="shared" si="44"/>
        <v>50000</v>
      </c>
      <c r="V77" s="33">
        <f t="shared" si="44"/>
        <v>50000</v>
      </c>
      <c r="W77" s="33">
        <f t="shared" si="44"/>
        <v>50749.999999999993</v>
      </c>
      <c r="X77" s="33">
        <f t="shared" si="44"/>
        <v>50000</v>
      </c>
      <c r="Y77" s="33">
        <f t="shared" si="44"/>
        <v>40000</v>
      </c>
      <c r="Z77" s="33">
        <f t="shared" si="44"/>
        <v>25374.999999999996</v>
      </c>
    </row>
    <row r="78" spans="1:26" x14ac:dyDescent="0.25">
      <c r="A78" s="9" t="s">
        <v>48</v>
      </c>
      <c r="B78" s="33">
        <f t="shared" ref="B78:Z78" si="45">B13</f>
        <v>0</v>
      </c>
      <c r="C78" s="33">
        <f t="shared" si="45"/>
        <v>10000</v>
      </c>
      <c r="D78" s="33">
        <f t="shared" si="45"/>
        <v>25000</v>
      </c>
      <c r="E78" s="33">
        <f t="shared" si="45"/>
        <v>45000</v>
      </c>
      <c r="F78" s="33">
        <f t="shared" si="45"/>
        <v>50000</v>
      </c>
      <c r="G78" s="33">
        <f t="shared" si="45"/>
        <v>50000</v>
      </c>
      <c r="H78" s="33">
        <f t="shared" si="45"/>
        <v>50000</v>
      </c>
      <c r="I78" s="33">
        <f t="shared" si="45"/>
        <v>50000</v>
      </c>
      <c r="J78" s="33">
        <f t="shared" si="45"/>
        <v>50000</v>
      </c>
      <c r="K78" s="33">
        <f t="shared" si="45"/>
        <v>50000</v>
      </c>
      <c r="L78" s="33">
        <f t="shared" si="45"/>
        <v>50000</v>
      </c>
      <c r="M78" s="33">
        <f t="shared" si="45"/>
        <v>50000</v>
      </c>
      <c r="N78" s="33">
        <f t="shared" si="45"/>
        <v>50000</v>
      </c>
      <c r="O78" s="33">
        <f t="shared" si="45"/>
        <v>50000</v>
      </c>
      <c r="P78" s="33">
        <f t="shared" si="45"/>
        <v>50000</v>
      </c>
      <c r="Q78" s="33">
        <f t="shared" si="45"/>
        <v>50000</v>
      </c>
      <c r="R78" s="33">
        <f t="shared" si="45"/>
        <v>50000</v>
      </c>
      <c r="S78" s="33">
        <f t="shared" si="45"/>
        <v>50000</v>
      </c>
      <c r="T78" s="33">
        <f t="shared" si="45"/>
        <v>50000</v>
      </c>
      <c r="U78" s="33">
        <f t="shared" si="45"/>
        <v>50000</v>
      </c>
      <c r="V78" s="33">
        <f t="shared" si="45"/>
        <v>50000</v>
      </c>
      <c r="W78" s="33">
        <f t="shared" si="45"/>
        <v>40000</v>
      </c>
      <c r="X78" s="33">
        <f t="shared" si="45"/>
        <v>25000</v>
      </c>
      <c r="Y78" s="33">
        <f t="shared" si="45"/>
        <v>5000</v>
      </c>
      <c r="Z78" s="33">
        <f t="shared" si="45"/>
        <v>0</v>
      </c>
    </row>
    <row r="79" spans="1:26" x14ac:dyDescent="0.25">
      <c r="A79" s="9" t="s">
        <v>50</v>
      </c>
      <c r="B79" s="33">
        <f t="shared" ref="B79:Z79" si="46">B14</f>
        <v>0</v>
      </c>
      <c r="C79" s="33">
        <f t="shared" si="46"/>
        <v>10000</v>
      </c>
      <c r="D79" s="33">
        <f t="shared" si="46"/>
        <v>25000</v>
      </c>
      <c r="E79" s="33">
        <f t="shared" si="46"/>
        <v>46125</v>
      </c>
      <c r="F79" s="33">
        <f t="shared" si="46"/>
        <v>50000</v>
      </c>
      <c r="G79" s="33">
        <f t="shared" si="46"/>
        <v>50000</v>
      </c>
      <c r="H79" s="33">
        <f t="shared" si="46"/>
        <v>51250</v>
      </c>
      <c r="I79" s="33">
        <f t="shared" si="46"/>
        <v>50000</v>
      </c>
      <c r="J79" s="33">
        <f t="shared" si="46"/>
        <v>50000</v>
      </c>
      <c r="K79" s="33">
        <f t="shared" si="46"/>
        <v>51250</v>
      </c>
      <c r="L79" s="33">
        <f t="shared" si="46"/>
        <v>50000</v>
      </c>
      <c r="M79" s="33">
        <f t="shared" si="46"/>
        <v>50000</v>
      </c>
      <c r="N79" s="33">
        <f t="shared" si="46"/>
        <v>51250</v>
      </c>
      <c r="O79" s="33">
        <f t="shared" si="46"/>
        <v>50000</v>
      </c>
      <c r="P79" s="33">
        <f t="shared" si="46"/>
        <v>50000</v>
      </c>
      <c r="Q79" s="33">
        <f t="shared" si="46"/>
        <v>51250</v>
      </c>
      <c r="R79" s="33">
        <f t="shared" si="46"/>
        <v>50000</v>
      </c>
      <c r="S79" s="33">
        <f t="shared" si="46"/>
        <v>50000</v>
      </c>
      <c r="T79" s="33">
        <f t="shared" si="46"/>
        <v>51250</v>
      </c>
      <c r="U79" s="33">
        <f t="shared" si="46"/>
        <v>50000</v>
      </c>
      <c r="V79" s="33">
        <f t="shared" si="46"/>
        <v>50000</v>
      </c>
      <c r="W79" s="33">
        <f t="shared" si="46"/>
        <v>41000</v>
      </c>
      <c r="X79" s="33">
        <f t="shared" si="46"/>
        <v>25000</v>
      </c>
      <c r="Y79" s="33">
        <f t="shared" si="46"/>
        <v>5000</v>
      </c>
      <c r="Z79" s="33">
        <f t="shared" si="46"/>
        <v>0</v>
      </c>
    </row>
    <row r="80" spans="1:26" x14ac:dyDescent="0.25">
      <c r="A80" s="109" t="s">
        <v>102</v>
      </c>
      <c r="B80" s="33">
        <f t="shared" ref="B80:Z80" si="47">B15</f>
        <v>0</v>
      </c>
      <c r="C80" s="33">
        <f t="shared" si="47"/>
        <v>1000</v>
      </c>
      <c r="D80" s="33">
        <f t="shared" si="47"/>
        <v>2500</v>
      </c>
      <c r="E80" s="33">
        <f t="shared" si="47"/>
        <v>4545</v>
      </c>
      <c r="F80" s="33">
        <f t="shared" si="47"/>
        <v>5000</v>
      </c>
      <c r="G80" s="33">
        <f t="shared" si="47"/>
        <v>5000</v>
      </c>
      <c r="H80" s="33">
        <f t="shared" si="47"/>
        <v>5050</v>
      </c>
      <c r="I80" s="33">
        <f t="shared" si="47"/>
        <v>5000</v>
      </c>
      <c r="J80" s="33">
        <f t="shared" si="47"/>
        <v>5000</v>
      </c>
      <c r="K80" s="33">
        <f t="shared" si="47"/>
        <v>5050</v>
      </c>
      <c r="L80" s="33">
        <f t="shared" si="47"/>
        <v>5000</v>
      </c>
      <c r="M80" s="33">
        <f t="shared" si="47"/>
        <v>5000</v>
      </c>
      <c r="N80" s="33">
        <f t="shared" si="47"/>
        <v>5050</v>
      </c>
      <c r="O80" s="33">
        <f t="shared" si="47"/>
        <v>5000</v>
      </c>
      <c r="P80" s="33">
        <f t="shared" si="47"/>
        <v>5000</v>
      </c>
      <c r="Q80" s="33">
        <f t="shared" si="47"/>
        <v>5050</v>
      </c>
      <c r="R80" s="33">
        <f t="shared" si="47"/>
        <v>5000</v>
      </c>
      <c r="S80" s="33">
        <f t="shared" si="47"/>
        <v>5000</v>
      </c>
      <c r="T80" s="33">
        <f t="shared" si="47"/>
        <v>5050</v>
      </c>
      <c r="U80" s="33">
        <f t="shared" si="47"/>
        <v>5000</v>
      </c>
      <c r="V80" s="33">
        <f t="shared" si="47"/>
        <v>5000</v>
      </c>
      <c r="W80" s="33">
        <f t="shared" si="47"/>
        <v>4040</v>
      </c>
      <c r="X80" s="33">
        <f t="shared" si="47"/>
        <v>2500</v>
      </c>
      <c r="Y80" s="33">
        <f t="shared" si="47"/>
        <v>500</v>
      </c>
      <c r="Z80" s="33">
        <f t="shared" si="47"/>
        <v>0</v>
      </c>
    </row>
    <row r="81" spans="1:27" x14ac:dyDescent="0.25">
      <c r="A81" s="109" t="s">
        <v>103</v>
      </c>
      <c r="B81" s="33">
        <f t="shared" ref="B81:Z81" si="48">B16</f>
        <v>0</v>
      </c>
      <c r="C81" s="33">
        <f t="shared" si="48"/>
        <v>20238.181818181816</v>
      </c>
      <c r="D81" s="33">
        <f t="shared" si="48"/>
        <v>50595.454545454544</v>
      </c>
      <c r="E81" s="33">
        <f t="shared" si="48"/>
        <v>91982.536363636362</v>
      </c>
      <c r="F81" s="33">
        <f t="shared" si="48"/>
        <v>101190.90909090909</v>
      </c>
      <c r="G81" s="33">
        <f t="shared" si="48"/>
        <v>101190.90909090909</v>
      </c>
      <c r="H81" s="33">
        <f t="shared" si="48"/>
        <v>102202.81818181818</v>
      </c>
      <c r="I81" s="33">
        <f t="shared" si="48"/>
        <v>101190.90909090909</v>
      </c>
      <c r="J81" s="33">
        <f t="shared" si="48"/>
        <v>101190.90909090909</v>
      </c>
      <c r="K81" s="33">
        <f t="shared" si="48"/>
        <v>102202.81818181818</v>
      </c>
      <c r="L81" s="33">
        <f t="shared" si="48"/>
        <v>101190.90909090909</v>
      </c>
      <c r="M81" s="33">
        <f t="shared" si="48"/>
        <v>101190.90909090909</v>
      </c>
      <c r="N81" s="33">
        <f t="shared" si="48"/>
        <v>102202.81818181818</v>
      </c>
      <c r="O81" s="33">
        <f t="shared" si="48"/>
        <v>101190.90909090909</v>
      </c>
      <c r="P81" s="33">
        <f t="shared" si="48"/>
        <v>101190.90909090909</v>
      </c>
      <c r="Q81" s="33">
        <f t="shared" si="48"/>
        <v>102202.81818181818</v>
      </c>
      <c r="R81" s="33">
        <f t="shared" si="48"/>
        <v>101190.90909090909</v>
      </c>
      <c r="S81" s="33">
        <f t="shared" si="48"/>
        <v>101190.90909090909</v>
      </c>
      <c r="T81" s="33">
        <f t="shared" si="48"/>
        <v>102202.81818181818</v>
      </c>
      <c r="U81" s="33">
        <f t="shared" si="48"/>
        <v>101190.90909090909</v>
      </c>
      <c r="V81" s="33">
        <f t="shared" si="48"/>
        <v>101190.90909090909</v>
      </c>
      <c r="W81" s="33">
        <f t="shared" si="48"/>
        <v>81762.254545454547</v>
      </c>
      <c r="X81" s="33">
        <f t="shared" si="48"/>
        <v>50595.454545454544</v>
      </c>
      <c r="Y81" s="33">
        <f t="shared" si="48"/>
        <v>10119.090909090908</v>
      </c>
      <c r="Z81" s="33">
        <f t="shared" si="48"/>
        <v>0</v>
      </c>
    </row>
    <row r="82" spans="1:27" x14ac:dyDescent="0.25">
      <c r="A82" s="9" t="s">
        <v>35</v>
      </c>
      <c r="B82" s="33">
        <f t="shared" ref="B82:Z82" si="49">B17</f>
        <v>0</v>
      </c>
      <c r="C82" s="33">
        <f t="shared" si="49"/>
        <v>20000</v>
      </c>
      <c r="D82" s="33">
        <f t="shared" si="49"/>
        <v>50000</v>
      </c>
      <c r="E82" s="33">
        <f t="shared" si="49"/>
        <v>91349.999999999985</v>
      </c>
      <c r="F82" s="33">
        <f t="shared" si="49"/>
        <v>100000</v>
      </c>
      <c r="G82" s="33">
        <f t="shared" si="49"/>
        <v>100000</v>
      </c>
      <c r="H82" s="33">
        <f t="shared" si="49"/>
        <v>101499.99999999999</v>
      </c>
      <c r="I82" s="33">
        <f t="shared" si="49"/>
        <v>100000</v>
      </c>
      <c r="J82" s="33">
        <f t="shared" si="49"/>
        <v>100000</v>
      </c>
      <c r="K82" s="33">
        <f t="shared" si="49"/>
        <v>101499.99999999999</v>
      </c>
      <c r="L82" s="33">
        <f t="shared" si="49"/>
        <v>100000</v>
      </c>
      <c r="M82" s="33">
        <f t="shared" si="49"/>
        <v>100000</v>
      </c>
      <c r="N82" s="33">
        <f t="shared" si="49"/>
        <v>101499.99999999999</v>
      </c>
      <c r="O82" s="33">
        <f t="shared" si="49"/>
        <v>100000</v>
      </c>
      <c r="P82" s="33">
        <f t="shared" si="49"/>
        <v>100000</v>
      </c>
      <c r="Q82" s="33">
        <f t="shared" si="49"/>
        <v>101499.99999999999</v>
      </c>
      <c r="R82" s="33">
        <f t="shared" si="49"/>
        <v>100000</v>
      </c>
      <c r="S82" s="33">
        <f t="shared" si="49"/>
        <v>100000</v>
      </c>
      <c r="T82" s="33">
        <f t="shared" si="49"/>
        <v>101499.99999999999</v>
      </c>
      <c r="U82" s="33">
        <f t="shared" si="49"/>
        <v>100000</v>
      </c>
      <c r="V82" s="33">
        <f t="shared" si="49"/>
        <v>100000</v>
      </c>
      <c r="W82" s="33">
        <f t="shared" si="49"/>
        <v>81199.999999999985</v>
      </c>
      <c r="X82" s="33">
        <f t="shared" si="49"/>
        <v>50000</v>
      </c>
      <c r="Y82" s="33">
        <f t="shared" si="49"/>
        <v>10000</v>
      </c>
      <c r="Z82" s="33">
        <f t="shared" si="49"/>
        <v>0</v>
      </c>
    </row>
    <row r="83" spans="1:27" x14ac:dyDescent="0.25">
      <c r="A83" s="9" t="s">
        <v>12</v>
      </c>
      <c r="B83" s="33">
        <f t="shared" ref="B83:Z83" si="50">B18</f>
        <v>0</v>
      </c>
      <c r="C83" s="33">
        <f t="shared" si="50"/>
        <v>4100.6000000000004</v>
      </c>
      <c r="D83" s="33">
        <f t="shared" si="50"/>
        <v>10354.014999999999</v>
      </c>
      <c r="E83" s="33">
        <f t="shared" si="50"/>
        <v>18823.599269999999</v>
      </c>
      <c r="F83" s="33">
        <f t="shared" si="50"/>
        <v>21124.261403</v>
      </c>
      <c r="G83" s="33">
        <f t="shared" si="50"/>
        <v>21335.504017029998</v>
      </c>
      <c r="H83" s="33">
        <f t="shared" si="50"/>
        <v>21548.859057200301</v>
      </c>
      <c r="I83" s="33">
        <f t="shared" si="50"/>
        <v>21764.347647772298</v>
      </c>
      <c r="J83" s="33">
        <f t="shared" si="50"/>
        <v>21981.991124250027</v>
      </c>
      <c r="K83" s="33">
        <f t="shared" si="50"/>
        <v>22201.81103549253</v>
      </c>
      <c r="L83" s="33">
        <f t="shared" si="50"/>
        <v>22423.829145847456</v>
      </c>
      <c r="M83" s="33">
        <f t="shared" si="50"/>
        <v>22648.067437305926</v>
      </c>
      <c r="N83" s="33">
        <f t="shared" si="50"/>
        <v>22874.548111678985</v>
      </c>
      <c r="O83" s="33">
        <f t="shared" si="50"/>
        <v>23103.293592795777</v>
      </c>
      <c r="P83" s="33">
        <f t="shared" si="50"/>
        <v>23334.326528723737</v>
      </c>
      <c r="Q83" s="33">
        <f t="shared" si="50"/>
        <v>23567.66979401097</v>
      </c>
      <c r="R83" s="33">
        <f t="shared" si="50"/>
        <v>23803.346491951084</v>
      </c>
      <c r="S83" s="33">
        <f t="shared" si="50"/>
        <v>24041.379956870598</v>
      </c>
      <c r="T83" s="33">
        <f t="shared" si="50"/>
        <v>24281.793756439303</v>
      </c>
      <c r="U83" s="33">
        <f t="shared" si="50"/>
        <v>24524.611694003692</v>
      </c>
      <c r="V83" s="33">
        <f t="shared" si="50"/>
        <v>24769.857810943729</v>
      </c>
      <c r="W83" s="33">
        <f t="shared" si="50"/>
        <v>20014.045111242533</v>
      </c>
      <c r="X83" s="33">
        <f t="shared" si="50"/>
        <v>12633.865976471852</v>
      </c>
      <c r="Y83" s="33">
        <f t="shared" si="50"/>
        <v>2552.0409272473134</v>
      </c>
      <c r="Z83" s="33">
        <f t="shared" si="50"/>
        <v>0</v>
      </c>
    </row>
    <row r="84" spans="1:27" s="50" customFormat="1" x14ac:dyDescent="0.25">
      <c r="A84" s="52" t="s">
        <v>131</v>
      </c>
      <c r="B84" s="49">
        <f>B51*Assumption_Hatchery!$C33</f>
        <v>0</v>
      </c>
      <c r="C84" s="49">
        <f>C51*Assumption_Hatchery!$C33</f>
        <v>0</v>
      </c>
      <c r="D84" s="49">
        <f>D51*Assumption_Hatchery!$C33</f>
        <v>0</v>
      </c>
      <c r="E84" s="49">
        <f>E51*Assumption_Hatchery!$C33</f>
        <v>0</v>
      </c>
      <c r="F84" s="49">
        <f>F51*Assumption_Hatchery!$C33</f>
        <v>0</v>
      </c>
      <c r="G84" s="49">
        <f>G51*Assumption_Hatchery!$C33</f>
        <v>0</v>
      </c>
      <c r="H84" s="49">
        <f>H51*Assumption_Hatchery!$C33</f>
        <v>0</v>
      </c>
      <c r="I84" s="49">
        <f>I51*Assumption_Hatchery!$C33</f>
        <v>0</v>
      </c>
      <c r="J84" s="49">
        <f>J51*Assumption_Hatchery!$C33</f>
        <v>0</v>
      </c>
      <c r="K84" s="49">
        <f>K51*Assumption_Hatchery!$C33</f>
        <v>0</v>
      </c>
      <c r="L84" s="49">
        <f>L51*Assumption_Hatchery!$C33</f>
        <v>0</v>
      </c>
      <c r="M84" s="49">
        <f>M51*Assumption_Hatchery!$C33</f>
        <v>0</v>
      </c>
      <c r="N84" s="49">
        <f>N51*Assumption_Hatchery!$C33</f>
        <v>0</v>
      </c>
      <c r="O84" s="49">
        <f>O51*Assumption_Hatchery!$C33</f>
        <v>0</v>
      </c>
      <c r="P84" s="49">
        <f>P51*Assumption_Hatchery!$C33</f>
        <v>0</v>
      </c>
      <c r="Q84" s="49">
        <f>Q51*Assumption_Hatchery!$C33</f>
        <v>0</v>
      </c>
      <c r="R84" s="49">
        <f>R51*Assumption_Hatchery!$C33</f>
        <v>0</v>
      </c>
      <c r="S84" s="49">
        <f>S51*Assumption_Hatchery!$C33</f>
        <v>0</v>
      </c>
      <c r="T84" s="49">
        <f>T51*Assumption_Hatchery!$C33</f>
        <v>0</v>
      </c>
      <c r="U84" s="49">
        <f>U51*Assumption_Hatchery!$C33</f>
        <v>0</v>
      </c>
      <c r="V84" s="49">
        <f>V51*Assumption_Hatchery!$C33</f>
        <v>0</v>
      </c>
      <c r="W84" s="49">
        <f>W51*Assumption_Hatchery!$C33</f>
        <v>0</v>
      </c>
      <c r="X84" s="49">
        <f>X51*Assumption_Hatchery!$C33</f>
        <v>0</v>
      </c>
      <c r="Y84" s="49">
        <f>Y51*Assumption_Hatchery!$C33</f>
        <v>0</v>
      </c>
      <c r="Z84" s="49">
        <f>Z51*Assumption_Hatchery!$C33</f>
        <v>0</v>
      </c>
    </row>
    <row r="85" spans="1:27" x14ac:dyDescent="0.25">
      <c r="A85" s="117" t="s">
        <v>54</v>
      </c>
      <c r="B85" s="37">
        <f>SUM(B76:B84)</f>
        <v>0</v>
      </c>
      <c r="C85" s="37">
        <f t="shared" ref="C85" si="51">SUM(C76:C84)</f>
        <v>165338.78181818183</v>
      </c>
      <c r="D85" s="37">
        <f t="shared" ref="D85" si="52">SUM(D76:D84)</f>
        <v>318449.46954545454</v>
      </c>
      <c r="E85" s="37">
        <f t="shared" ref="E85" si="53">SUM(E76:E84)</f>
        <v>515588.63563363638</v>
      </c>
      <c r="F85" s="37">
        <f t="shared" ref="F85" si="54">SUM(F76:F84)</f>
        <v>412315.17049390904</v>
      </c>
      <c r="G85" s="37">
        <f t="shared" ref="G85" si="55">SUM(G76:G84)</f>
        <v>375026.41310793906</v>
      </c>
      <c r="H85" s="37">
        <f t="shared" ref="H85" si="56">SUM(H76:H84)</f>
        <v>382301.67723901849</v>
      </c>
      <c r="I85" s="37">
        <f t="shared" ref="I85" si="57">SUM(I76:I84)</f>
        <v>377955.25673868135</v>
      </c>
      <c r="J85" s="37">
        <f t="shared" ref="J85" si="58">SUM(J76:J84)</f>
        <v>378172.90021515911</v>
      </c>
      <c r="K85" s="37">
        <f t="shared" ref="K85" si="59">SUM(K76:K84)</f>
        <v>382954.62921731069</v>
      </c>
      <c r="L85" s="37">
        <f t="shared" ref="L85" si="60">SUM(L76:L84)</f>
        <v>378614.73823675653</v>
      </c>
      <c r="M85" s="37">
        <f t="shared" ref="M85" si="61">SUM(M76:M84)</f>
        <v>378838.97652821499</v>
      </c>
      <c r="N85" s="37">
        <f t="shared" ref="N85" si="62">SUM(N76:N84)</f>
        <v>383627.36629349715</v>
      </c>
      <c r="O85" s="37">
        <f t="shared" ref="O85" si="63">SUM(O76:O84)</f>
        <v>379294.20268370485</v>
      </c>
      <c r="P85" s="37">
        <f t="shared" ref="P85" si="64">SUM(P76:P84)</f>
        <v>379525.23561963282</v>
      </c>
      <c r="Q85" s="37">
        <f t="shared" ref="Q85" si="65">SUM(Q76:Q84)</f>
        <v>384320.48797582916</v>
      </c>
      <c r="R85" s="37">
        <f t="shared" ref="R85" si="66">SUM(R76:R84)</f>
        <v>379994.25558286015</v>
      </c>
      <c r="S85" s="37">
        <f t="shared" ref="S85" si="67">SUM(S76:S84)</f>
        <v>380232.28904777963</v>
      </c>
      <c r="T85" s="37">
        <f t="shared" ref="T85" si="68">SUM(T76:T84)</f>
        <v>385034.61193825747</v>
      </c>
      <c r="U85" s="37">
        <f t="shared" ref="U85" si="69">SUM(U76:U84)</f>
        <v>380715.52078491275</v>
      </c>
      <c r="V85" s="37">
        <f t="shared" ref="V85" si="70">SUM(V76:V84)</f>
        <v>380960.7669018528</v>
      </c>
      <c r="W85" s="37">
        <f t="shared" ref="W85" si="71">SUM(W76:W84)</f>
        <v>318766.29965669703</v>
      </c>
      <c r="X85" s="37">
        <f t="shared" ref="X85" si="72">SUM(X76:X84)</f>
        <v>215729.32052192639</v>
      </c>
      <c r="Y85" s="37">
        <f t="shared" ref="Y85" si="73">SUM(Y76:Y84)</f>
        <v>73171.131836338231</v>
      </c>
      <c r="Z85" s="37">
        <f t="shared" ref="Z85" si="74">SUM(Z76:Z84)</f>
        <v>25374.999999999996</v>
      </c>
    </row>
    <row r="86" spans="1:27" x14ac:dyDescent="0.25">
      <c r="B86" s="32"/>
      <c r="C86" s="32"/>
      <c r="D86" s="32"/>
      <c r="E86" s="32"/>
      <c r="F86" s="32"/>
      <c r="G86" s="32"/>
      <c r="H86" s="32"/>
      <c r="I86" s="32"/>
      <c r="J86" s="32"/>
      <c r="K86" s="32"/>
      <c r="L86" s="32"/>
    </row>
    <row r="87" spans="1:27" x14ac:dyDescent="0.25">
      <c r="A87" s="23" t="str">
        <f>A22</f>
        <v>Net Resource Flow ($)</v>
      </c>
      <c r="B87" s="34">
        <f>B73-B85</f>
        <v>0</v>
      </c>
      <c r="C87" s="34">
        <f t="shared" ref="C87:Z87" si="75">C73-C85</f>
        <v>-165338.78181818183</v>
      </c>
      <c r="D87" s="34">
        <f t="shared" si="75"/>
        <v>-97364.469545454514</v>
      </c>
      <c r="E87" s="34">
        <f t="shared" si="75"/>
        <v>-119824.37713363639</v>
      </c>
      <c r="F87" s="34">
        <f t="shared" si="75"/>
        <v>47718.497506091022</v>
      </c>
      <c r="G87" s="34">
        <f t="shared" si="75"/>
        <v>94207.928252061014</v>
      </c>
      <c r="H87" s="34">
        <f t="shared" si="75"/>
        <v>84351.875243501621</v>
      </c>
      <c r="I87" s="34">
        <f t="shared" si="75"/>
        <v>110236.15201226267</v>
      </c>
      <c r="J87" s="34">
        <f t="shared" si="75"/>
        <v>119782.33671080379</v>
      </c>
      <c r="K87" s="34">
        <f t="shared" si="75"/>
        <v>112261.8539055594</v>
      </c>
      <c r="L87" s="34">
        <f t="shared" si="75"/>
        <v>139457.89026101533</v>
      </c>
      <c r="M87" s="34">
        <f t="shared" si="75"/>
        <v>149595.10453951219</v>
      </c>
      <c r="N87" s="34">
        <f t="shared" si="75"/>
        <v>141900.32732835761</v>
      </c>
      <c r="O87" s="34">
        <f t="shared" si="75"/>
        <v>170488.6152591586</v>
      </c>
      <c r="P87" s="34">
        <f t="shared" si="75"/>
        <v>181253.23868208792</v>
      </c>
      <c r="Q87" s="34">
        <f t="shared" si="75"/>
        <v>173373.70471723191</v>
      </c>
      <c r="R87" s="34">
        <f t="shared" si="75"/>
        <v>203439.66908065003</v>
      </c>
      <c r="S87" s="34">
        <f t="shared" si="75"/>
        <v>214870.31410900084</v>
      </c>
      <c r="T87" s="34">
        <f t="shared" si="75"/>
        <v>206794.92690116062</v>
      </c>
      <c r="U87" s="34">
        <f t="shared" si="75"/>
        <v>238429.2275394015</v>
      </c>
      <c r="V87" s="34">
        <f t="shared" si="75"/>
        <v>250566.87638894783</v>
      </c>
      <c r="W87" s="34">
        <f t="shared" si="75"/>
        <v>202677.09334546386</v>
      </c>
      <c r="X87" s="34">
        <f t="shared" si="75"/>
        <v>142791.35951794812</v>
      </c>
      <c r="Y87" s="34">
        <f t="shared" si="75"/>
        <v>33847.086891796149</v>
      </c>
      <c r="Z87" s="34">
        <f t="shared" si="75"/>
        <v>-15874.999999999996</v>
      </c>
    </row>
    <row r="88" spans="1:27" x14ac:dyDescent="0.25">
      <c r="A88" s="23"/>
      <c r="B88" s="344"/>
      <c r="C88" s="344"/>
      <c r="D88" s="344"/>
      <c r="E88" s="344"/>
      <c r="F88" s="344"/>
      <c r="G88" s="344"/>
      <c r="H88" s="344"/>
      <c r="I88" s="344"/>
      <c r="J88" s="344"/>
      <c r="K88" s="344"/>
      <c r="L88" s="344"/>
      <c r="M88" s="344"/>
      <c r="N88" s="344"/>
      <c r="O88" s="344"/>
      <c r="P88" s="344"/>
      <c r="Q88" s="344"/>
      <c r="R88" s="344"/>
      <c r="S88" s="344"/>
      <c r="T88" s="344"/>
      <c r="U88" s="344"/>
      <c r="V88" s="344"/>
      <c r="W88" s="344"/>
      <c r="X88" s="344"/>
      <c r="Y88" s="344"/>
      <c r="Z88" s="344"/>
      <c r="AA88" s="12"/>
    </row>
    <row r="89" spans="1:27" x14ac:dyDescent="0.25">
      <c r="A89" s="10" t="str">
        <f>A24</f>
        <v>Economic Benefits in Present Value</v>
      </c>
      <c r="B89" s="345">
        <f>B73/(1+Assumption_Hatchery!$C76)^BaU_Hatchery!B69</f>
        <v>0</v>
      </c>
      <c r="C89" s="345">
        <f>C73/(1+Assumption_Hatchery!$C76)^BaU_Hatchery!C69</f>
        <v>0</v>
      </c>
      <c r="D89" s="345">
        <f>D73/(1+Assumption_Hatchery!$C76)^BaU_Hatchery!D69</f>
        <v>196764.86294054825</v>
      </c>
      <c r="E89" s="345">
        <f>E73/(1+Assumption_Hatchery!$C76)^BaU_Hatchery!E69</f>
        <v>332291.30297158047</v>
      </c>
      <c r="F89" s="345">
        <f>F73/(1+Assumption_Hatchery!$C76)^BaU_Hatchery!F69</f>
        <v>364389.75329894334</v>
      </c>
      <c r="G89" s="345">
        <f>G73/(1+Assumption_Hatchery!$C76)^BaU_Hatchery!G69</f>
        <v>350639.19657068129</v>
      </c>
      <c r="H89" s="345">
        <f>H73/(1+Assumption_Hatchery!$C76)^BaU_Hatchery!H69</f>
        <v>328972.34055617225</v>
      </c>
      <c r="I89" s="345">
        <f>I73/(1+Assumption_Hatchery!$C76)^BaU_Hatchery!I69</f>
        <v>324675.16919912485</v>
      </c>
      <c r="J89" s="345">
        <f>J73/(1+Assumption_Hatchery!$C76)^BaU_Hatchery!J69</f>
        <v>312423.27602179942</v>
      </c>
      <c r="K89" s="345">
        <f>K73/(1+Assumption_Hatchery!$C76)^BaU_Hatchery!K69</f>
        <v>293117.87547516939</v>
      </c>
      <c r="L89" s="345">
        <f>L73/(1+Assumption_Hatchery!$C76)^BaU_Hatchery!L69</f>
        <v>289289.04981584207</v>
      </c>
      <c r="M89" s="345">
        <f>M73/(1+Assumption_Hatchery!$C76)^BaU_Hatchery!M69</f>
        <v>278372.48189826298</v>
      </c>
      <c r="N89" s="345">
        <f>N73/(1+Assumption_Hatchery!$C76)^BaU_Hatchery!N69</f>
        <v>261171.16344134207</v>
      </c>
      <c r="O89" s="345">
        <f>O73/(1+Assumption_Hatchery!$C76)^BaU_Hatchery!O69</f>
        <v>257759.63881003277</v>
      </c>
      <c r="P89" s="345">
        <f>P73/(1+Assumption_Hatchery!$C76)^BaU_Hatchery!P69</f>
        <v>248032.85998701269</v>
      </c>
      <c r="Q89" s="345">
        <f>Q73/(1+Assumption_Hatchery!$C76)^BaU_Hatchery!Q69</f>
        <v>232706.30118592829</v>
      </c>
      <c r="R89" s="345">
        <f>R73/(1+Assumption_Hatchery!$C76)^BaU_Hatchery!R69</f>
        <v>229666.59623574934</v>
      </c>
      <c r="S89" s="345">
        <f>S73/(1+Assumption_Hatchery!$C76)^BaU_Hatchery!S69</f>
        <v>220999.93222685315</v>
      </c>
      <c r="T89" s="345">
        <f>T73/(1+Assumption_Hatchery!$C76)^BaU_Hatchery!T69</f>
        <v>207343.8043392504</v>
      </c>
      <c r="U89" s="345">
        <f>U73/(1+Assumption_Hatchery!$C76)^BaU_Hatchery!U69</f>
        <v>204635.39470346915</v>
      </c>
      <c r="V89" s="345">
        <f>V73/(1+Assumption_Hatchery!$C76)^BaU_Hatchery!V69</f>
        <v>196913.30433730053</v>
      </c>
      <c r="W89" s="345">
        <f>W73/(1+Assumption_Hatchery!$C76)^BaU_Hatchery!W69</f>
        <v>153385.3912656527</v>
      </c>
      <c r="X89" s="345">
        <f>X73/(1+Assumption_Hatchery!$C76)^BaU_Hatchery!X69</f>
        <v>99491.316058068929</v>
      </c>
      <c r="Y89" s="345">
        <f>Y73/(1+Assumption_Hatchery!$C76)^BaU_Hatchery!Y69</f>
        <v>28017.076565185653</v>
      </c>
      <c r="Z89" s="345">
        <f>Z73/(1+Assumption_Hatchery!$C76)^BaU_Hatchery!Z69</f>
        <v>2346.2962091742252</v>
      </c>
      <c r="AA89" s="343">
        <f>SUM(B89:Z89)</f>
        <v>5413404.3841131451</v>
      </c>
    </row>
    <row r="90" spans="1:27" s="12" customFormat="1" x14ac:dyDescent="0.25">
      <c r="A90" s="10" t="str">
        <f>A25</f>
        <v>Economic Costs in Present Value</v>
      </c>
      <c r="B90" s="346">
        <f>B85/(1+Assumption_Hatchery!$C76)^BaU_Hatchery!B69</f>
        <v>0</v>
      </c>
      <c r="C90" s="346">
        <f>C85/(1+Assumption_Hatchery!$C76)^BaU_Hatchery!C69</f>
        <v>155979.98284734134</v>
      </c>
      <c r="D90" s="346">
        <f>D85/(1+Assumption_Hatchery!$C76)^BaU_Hatchery!D69</f>
        <v>283418.89421987761</v>
      </c>
      <c r="E90" s="346">
        <f>E85/(1+Assumption_Hatchery!$C76)^BaU_Hatchery!E69</f>
        <v>432898.1605903164</v>
      </c>
      <c r="F90" s="346">
        <f>F85/(1+Assumption_Hatchery!$C76)^BaU_Hatchery!F69</f>
        <v>326592.23380512936</v>
      </c>
      <c r="G90" s="346">
        <f>G85/(1+Assumption_Hatchery!$C76)^BaU_Hatchery!G69</f>
        <v>280241.55223554961</v>
      </c>
      <c r="H90" s="346">
        <f>H85/(1+Assumption_Hatchery!$C76)^BaU_Hatchery!H69</f>
        <v>269507.59699741314</v>
      </c>
      <c r="I90" s="346">
        <f>I85/(1+Assumption_Hatchery!$C76)^BaU_Hatchery!I69</f>
        <v>251361.83212501637</v>
      </c>
      <c r="J90" s="346">
        <f>J85/(1+Assumption_Hatchery!$C76)^BaU_Hatchery!J69</f>
        <v>237270.35610120892</v>
      </c>
      <c r="K90" s="346">
        <f>K85/(1+Assumption_Hatchery!$C76)^BaU_Hatchery!K69</f>
        <v>226670.25663543661</v>
      </c>
      <c r="L90" s="346">
        <f>L85/(1+Assumption_Hatchery!$C76)^BaU_Hatchery!L69</f>
        <v>211416.49229448941</v>
      </c>
      <c r="M90" s="346">
        <f>M85/(1+Assumption_Hatchery!$C76)^BaU_Hatchery!M69</f>
        <v>199567.64696719259</v>
      </c>
      <c r="N90" s="346">
        <f>N85/(1+Assumption_Hatchery!$C76)^BaU_Hatchery!N69</f>
        <v>190651.04807760014</v>
      </c>
      <c r="O90" s="346">
        <f>O85/(1+Assumption_Hatchery!$C76)^BaU_Hatchery!O69</f>
        <v>177827.92312845908</v>
      </c>
      <c r="P90" s="346">
        <f>P85/(1+Assumption_Hatchery!$C76)^BaU_Hatchery!P69</f>
        <v>167864.37772098617</v>
      </c>
      <c r="Q90" s="346">
        <f>Q85/(1+Assumption_Hatchery!$C76)^BaU_Hatchery!Q69</f>
        <v>160363.51175714686</v>
      </c>
      <c r="R90" s="346">
        <f>R85/(1+Assumption_Hatchery!$C76)^BaU_Hatchery!R69</f>
        <v>149583.32654239493</v>
      </c>
      <c r="S90" s="346">
        <f>S85/(1+Assumption_Hatchery!$C76)^BaU_Hatchery!S69</f>
        <v>141204.74295401861</v>
      </c>
      <c r="T90" s="346">
        <f>T85/(1+Assumption_Hatchery!$C76)^BaU_Hatchery!T69</f>
        <v>134894.48566241111</v>
      </c>
      <c r="U90" s="346">
        <f>U85/(1+Assumption_Hatchery!$C76)^BaU_Hatchery!U69</f>
        <v>125831.43291841104</v>
      </c>
      <c r="V90" s="346">
        <f>V85/(1+Assumption_Hatchery!$C76)^BaU_Hatchery!V69</f>
        <v>118785.36787814542</v>
      </c>
      <c r="W90" s="346">
        <f>W85/(1+Assumption_Hatchery!$C76)^BaU_Hatchery!W69</f>
        <v>93766.829249947259</v>
      </c>
      <c r="X90" s="346">
        <f>X85/(1+Assumption_Hatchery!$C76)^BaU_Hatchery!X69</f>
        <v>59865.985997383214</v>
      </c>
      <c r="Y90" s="346">
        <f>Y85/(1+Assumption_Hatchery!$C76)^BaU_Hatchery!Y69</f>
        <v>19156.00191615822</v>
      </c>
      <c r="Z90" s="346">
        <f>Z85/(1+Assumption_Hatchery!$C76)^BaU_Hatchery!Z69</f>
        <v>6267.0806639785214</v>
      </c>
      <c r="AA90" s="343">
        <f>SUM(B90:Z90)</f>
        <v>4420987.119286011</v>
      </c>
    </row>
    <row r="91" spans="1:27" x14ac:dyDescent="0.25">
      <c r="B91" s="32"/>
      <c r="C91" s="32"/>
      <c r="D91" s="32"/>
      <c r="E91" s="32"/>
      <c r="F91" s="32"/>
      <c r="G91" s="32"/>
      <c r="H91" s="32"/>
      <c r="I91" s="32"/>
      <c r="J91" s="32"/>
      <c r="K91" s="32"/>
      <c r="L91" s="32"/>
    </row>
    <row r="92" spans="1:27" s="12" customFormat="1" x14ac:dyDescent="0.25">
      <c r="A92" s="25" t="s">
        <v>318</v>
      </c>
      <c r="B92" s="35">
        <f>NPV(Assumption_Hatchery!C76,C87:Z87)+B87</f>
        <v>992417.26482713211</v>
      </c>
      <c r="C92" s="40"/>
      <c r="D92" s="40"/>
      <c r="E92" s="40"/>
      <c r="F92" s="40"/>
      <c r="G92" s="40"/>
      <c r="H92" s="40"/>
      <c r="I92" s="40"/>
      <c r="J92" s="40"/>
      <c r="K92" s="40"/>
      <c r="L92" s="40"/>
    </row>
    <row r="94" spans="1:27" s="12" customFormat="1" x14ac:dyDescent="0.25">
      <c r="A94" s="25" t="s">
        <v>238</v>
      </c>
      <c r="B94" s="36">
        <f>IRR(B87:Z87)</f>
        <v>0.2223908887009749</v>
      </c>
      <c r="C94" s="4"/>
      <c r="D94" s="4"/>
      <c r="E94" s="4"/>
      <c r="F94" s="4"/>
      <c r="G94" s="4"/>
      <c r="H94" s="4"/>
      <c r="I94" s="4"/>
      <c r="J94" s="4"/>
      <c r="K94" s="4"/>
      <c r="L94" s="4"/>
    </row>
  </sheetData>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FF00"/>
  </sheetPr>
  <dimension ref="A2:AA94"/>
  <sheetViews>
    <sheetView showGridLines="0" zoomScale="70" zoomScaleNormal="70" workbookViewId="0">
      <selection activeCell="A92" sqref="A92:A94"/>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6" width="12.57031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2.28515625" style="26" customWidth="1"/>
    <col min="13" max="23" width="13.7109375" style="3" customWidth="1"/>
    <col min="24" max="24" width="15.7109375" style="3" customWidth="1"/>
    <col min="25" max="25" width="11" style="3" customWidth="1"/>
    <col min="26" max="26" width="11.140625" style="3" customWidth="1"/>
    <col min="27" max="27" width="13.85546875" style="3" customWidth="1"/>
    <col min="28"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51</v>
      </c>
      <c r="B6" s="31">
        <v>0</v>
      </c>
      <c r="C6" s="31">
        <v>0</v>
      </c>
      <c r="D6" s="31">
        <f>Assumption_Hatchery!F18*Assumption_Hatchery!F176*Assumption_Hatchery!F177*(1+Assumption_Hatchery!F178)^Assumption_Hatchery!F175</f>
        <v>221085.00000000003</v>
      </c>
      <c r="E6" s="136">
        <f>Assumption_Hatchery!G18*Assumption_Hatchery!G176*Assumption_Hatchery!G177*(1+Assumption_Hatchery!G178)^Assumption_Hatchery!G175*(1+Assumption_Hatchery!$S153)</f>
        <v>375976.045575</v>
      </c>
      <c r="F6" s="31">
        <f>Assumption_Hatchery!H18*Assumption_Hatchery!H176*Assumption_Hatchery!H177*(1+Assumption_Hatchery!H178)^Assumption_Hatchery!H175</f>
        <v>460033.66800000006</v>
      </c>
      <c r="G6" s="31">
        <f>Assumption_Hatchery!I18*Assumption_Hatchery!I176*Assumption_Hatchery!I177*(1+Assumption_Hatchery!I178)^Assumption_Hatchery!I175</f>
        <v>469234.34136000008</v>
      </c>
      <c r="H6" s="136">
        <f>Assumption_Hatchery!J18*Assumption_Hatchery!J176*Assumption_Hatchery!J177*(1+Assumption_Hatchery!J178)^Assumption_Hatchery!J175*(1+Assumption_Hatchery!$S153)</f>
        <v>443320.87485839409</v>
      </c>
      <c r="I6" s="31">
        <f>Assumption_Hatchery!K18*Assumption_Hatchery!K176*Assumption_Hatchery!K177*(1+Assumption_Hatchery!K178)^Assumption_Hatchery!K175</f>
        <v>488191.40875094401</v>
      </c>
      <c r="J6" s="31">
        <f>Assumption_Hatchery!L18*Assumption_Hatchery!L176*Assumption_Hatchery!L177*(1+Assumption_Hatchery!L178)^Assumption_Hatchery!L175</f>
        <v>497955.2369259629</v>
      </c>
      <c r="K6" s="136">
        <f>Assumption_Hatchery!M18*Assumption_Hatchery!M176*Assumption_Hatchery!M177*(1+Assumption_Hatchery!M178)^Assumption_Hatchery!M175*(1+Assumption_Hatchery!$S153)</f>
        <v>470455.65896672657</v>
      </c>
      <c r="L6" s="31">
        <f>Assumption_Hatchery!N18*Assumption_Hatchery!N176*Assumption_Hatchery!N177*(1+Assumption_Hatchery!N178)^Assumption_Hatchery!N175</f>
        <v>518072.62849777186</v>
      </c>
      <c r="M6" s="31">
        <f>Assumption_Hatchery!O18*Assumption_Hatchery!O176*Assumption_Hatchery!O177*(1+Assumption_Hatchery!O178)^Assumption_Hatchery!O175</f>
        <v>528434.08106772718</v>
      </c>
      <c r="N6" s="136">
        <f>Assumption_Hatchery!P18*Assumption_Hatchery!P176*Assumption_Hatchery!P177*(1+Assumption_Hatchery!P178)^Assumption_Hatchery!P175*(1+Assumption_Hatchery!$S153)</f>
        <v>499251.30894076201</v>
      </c>
      <c r="O6" s="31">
        <f>Assumption_Hatchery!Q18*Assumption_Hatchery!Q176*Assumption_Hatchery!Q177*(1+Assumption_Hatchery!Q178)^Assumption_Hatchery!Q175</f>
        <v>549782.81794286345</v>
      </c>
      <c r="P6" s="31">
        <f>Assumption_Hatchery!R18*Assumption_Hatchery!R176*Assumption_Hatchery!R177*(1+Assumption_Hatchery!R178)^Assumption_Hatchery!R175</f>
        <v>560778.47430172074</v>
      </c>
      <c r="Q6" s="136">
        <f>Assumption_Hatchery!S18*Assumption_Hatchery!S176*Assumption_Hatchery!S177*(1+Assumption_Hatchery!S178)^Assumption_Hatchery!S175*(1+Assumption_Hatchery!$S153)</f>
        <v>529809.48305840802</v>
      </c>
      <c r="R6" s="31">
        <f>Assumption_Hatchery!T18*Assumption_Hatchery!T176*Assumption_Hatchery!T177*(1+Assumption_Hatchery!T178)^Assumption_Hatchery!T175</f>
        <v>583433.92466351017</v>
      </c>
      <c r="S6" s="31">
        <f>Assumption_Hatchery!U18*Assumption_Hatchery!U176*Assumption_Hatchery!U177*(1+Assumption_Hatchery!U178)^Assumption_Hatchery!U175</f>
        <v>595102.60315678047</v>
      </c>
      <c r="T6" s="136">
        <f>Assumption_Hatchery!V18*Assumption_Hatchery!V176*Assumption_Hatchery!V177*(1+Assumption_Hatchery!V178)^Assumption_Hatchery!V175*(1+Assumption_Hatchery!$S153)</f>
        <v>562238.06189744722</v>
      </c>
      <c r="U6" s="31">
        <f>Assumption_Hatchery!W18*Assumption_Hatchery!W176*Assumption_Hatchery!W177*(1+Assumption_Hatchery!W178)^Assumption_Hatchery!W175</f>
        <v>619144.74832431425</v>
      </c>
      <c r="V6" s="31">
        <f>Assumption_Hatchery!X18*Assumption_Hatchery!X176*Assumption_Hatchery!X177*(1+Assumption_Hatchery!X178)^Assumption_Hatchery!X175</f>
        <v>631527.64329080062</v>
      </c>
      <c r="W6" s="136">
        <f>Assumption_Hatchery!Y18*Assumption_Hatchery!Y176*Assumption_Hatchery!Y177*(1+Assumption_Hatchery!Y178)^Assumption_Hatchery!Y175*(1+Assumption_Hatchery!$S153)</f>
        <v>477321.2233520528</v>
      </c>
      <c r="X6" s="31">
        <f>Assumption_Hatchery!Z18*Assumption_Hatchery!Z176*Assumption_Hatchery!Z177*(1+Assumption_Hatchery!Z178)^Assumption_Hatchery!Z175</f>
        <v>328520.68003987451</v>
      </c>
      <c r="Y6" s="31">
        <f>Assumption_Hatchery!AA18*Assumption_Hatchery!AA176*Assumption_Hatchery!AA177*(1+Assumption_Hatchery!AA178)^Assumption_Hatchery!AA175</f>
        <v>67018.218728134379</v>
      </c>
      <c r="Z6" s="136">
        <f>Assumption_Hatchery!AB18*Assumption_Hatchery!AB176*Assumption_Hatchery!AB177*(1+Assumption_Hatchery!AB178)^Assumption_Hatchery!AB175*(1+Assumption_Hatchery!$S153)</f>
        <v>0</v>
      </c>
    </row>
    <row r="7" spans="1:26" x14ac:dyDescent="0.25">
      <c r="A7" s="10" t="s">
        <v>52</v>
      </c>
      <c r="B7" s="31">
        <f>Assumption_Hatchery!D17*Assumption_Hatchery!D179</f>
        <v>0</v>
      </c>
      <c r="C7" s="31">
        <f>Assumption_Hatchery!E17*Assumption_Hatchery!E179</f>
        <v>0</v>
      </c>
      <c r="D7" s="31">
        <f>Assumption_Hatchery!F17*Assumption_Hatchery!F179</f>
        <v>0</v>
      </c>
      <c r="E7" s="31">
        <f>Assumption_Hatchery!G17*Assumption_Hatchery!G179</f>
        <v>0</v>
      </c>
      <c r="F7" s="31">
        <f>Assumption_Hatchery!H17*Assumption_Hatchery!H179</f>
        <v>0</v>
      </c>
      <c r="G7" s="31">
        <f>Assumption_Hatchery!I17*Assumption_Hatchery!I179</f>
        <v>0</v>
      </c>
      <c r="H7" s="31">
        <f>Assumption_Hatchery!J17*Assumption_Hatchery!J179</f>
        <v>0</v>
      </c>
      <c r="I7" s="31">
        <f>Assumption_Hatchery!K17*Assumption_Hatchery!K179</f>
        <v>0</v>
      </c>
      <c r="J7" s="31">
        <f>Assumption_Hatchery!L17*Assumption_Hatchery!L179</f>
        <v>0</v>
      </c>
      <c r="K7" s="31">
        <f>Assumption_Hatchery!M17*Assumption_Hatchery!M179</f>
        <v>0</v>
      </c>
      <c r="L7" s="31">
        <f>Assumption_Hatchery!N17*Assumption_Hatchery!N179</f>
        <v>0</v>
      </c>
      <c r="M7" s="31">
        <f>Assumption_Hatchery!O17*Assumption_Hatchery!O179</f>
        <v>0</v>
      </c>
      <c r="N7" s="31">
        <f>Assumption_Hatchery!P17*Assumption_Hatchery!P179</f>
        <v>0</v>
      </c>
      <c r="O7" s="31">
        <f>Assumption_Hatchery!Q17*Assumption_Hatchery!Q179</f>
        <v>0</v>
      </c>
      <c r="P7" s="31">
        <f>Assumption_Hatchery!R17*Assumption_Hatchery!R179</f>
        <v>0</v>
      </c>
      <c r="Q7" s="31">
        <f>Assumption_Hatchery!S17*Assumption_Hatchery!S179</f>
        <v>0</v>
      </c>
      <c r="R7" s="31">
        <f>Assumption_Hatchery!T17*Assumption_Hatchery!T179</f>
        <v>0</v>
      </c>
      <c r="S7" s="31">
        <f>Assumption_Hatchery!U17*Assumption_Hatchery!U179</f>
        <v>0</v>
      </c>
      <c r="T7" s="31">
        <f>Assumption_Hatchery!V17*Assumption_Hatchery!V179</f>
        <v>0</v>
      </c>
      <c r="U7" s="31">
        <f>Assumption_Hatchery!W17*Assumption_Hatchery!W179</f>
        <v>0</v>
      </c>
      <c r="V7" s="31">
        <f>Assumption_Hatchery!X17*Assumption_Hatchery!X179</f>
        <v>0</v>
      </c>
      <c r="W7" s="136">
        <f>Assumption_Hatchery!Y17*Assumption_Hatchery!Y179*(1+Assumption_Hatchery!$S156)</f>
        <v>16625</v>
      </c>
      <c r="X7" s="31">
        <f>Assumption_Hatchery!Z17*Assumption_Hatchery!Z179</f>
        <v>30000</v>
      </c>
      <c r="Y7" s="31">
        <f>Assumption_Hatchery!AA17*Assumption_Hatchery!AA179</f>
        <v>40000</v>
      </c>
      <c r="Z7" s="136">
        <f>Assumption_Hatchery!AB17*Assumption_Hatchery!AB179*(1+Assumption_Hatchery!$S156)</f>
        <v>8312.5</v>
      </c>
    </row>
    <row r="8" spans="1:26" s="12" customFormat="1" x14ac:dyDescent="0.25">
      <c r="A8" s="23" t="s">
        <v>53</v>
      </c>
      <c r="B8" s="38">
        <f t="shared" ref="B8:Z8" si="0">(B6+B7)</f>
        <v>0</v>
      </c>
      <c r="C8" s="38">
        <f t="shared" si="0"/>
        <v>0</v>
      </c>
      <c r="D8" s="38">
        <f t="shared" si="0"/>
        <v>221085.00000000003</v>
      </c>
      <c r="E8" s="38">
        <f t="shared" si="0"/>
        <v>375976.045575</v>
      </c>
      <c r="F8" s="38">
        <f t="shared" si="0"/>
        <v>460033.66800000006</v>
      </c>
      <c r="G8" s="38">
        <f t="shared" si="0"/>
        <v>469234.34136000008</v>
      </c>
      <c r="H8" s="38">
        <f t="shared" si="0"/>
        <v>443320.87485839409</v>
      </c>
      <c r="I8" s="38">
        <f t="shared" si="0"/>
        <v>488191.40875094401</v>
      </c>
      <c r="J8" s="38">
        <f t="shared" si="0"/>
        <v>497955.2369259629</v>
      </c>
      <c r="K8" s="38">
        <f t="shared" si="0"/>
        <v>470455.65896672657</v>
      </c>
      <c r="L8" s="38">
        <f t="shared" si="0"/>
        <v>518072.62849777186</v>
      </c>
      <c r="M8" s="38">
        <f t="shared" si="0"/>
        <v>528434.08106772718</v>
      </c>
      <c r="N8" s="38">
        <f t="shared" si="0"/>
        <v>499251.30894076201</v>
      </c>
      <c r="O8" s="38">
        <f t="shared" si="0"/>
        <v>549782.81794286345</v>
      </c>
      <c r="P8" s="38">
        <f t="shared" si="0"/>
        <v>560778.47430172074</v>
      </c>
      <c r="Q8" s="38">
        <f t="shared" si="0"/>
        <v>529809.48305840802</v>
      </c>
      <c r="R8" s="38">
        <f t="shared" si="0"/>
        <v>583433.92466351017</v>
      </c>
      <c r="S8" s="38">
        <f t="shared" si="0"/>
        <v>595102.60315678047</v>
      </c>
      <c r="T8" s="38">
        <f t="shared" si="0"/>
        <v>562238.06189744722</v>
      </c>
      <c r="U8" s="38">
        <f t="shared" si="0"/>
        <v>619144.74832431425</v>
      </c>
      <c r="V8" s="38">
        <f t="shared" si="0"/>
        <v>631527.64329080062</v>
      </c>
      <c r="W8" s="38">
        <f t="shared" si="0"/>
        <v>493946.2233520528</v>
      </c>
      <c r="X8" s="38">
        <f t="shared" si="0"/>
        <v>358520.68003987451</v>
      </c>
      <c r="Y8" s="38">
        <f t="shared" si="0"/>
        <v>107018.21872813438</v>
      </c>
      <c r="Z8" s="38">
        <f t="shared" si="0"/>
        <v>8312.5</v>
      </c>
    </row>
    <row r="9" spans="1:26" x14ac:dyDescent="0.25">
      <c r="A9" s="23"/>
      <c r="B9" s="41"/>
      <c r="C9" s="41"/>
      <c r="D9" s="41"/>
      <c r="E9" s="41"/>
      <c r="F9" s="41"/>
      <c r="G9" s="41"/>
      <c r="H9" s="41"/>
      <c r="I9" s="41"/>
      <c r="J9" s="41"/>
      <c r="K9" s="41"/>
    </row>
    <row r="10" spans="1:26" x14ac:dyDescent="0.25">
      <c r="A10" s="23" t="s">
        <v>20</v>
      </c>
    </row>
    <row r="11" spans="1:26" x14ac:dyDescent="0.25">
      <c r="A11" s="9" t="s">
        <v>44</v>
      </c>
      <c r="B11" s="33">
        <f>Assumption_Hatchery!D183*Assumption_Hatchery!D6</f>
        <v>0</v>
      </c>
      <c r="C11" s="33">
        <f>Assumption_Hatchery!E183*Assumption_Hatchery!E6</f>
        <v>100000</v>
      </c>
      <c r="D11" s="33">
        <f>Assumption_Hatchery!F183*Assumption_Hatchery!F6</f>
        <v>150000</v>
      </c>
      <c r="E11" s="33">
        <f>Assumption_Hatchery!G183*Assumption_Hatchery!G6</f>
        <v>200000</v>
      </c>
      <c r="F11" s="33">
        <f>Assumption_Hatchery!H183*Assumption_Hatchery!H6</f>
        <v>50000</v>
      </c>
      <c r="G11" s="33">
        <f>Assumption_Hatchery!I183*Assumption_Hatchery!I6</f>
        <v>0</v>
      </c>
      <c r="H11" s="33">
        <f>Assumption_Hatchery!J183*Assumption_Hatchery!J6</f>
        <v>0</v>
      </c>
      <c r="I11" s="33">
        <f>Assumption_Hatchery!K183*Assumption_Hatchery!K6</f>
        <v>0</v>
      </c>
      <c r="J11" s="33">
        <f>Assumption_Hatchery!L183*Assumption_Hatchery!L6</f>
        <v>0</v>
      </c>
      <c r="K11" s="33">
        <f>Assumption_Hatchery!M183*Assumption_Hatchery!M6</f>
        <v>0</v>
      </c>
      <c r="L11" s="33">
        <f>Assumption_Hatchery!N183*Assumption_Hatchery!N6</f>
        <v>0</v>
      </c>
      <c r="M11" s="33">
        <f>Assumption_Hatchery!O183*Assumption_Hatchery!O6</f>
        <v>0</v>
      </c>
      <c r="N11" s="33">
        <f>Assumption_Hatchery!P183*Assumption_Hatchery!P6</f>
        <v>0</v>
      </c>
      <c r="O11" s="33">
        <f>Assumption_Hatchery!Q183*Assumption_Hatchery!Q6</f>
        <v>0</v>
      </c>
      <c r="P11" s="33">
        <f>Assumption_Hatchery!R183*Assumption_Hatchery!R6</f>
        <v>0</v>
      </c>
      <c r="Q11" s="33">
        <f>Assumption_Hatchery!S183*Assumption_Hatchery!S6</f>
        <v>0</v>
      </c>
      <c r="R11" s="33">
        <f>Assumption_Hatchery!T183*Assumption_Hatchery!T6</f>
        <v>0</v>
      </c>
      <c r="S11" s="33">
        <f>Assumption_Hatchery!U183*Assumption_Hatchery!U6</f>
        <v>0</v>
      </c>
      <c r="T11" s="33">
        <f>Assumption_Hatchery!V183*Assumption_Hatchery!V6</f>
        <v>0</v>
      </c>
      <c r="U11" s="33">
        <f>Assumption_Hatchery!W183*Assumption_Hatchery!W6</f>
        <v>0</v>
      </c>
      <c r="V11" s="33">
        <f>Assumption_Hatchery!X183*Assumption_Hatchery!X6</f>
        <v>0</v>
      </c>
      <c r="W11" s="33">
        <f>Assumption_Hatchery!Y183*Assumption_Hatchery!Y6</f>
        <v>0</v>
      </c>
      <c r="X11" s="33">
        <f>Assumption_Hatchery!Z183*Assumption_Hatchery!Z6</f>
        <v>0</v>
      </c>
      <c r="Y11" s="33">
        <f>Assumption_Hatchery!AA183*Assumption_Hatchery!AA6</f>
        <v>0</v>
      </c>
      <c r="Z11" s="33">
        <f>Assumption_Hatchery!AB183*Assumption_Hatchery!AB6</f>
        <v>0</v>
      </c>
    </row>
    <row r="12" spans="1:26" x14ac:dyDescent="0.25">
      <c r="A12" s="121" t="s">
        <v>104</v>
      </c>
      <c r="B12" s="33">
        <v>0</v>
      </c>
      <c r="C12" s="33">
        <v>0</v>
      </c>
      <c r="D12" s="33">
        <f>Assumption_Hatchery!E6*Assumption_Hatchery!F184</f>
        <v>5000</v>
      </c>
      <c r="E12" s="137">
        <f>(Assumption_Hatchery!F16*Assumption_Hatchery!G184)+(Assumption_Hatchery!E18*Assumption_Hatchery!G185)*(1+Assumption_Hatchery!$S161)</f>
        <v>18016.249999999996</v>
      </c>
      <c r="F12" s="33">
        <f>(Assumption_Hatchery!G16*Assumption_Hatchery!H184)+(Assumption_Hatchery!F18*Assumption_Hatchery!H185)</f>
        <v>35000</v>
      </c>
      <c r="G12" s="33">
        <f>(Assumption_Hatchery!H16*Assumption_Hatchery!I184)+(Assumption_Hatchery!G18*Assumption_Hatchery!I185)</f>
        <v>47500</v>
      </c>
      <c r="H12" s="137">
        <f>(Assumption_Hatchery!I16*Assumption_Hatchery!J184)+(Assumption_Hatchery!H18*Assumption_Hatchery!J185)*(1+Assumption_Hatchery!$S161)</f>
        <v>52018.749999999985</v>
      </c>
      <c r="I12" s="33">
        <f>(Assumption_Hatchery!J16*Assumption_Hatchery!K184)+(Assumption_Hatchery!I18*Assumption_Hatchery!K185)</f>
        <v>50000</v>
      </c>
      <c r="J12" s="33">
        <f>(Assumption_Hatchery!K16*Assumption_Hatchery!L184)+(Assumption_Hatchery!J18*Assumption_Hatchery!L185)</f>
        <v>50000</v>
      </c>
      <c r="K12" s="137">
        <f>(Assumption_Hatchery!L16*Assumption_Hatchery!M184)+(Assumption_Hatchery!K18*Assumption_Hatchery!M185)*(1+Assumption_Hatchery!$S161)</f>
        <v>52018.749999999985</v>
      </c>
      <c r="L12" s="33">
        <f>(Assumption_Hatchery!M16*Assumption_Hatchery!N184)+(Assumption_Hatchery!L18*Assumption_Hatchery!N185)</f>
        <v>50000</v>
      </c>
      <c r="M12" s="33">
        <f>(Assumption_Hatchery!N16*Assumption_Hatchery!O184)+(Assumption_Hatchery!M18*Assumption_Hatchery!O185)</f>
        <v>50000</v>
      </c>
      <c r="N12" s="137">
        <f>(Assumption_Hatchery!O16*Assumption_Hatchery!P184)+(Assumption_Hatchery!N18*Assumption_Hatchery!P185)*(1+Assumption_Hatchery!$S161)</f>
        <v>52018.749999999985</v>
      </c>
      <c r="O12" s="33">
        <f>(Assumption_Hatchery!P16*Assumption_Hatchery!Q184)+(Assumption_Hatchery!O18*Assumption_Hatchery!Q185)</f>
        <v>50000</v>
      </c>
      <c r="P12" s="33">
        <f>(Assumption_Hatchery!Q16*Assumption_Hatchery!R184)+(Assumption_Hatchery!P18*Assumption_Hatchery!R185)</f>
        <v>50000</v>
      </c>
      <c r="Q12" s="137">
        <f>(Assumption_Hatchery!R16*Assumption_Hatchery!S184)+(Assumption_Hatchery!Q18*Assumption_Hatchery!S185)*(1+Assumption_Hatchery!$S161)</f>
        <v>52018.749999999985</v>
      </c>
      <c r="R12" s="33">
        <f>(Assumption_Hatchery!S16*Assumption_Hatchery!T184)+(Assumption_Hatchery!R18*Assumption_Hatchery!T185)</f>
        <v>50000</v>
      </c>
      <c r="S12" s="33">
        <f>(Assumption_Hatchery!T16*Assumption_Hatchery!U184)+(Assumption_Hatchery!S18*Assumption_Hatchery!U185)</f>
        <v>50000</v>
      </c>
      <c r="T12" s="137">
        <f>(Assumption_Hatchery!U16*Assumption_Hatchery!V184)+(Assumption_Hatchery!T18*Assumption_Hatchery!V185)*(1+Assumption_Hatchery!$S161)</f>
        <v>52018.749999999985</v>
      </c>
      <c r="U12" s="33">
        <f>(Assumption_Hatchery!V16*Assumption_Hatchery!W184)+(Assumption_Hatchery!U18*Assumption_Hatchery!W185)</f>
        <v>50000</v>
      </c>
      <c r="V12" s="33">
        <f>(Assumption_Hatchery!W16*Assumption_Hatchery!X184)+(Assumption_Hatchery!V18*Assumption_Hatchery!X185)</f>
        <v>50000</v>
      </c>
      <c r="W12" s="137">
        <f>(Assumption_Hatchery!X16*Assumption_Hatchery!Y184)+(Assumption_Hatchery!W18*Assumption_Hatchery!Y185)*(1+Assumption_Hatchery!$S161)</f>
        <v>52018.749999999985</v>
      </c>
      <c r="X12" s="33">
        <f>(Assumption_Hatchery!Y16*Assumption_Hatchery!Z184)+(Assumption_Hatchery!X18*Assumption_Hatchery!Z185)</f>
        <v>50000</v>
      </c>
      <c r="Y12" s="33">
        <f>(Assumption_Hatchery!Z16*Assumption_Hatchery!AA184)+(Assumption_Hatchery!Y18*Assumption_Hatchery!AA185)</f>
        <v>40000</v>
      </c>
      <c r="Z12" s="137">
        <f>(Assumption_Hatchery!AA16*Assumption_Hatchery!AB184)+(Assumption_Hatchery!Z18*Assumption_Hatchery!AB185)*(1+Assumption_Hatchery!$S161)</f>
        <v>26009.374999999993</v>
      </c>
    </row>
    <row r="13" spans="1:26" x14ac:dyDescent="0.25">
      <c r="A13" s="9" t="s">
        <v>48</v>
      </c>
      <c r="B13" s="33">
        <f>Assumption_Hatchery!D18*Assumption_Hatchery!D187</f>
        <v>0</v>
      </c>
      <c r="C13" s="33">
        <f>Assumption_Hatchery!E18*Assumption_Hatchery!E186</f>
        <v>10000</v>
      </c>
      <c r="D13" s="33">
        <f>Assumption_Hatchery!F18*Assumption_Hatchery!F186</f>
        <v>25000</v>
      </c>
      <c r="E13" s="33">
        <f>Assumption_Hatchery!G18*Assumption_Hatchery!G186</f>
        <v>45000</v>
      </c>
      <c r="F13" s="33">
        <f>Assumption_Hatchery!H18*Assumption_Hatchery!H186</f>
        <v>50000</v>
      </c>
      <c r="G13" s="33">
        <f>Assumption_Hatchery!I18*Assumption_Hatchery!I186</f>
        <v>50000</v>
      </c>
      <c r="H13" s="33">
        <f>Assumption_Hatchery!J18*Assumption_Hatchery!J186</f>
        <v>50000</v>
      </c>
      <c r="I13" s="33">
        <f>Assumption_Hatchery!K18*Assumption_Hatchery!K186</f>
        <v>50000</v>
      </c>
      <c r="J13" s="33">
        <f>Assumption_Hatchery!L18*Assumption_Hatchery!L186</f>
        <v>50000</v>
      </c>
      <c r="K13" s="33">
        <f>Assumption_Hatchery!M18*Assumption_Hatchery!M186</f>
        <v>50000</v>
      </c>
      <c r="L13" s="33">
        <f>Assumption_Hatchery!N18*Assumption_Hatchery!N186</f>
        <v>50000</v>
      </c>
      <c r="M13" s="33">
        <f>Assumption_Hatchery!O18*Assumption_Hatchery!O186</f>
        <v>50000</v>
      </c>
      <c r="N13" s="33">
        <f>Assumption_Hatchery!P18*Assumption_Hatchery!P186</f>
        <v>50000</v>
      </c>
      <c r="O13" s="33">
        <f>Assumption_Hatchery!Q18*Assumption_Hatchery!Q186</f>
        <v>50000</v>
      </c>
      <c r="P13" s="33">
        <f>Assumption_Hatchery!R18*Assumption_Hatchery!R186</f>
        <v>50000</v>
      </c>
      <c r="Q13" s="33">
        <f>Assumption_Hatchery!S18*Assumption_Hatchery!S186</f>
        <v>50000</v>
      </c>
      <c r="R13" s="33">
        <f>Assumption_Hatchery!T18*Assumption_Hatchery!T186</f>
        <v>50000</v>
      </c>
      <c r="S13" s="33">
        <f>Assumption_Hatchery!U18*Assumption_Hatchery!U186</f>
        <v>50000</v>
      </c>
      <c r="T13" s="33">
        <f>Assumption_Hatchery!V18*Assumption_Hatchery!V186</f>
        <v>50000</v>
      </c>
      <c r="U13" s="33">
        <f>Assumption_Hatchery!W18*Assumption_Hatchery!W186</f>
        <v>50000</v>
      </c>
      <c r="V13" s="33">
        <f>Assumption_Hatchery!X18*Assumption_Hatchery!X186</f>
        <v>50000</v>
      </c>
      <c r="W13" s="33">
        <f>Assumption_Hatchery!Y18*Assumption_Hatchery!Y186</f>
        <v>40000</v>
      </c>
      <c r="X13" s="33">
        <f>Assumption_Hatchery!Z18*Assumption_Hatchery!Z186</f>
        <v>25000</v>
      </c>
      <c r="Y13" s="33">
        <f>Assumption_Hatchery!AA18*Assumption_Hatchery!AA186</f>
        <v>5000</v>
      </c>
      <c r="Z13" s="33">
        <f>Assumption_Hatchery!AB18*Assumption_Hatchery!AB186</f>
        <v>0</v>
      </c>
    </row>
    <row r="14" spans="1:26" x14ac:dyDescent="0.25">
      <c r="A14" s="121" t="s">
        <v>50</v>
      </c>
      <c r="B14" s="33">
        <f>Assumption_Hatchery!D18*Assumption_Hatchery!D187</f>
        <v>0</v>
      </c>
      <c r="C14" s="33">
        <f>Assumption_Hatchery!E18*Assumption_Hatchery!E187</f>
        <v>10000</v>
      </c>
      <c r="D14" s="33">
        <f>Assumption_Hatchery!F18*Assumption_Hatchery!F187</f>
        <v>25000</v>
      </c>
      <c r="E14" s="137">
        <f>Assumption_Hatchery!G18*Assumption_Hatchery!G187*(1+Assumption_Hatchery!$S164)</f>
        <v>49584.375</v>
      </c>
      <c r="F14" s="33">
        <f>Assumption_Hatchery!H18*Assumption_Hatchery!H187</f>
        <v>50000</v>
      </c>
      <c r="G14" s="33">
        <f>Assumption_Hatchery!I18*Assumption_Hatchery!I187</f>
        <v>50000</v>
      </c>
      <c r="H14" s="137">
        <f>Assumption_Hatchery!J18*Assumption_Hatchery!J187*(1+Assumption_Hatchery!$S164)</f>
        <v>55093.75</v>
      </c>
      <c r="I14" s="33">
        <f>Assumption_Hatchery!K18*Assumption_Hatchery!K187</f>
        <v>50000</v>
      </c>
      <c r="J14" s="33">
        <f>Assumption_Hatchery!L18*Assumption_Hatchery!L187</f>
        <v>50000</v>
      </c>
      <c r="K14" s="137">
        <f>Assumption_Hatchery!M18*Assumption_Hatchery!M187*(1+Assumption_Hatchery!$S164)</f>
        <v>55093.75</v>
      </c>
      <c r="L14" s="33">
        <f>Assumption_Hatchery!N18*Assumption_Hatchery!N187</f>
        <v>50000</v>
      </c>
      <c r="M14" s="33">
        <f>Assumption_Hatchery!O18*Assumption_Hatchery!O187</f>
        <v>50000</v>
      </c>
      <c r="N14" s="137">
        <f>Assumption_Hatchery!P18*Assumption_Hatchery!P187*(1+Assumption_Hatchery!$S164)</f>
        <v>55093.75</v>
      </c>
      <c r="O14" s="33">
        <f>Assumption_Hatchery!Q18*Assumption_Hatchery!Q187</f>
        <v>50000</v>
      </c>
      <c r="P14" s="33">
        <f>Assumption_Hatchery!R18*Assumption_Hatchery!R187</f>
        <v>50000</v>
      </c>
      <c r="Q14" s="137">
        <f>Assumption_Hatchery!S18*Assumption_Hatchery!S187*(1+Assumption_Hatchery!$S164)</f>
        <v>55093.75</v>
      </c>
      <c r="R14" s="33">
        <f>Assumption_Hatchery!T18*Assumption_Hatchery!T187</f>
        <v>50000</v>
      </c>
      <c r="S14" s="33">
        <f>Assumption_Hatchery!U18*Assumption_Hatchery!U187</f>
        <v>50000</v>
      </c>
      <c r="T14" s="137">
        <f>Assumption_Hatchery!V18*Assumption_Hatchery!V187*(1+Assumption_Hatchery!$S164)</f>
        <v>55093.75</v>
      </c>
      <c r="U14" s="33">
        <f>Assumption_Hatchery!W18*Assumption_Hatchery!W187</f>
        <v>50000</v>
      </c>
      <c r="V14" s="33">
        <f>Assumption_Hatchery!X18*Assumption_Hatchery!X187</f>
        <v>50000</v>
      </c>
      <c r="W14" s="137">
        <f>Assumption_Hatchery!Y18*Assumption_Hatchery!Y187*(1+Assumption_Hatchery!$S164)</f>
        <v>44075</v>
      </c>
      <c r="X14" s="33">
        <f>Assumption_Hatchery!Z18*Assumption_Hatchery!Z187</f>
        <v>25000</v>
      </c>
      <c r="Y14" s="33">
        <f>Assumption_Hatchery!AA18*Assumption_Hatchery!AA187</f>
        <v>5000</v>
      </c>
      <c r="Z14" s="137">
        <f>Assumption_Hatchery!AB18*Assumption_Hatchery!AB187*(1+Assumption_Hatchery!$S164)</f>
        <v>0</v>
      </c>
    </row>
    <row r="15" spans="1:26" x14ac:dyDescent="0.25">
      <c r="A15" s="121" t="s">
        <v>102</v>
      </c>
      <c r="B15" s="33">
        <f>Assumption_Hatchery!D18*Assumption_Hatchery!D188</f>
        <v>0</v>
      </c>
      <c r="C15" s="33">
        <f>Assumption_Hatchery!E18*Assumption_Hatchery!E188</f>
        <v>1000</v>
      </c>
      <c r="D15" s="33">
        <f>Assumption_Hatchery!F18*Assumption_Hatchery!F188</f>
        <v>2500</v>
      </c>
      <c r="E15" s="137">
        <f>Assumption_Hatchery!G18*Assumption_Hatchery!G188*(1+Assumption_Hatchery!$S165)</f>
        <v>4658.625</v>
      </c>
      <c r="F15" s="33">
        <f>Assumption_Hatchery!H18*Assumption_Hatchery!H188</f>
        <v>5000</v>
      </c>
      <c r="G15" s="33">
        <f>Assumption_Hatchery!I18*Assumption_Hatchery!I188</f>
        <v>5000</v>
      </c>
      <c r="H15" s="137">
        <f>Assumption_Hatchery!J18*Assumption_Hatchery!J188*(1+Assumption_Hatchery!$S165)</f>
        <v>5176.25</v>
      </c>
      <c r="I15" s="33">
        <f>Assumption_Hatchery!K18*Assumption_Hatchery!K188</f>
        <v>5000</v>
      </c>
      <c r="J15" s="33">
        <f>Assumption_Hatchery!L18*Assumption_Hatchery!L188</f>
        <v>5000</v>
      </c>
      <c r="K15" s="137">
        <f>Assumption_Hatchery!M18*Assumption_Hatchery!M188*(1+Assumption_Hatchery!$S165)</f>
        <v>5176.25</v>
      </c>
      <c r="L15" s="33">
        <f>Assumption_Hatchery!N18*Assumption_Hatchery!N188</f>
        <v>5000</v>
      </c>
      <c r="M15" s="33">
        <f>Assumption_Hatchery!O18*Assumption_Hatchery!O188</f>
        <v>5000</v>
      </c>
      <c r="N15" s="137">
        <f>Assumption_Hatchery!P18*Assumption_Hatchery!P188*(1+Assumption_Hatchery!$S165)</f>
        <v>5176.25</v>
      </c>
      <c r="O15" s="33">
        <f>Assumption_Hatchery!Q18*Assumption_Hatchery!Q188</f>
        <v>5000</v>
      </c>
      <c r="P15" s="33">
        <f>Assumption_Hatchery!R18*Assumption_Hatchery!R188</f>
        <v>5000</v>
      </c>
      <c r="Q15" s="137">
        <f>Assumption_Hatchery!S18*Assumption_Hatchery!S188*(1+Assumption_Hatchery!$S165)</f>
        <v>5176.25</v>
      </c>
      <c r="R15" s="33">
        <f>Assumption_Hatchery!T18*Assumption_Hatchery!T188</f>
        <v>5000</v>
      </c>
      <c r="S15" s="33">
        <f>Assumption_Hatchery!U18*Assumption_Hatchery!U188</f>
        <v>5000</v>
      </c>
      <c r="T15" s="137">
        <f>Assumption_Hatchery!V18*Assumption_Hatchery!V188*(1+Assumption_Hatchery!$S165)</f>
        <v>5176.25</v>
      </c>
      <c r="U15" s="33">
        <f>Assumption_Hatchery!W18*Assumption_Hatchery!W188</f>
        <v>5000</v>
      </c>
      <c r="V15" s="33">
        <f>Assumption_Hatchery!X18*Assumption_Hatchery!X188</f>
        <v>5000</v>
      </c>
      <c r="W15" s="137">
        <f>Assumption_Hatchery!Y18*Assumption_Hatchery!Y188*(1+Assumption_Hatchery!$S165)</f>
        <v>4141</v>
      </c>
      <c r="X15" s="33">
        <f>Assumption_Hatchery!Z18*Assumption_Hatchery!Z188</f>
        <v>2500</v>
      </c>
      <c r="Y15" s="33">
        <f>Assumption_Hatchery!AA18*Assumption_Hatchery!AA188</f>
        <v>500</v>
      </c>
      <c r="Z15" s="137">
        <f>Assumption_Hatchery!AB18*Assumption_Hatchery!AB188*(1+Assumption_Hatchery!$S165)</f>
        <v>0</v>
      </c>
    </row>
    <row r="16" spans="1:26" x14ac:dyDescent="0.25">
      <c r="A16" s="121" t="s">
        <v>103</v>
      </c>
      <c r="B16" s="33">
        <f>Assumption_Hatchery!D18*Assumption_Hatchery!D189</f>
        <v>0</v>
      </c>
      <c r="C16" s="33">
        <f>Assumption_Hatchery!E18*Assumption_Hatchery!E189</f>
        <v>20238.181818181816</v>
      </c>
      <c r="D16" s="33">
        <f>Assumption_Hatchery!F18*Assumption_Hatchery!F189</f>
        <v>50595.454545454544</v>
      </c>
      <c r="E16" s="137">
        <f>Assumption_Hatchery!G18*Assumption_Hatchery!G189*(1+Assumption_Hatchery!$S166)</f>
        <v>94282.099772727262</v>
      </c>
      <c r="F16" s="33">
        <f>Assumption_Hatchery!H18*Assumption_Hatchery!H189</f>
        <v>101190.90909090909</v>
      </c>
      <c r="G16" s="33">
        <f>Assumption_Hatchery!I18*Assumption_Hatchery!I189</f>
        <v>101190.90909090909</v>
      </c>
      <c r="H16" s="137">
        <f>Assumption_Hatchery!J18*Assumption_Hatchery!J189*(1+Assumption_Hatchery!$S166)</f>
        <v>104757.88863636363</v>
      </c>
      <c r="I16" s="33">
        <f>Assumption_Hatchery!K18*Assumption_Hatchery!K189</f>
        <v>101190.90909090909</v>
      </c>
      <c r="J16" s="33">
        <f>Assumption_Hatchery!L18*Assumption_Hatchery!L189</f>
        <v>101190.90909090909</v>
      </c>
      <c r="K16" s="137">
        <f>Assumption_Hatchery!M18*Assumption_Hatchery!M189*(1+Assumption_Hatchery!$S166)</f>
        <v>104757.88863636363</v>
      </c>
      <c r="L16" s="33">
        <f>Assumption_Hatchery!N18*Assumption_Hatchery!N189</f>
        <v>101190.90909090909</v>
      </c>
      <c r="M16" s="33">
        <f>Assumption_Hatchery!O18*Assumption_Hatchery!O189</f>
        <v>101190.90909090909</v>
      </c>
      <c r="N16" s="137">
        <f>Assumption_Hatchery!P18*Assumption_Hatchery!P189*(1+Assumption_Hatchery!$S166)</f>
        <v>104757.88863636363</v>
      </c>
      <c r="O16" s="33">
        <f>Assumption_Hatchery!Q18*Assumption_Hatchery!Q189</f>
        <v>101190.90909090909</v>
      </c>
      <c r="P16" s="33">
        <f>Assumption_Hatchery!R18*Assumption_Hatchery!R189</f>
        <v>101190.90909090909</v>
      </c>
      <c r="Q16" s="137">
        <f>Assumption_Hatchery!S18*Assumption_Hatchery!S189*(1+Assumption_Hatchery!$S166)</f>
        <v>104757.88863636363</v>
      </c>
      <c r="R16" s="33">
        <f>Assumption_Hatchery!T18*Assumption_Hatchery!T189</f>
        <v>101190.90909090909</v>
      </c>
      <c r="S16" s="33">
        <f>Assumption_Hatchery!U18*Assumption_Hatchery!U189</f>
        <v>101190.90909090909</v>
      </c>
      <c r="T16" s="137">
        <f>Assumption_Hatchery!V18*Assumption_Hatchery!V189*(1+Assumption_Hatchery!$S166)</f>
        <v>104757.88863636363</v>
      </c>
      <c r="U16" s="33">
        <f>Assumption_Hatchery!W18*Assumption_Hatchery!W189</f>
        <v>101190.90909090909</v>
      </c>
      <c r="V16" s="33">
        <f>Assumption_Hatchery!X18*Assumption_Hatchery!X189</f>
        <v>101190.90909090909</v>
      </c>
      <c r="W16" s="137">
        <f>Assumption_Hatchery!Y18*Assumption_Hatchery!Y189*(1+Assumption_Hatchery!$S166)</f>
        <v>83806.310909090898</v>
      </c>
      <c r="X16" s="33">
        <f>Assumption_Hatchery!Z18*Assumption_Hatchery!Z189</f>
        <v>50595.454545454544</v>
      </c>
      <c r="Y16" s="33">
        <f>Assumption_Hatchery!AA18*Assumption_Hatchery!AA189</f>
        <v>10119.090909090908</v>
      </c>
      <c r="Z16" s="137">
        <f>Assumption_Hatchery!AB18*Assumption_Hatchery!AB189*(1+Assumption_Hatchery!$S166)</f>
        <v>0</v>
      </c>
    </row>
    <row r="17" spans="1:27" x14ac:dyDescent="0.25">
      <c r="A17" s="121" t="s">
        <v>35</v>
      </c>
      <c r="B17" s="33">
        <f>Assumption_Hatchery!D18*Assumption_Hatchery!D190</f>
        <v>0</v>
      </c>
      <c r="C17" s="33">
        <f>Assumption_Hatchery!E18*Assumption_Hatchery!E190</f>
        <v>20000</v>
      </c>
      <c r="D17" s="33">
        <f>Assumption_Hatchery!F18*Assumption_Hatchery!F190</f>
        <v>50000</v>
      </c>
      <c r="E17" s="137">
        <f>Assumption_Hatchery!G18*Assumption_Hatchery!G190*(1+Assumption_Hatchery!$S167)</f>
        <v>94547.249999999971</v>
      </c>
      <c r="F17" s="33">
        <f>Assumption_Hatchery!H18*Assumption_Hatchery!H190</f>
        <v>100000</v>
      </c>
      <c r="G17" s="33">
        <f>Assumption_Hatchery!I18*Assumption_Hatchery!I190</f>
        <v>100000</v>
      </c>
      <c r="H17" s="137">
        <f>Assumption_Hatchery!J18*Assumption_Hatchery!J190*(1+Assumption_Hatchery!$S167)</f>
        <v>105052.49999999997</v>
      </c>
      <c r="I17" s="33">
        <f>Assumption_Hatchery!K18*Assumption_Hatchery!K190</f>
        <v>100000</v>
      </c>
      <c r="J17" s="33">
        <f>Assumption_Hatchery!L18*Assumption_Hatchery!L190</f>
        <v>100000</v>
      </c>
      <c r="K17" s="137">
        <f>Assumption_Hatchery!M18*Assumption_Hatchery!M190*(1+Assumption_Hatchery!$S167)</f>
        <v>105052.49999999997</v>
      </c>
      <c r="L17" s="33">
        <f>Assumption_Hatchery!N18*Assumption_Hatchery!N190</f>
        <v>100000</v>
      </c>
      <c r="M17" s="33">
        <f>Assumption_Hatchery!O18*Assumption_Hatchery!O190</f>
        <v>100000</v>
      </c>
      <c r="N17" s="137">
        <f>Assumption_Hatchery!P18*Assumption_Hatchery!P190*(1+Assumption_Hatchery!$S167)</f>
        <v>105052.49999999997</v>
      </c>
      <c r="O17" s="33">
        <f>Assumption_Hatchery!Q18*Assumption_Hatchery!Q190</f>
        <v>100000</v>
      </c>
      <c r="P17" s="33">
        <f>Assumption_Hatchery!R18*Assumption_Hatchery!R190</f>
        <v>100000</v>
      </c>
      <c r="Q17" s="137">
        <f>Assumption_Hatchery!S18*Assumption_Hatchery!S190*(1+Assumption_Hatchery!$S167)</f>
        <v>105052.49999999997</v>
      </c>
      <c r="R17" s="33">
        <f>Assumption_Hatchery!T18*Assumption_Hatchery!T190</f>
        <v>100000</v>
      </c>
      <c r="S17" s="33">
        <f>Assumption_Hatchery!U18*Assumption_Hatchery!U190</f>
        <v>100000</v>
      </c>
      <c r="T17" s="137">
        <f>Assumption_Hatchery!V18*Assumption_Hatchery!V190*(1+Assumption_Hatchery!$S167)</f>
        <v>105052.49999999997</v>
      </c>
      <c r="U17" s="33">
        <f>Assumption_Hatchery!W18*Assumption_Hatchery!W190</f>
        <v>100000</v>
      </c>
      <c r="V17" s="33">
        <f>Assumption_Hatchery!X18*Assumption_Hatchery!X190</f>
        <v>100000</v>
      </c>
      <c r="W17" s="137">
        <f>Assumption_Hatchery!Y18*Assumption_Hatchery!Y190*(1+Assumption_Hatchery!$S167)</f>
        <v>84041.999999999985</v>
      </c>
      <c r="X17" s="33">
        <f>Assumption_Hatchery!Z18*Assumption_Hatchery!Z190</f>
        <v>50000</v>
      </c>
      <c r="Y17" s="33">
        <f>Assumption_Hatchery!AA18*Assumption_Hatchery!AA190</f>
        <v>10000</v>
      </c>
      <c r="Z17" s="137">
        <f>Assumption_Hatchery!AB18*Assumption_Hatchery!AB190*(1+Assumption_Hatchery!$S167)</f>
        <v>0</v>
      </c>
    </row>
    <row r="18" spans="1:27" x14ac:dyDescent="0.25">
      <c r="A18" s="9" t="s">
        <v>12</v>
      </c>
      <c r="B18" s="33">
        <f>Assumption_Hatchery!D18*Assumption_Hatchery!D191*Assumption_Hatchery!D192*(1+Assumption_Hatchery!D193)^Assumption_Hatchery!D182</f>
        <v>0</v>
      </c>
      <c r="C18" s="33">
        <f>Assumption_Hatchery!E18*Assumption_Hatchery!E191*Assumption_Hatchery!E192*(1+Assumption_Hatchery!E193)^Assumption_Hatchery!E182</f>
        <v>4100.6000000000004</v>
      </c>
      <c r="D18" s="33">
        <f>Assumption_Hatchery!F18*Assumption_Hatchery!F191*Assumption_Hatchery!F192*(1+Assumption_Hatchery!F193)^Assumption_Hatchery!F182</f>
        <v>10354.014999999999</v>
      </c>
      <c r="E18" s="33">
        <f>Assumption_Hatchery!G18*Assumption_Hatchery!G191*Assumption_Hatchery!G192*(1+Assumption_Hatchery!G193)^Assumption_Hatchery!G182</f>
        <v>18823.599269999999</v>
      </c>
      <c r="F18" s="33">
        <f>Assumption_Hatchery!H18*Assumption_Hatchery!H191*Assumption_Hatchery!H192*(1+Assumption_Hatchery!H193)^Assumption_Hatchery!H182</f>
        <v>21124.261403</v>
      </c>
      <c r="G18" s="33">
        <f>Assumption_Hatchery!I18*Assumption_Hatchery!I191*Assumption_Hatchery!I192*(1+Assumption_Hatchery!I193)^Assumption_Hatchery!I182</f>
        <v>21335.504017029998</v>
      </c>
      <c r="H18" s="33">
        <f>Assumption_Hatchery!J18*Assumption_Hatchery!J191*Assumption_Hatchery!J192*(1+Assumption_Hatchery!J193)^Assumption_Hatchery!J182</f>
        <v>21548.859057200301</v>
      </c>
      <c r="I18" s="33">
        <f>Assumption_Hatchery!K18*Assumption_Hatchery!K191*Assumption_Hatchery!K192*(1+Assumption_Hatchery!K193)^Assumption_Hatchery!K182</f>
        <v>21764.347647772298</v>
      </c>
      <c r="J18" s="33">
        <f>Assumption_Hatchery!L18*Assumption_Hatchery!L191*Assumption_Hatchery!L192*(1+Assumption_Hatchery!L193)^Assumption_Hatchery!L182</f>
        <v>21981.991124250027</v>
      </c>
      <c r="K18" s="33">
        <f>Assumption_Hatchery!M18*Assumption_Hatchery!M191*Assumption_Hatchery!M192*(1+Assumption_Hatchery!M193)^Assumption_Hatchery!M182</f>
        <v>22201.81103549253</v>
      </c>
      <c r="L18" s="33">
        <f>Assumption_Hatchery!N18*Assumption_Hatchery!N191*Assumption_Hatchery!N192*(1+Assumption_Hatchery!N193)^Assumption_Hatchery!N182</f>
        <v>22423.829145847456</v>
      </c>
      <c r="M18" s="33">
        <f>Assumption_Hatchery!O18*Assumption_Hatchery!O191*Assumption_Hatchery!O192*(1+Assumption_Hatchery!O193)^Assumption_Hatchery!O182</f>
        <v>22648.067437305926</v>
      </c>
      <c r="N18" s="33">
        <f>Assumption_Hatchery!P18*Assumption_Hatchery!P191*Assumption_Hatchery!P192*(1+Assumption_Hatchery!P193)^Assumption_Hatchery!P182</f>
        <v>22874.548111678985</v>
      </c>
      <c r="O18" s="33">
        <f>Assumption_Hatchery!Q18*Assumption_Hatchery!Q191*Assumption_Hatchery!Q192*(1+Assumption_Hatchery!Q193)^Assumption_Hatchery!Q182</f>
        <v>23103.293592795777</v>
      </c>
      <c r="P18" s="33">
        <f>Assumption_Hatchery!R18*Assumption_Hatchery!R191*Assumption_Hatchery!R192*(1+Assumption_Hatchery!R193)^Assumption_Hatchery!R182</f>
        <v>23334.326528723737</v>
      </c>
      <c r="Q18" s="33">
        <f>Assumption_Hatchery!S18*Assumption_Hatchery!S191*Assumption_Hatchery!S192*(1+Assumption_Hatchery!S193)^Assumption_Hatchery!S182</f>
        <v>23567.66979401097</v>
      </c>
      <c r="R18" s="33">
        <f>Assumption_Hatchery!T18*Assumption_Hatchery!T191*Assumption_Hatchery!T192*(1+Assumption_Hatchery!T193)^Assumption_Hatchery!T182</f>
        <v>23803.346491951084</v>
      </c>
      <c r="S18" s="33">
        <f>Assumption_Hatchery!U18*Assumption_Hatchery!U191*Assumption_Hatchery!U192*(1+Assumption_Hatchery!U193)^Assumption_Hatchery!U182</f>
        <v>24041.379956870598</v>
      </c>
      <c r="T18" s="33">
        <f>Assumption_Hatchery!V18*Assumption_Hatchery!V191*Assumption_Hatchery!V192*(1+Assumption_Hatchery!V193)^Assumption_Hatchery!V182</f>
        <v>24281.793756439303</v>
      </c>
      <c r="U18" s="33">
        <f>Assumption_Hatchery!W18*Assumption_Hatchery!W191*Assumption_Hatchery!W192*(1+Assumption_Hatchery!W193)^Assumption_Hatchery!W182</f>
        <v>24524.611694003692</v>
      </c>
      <c r="V18" s="33">
        <f>Assumption_Hatchery!X18*Assumption_Hatchery!X191*Assumption_Hatchery!X192*(1+Assumption_Hatchery!X193)^Assumption_Hatchery!X182</f>
        <v>24769.857810943729</v>
      </c>
      <c r="W18" s="33">
        <f>Assumption_Hatchery!Y18*Assumption_Hatchery!Y191*Assumption_Hatchery!Y192*(1+Assumption_Hatchery!Y193)^Assumption_Hatchery!Y182</f>
        <v>20014.045111242533</v>
      </c>
      <c r="X18" s="33">
        <f>Assumption_Hatchery!Z18*Assumption_Hatchery!Z191*Assumption_Hatchery!Z192*(1+Assumption_Hatchery!Z193)^Assumption_Hatchery!Z182</f>
        <v>12633.865976471852</v>
      </c>
      <c r="Y18" s="33">
        <f>Assumption_Hatchery!AA18*Assumption_Hatchery!AA191*Assumption_Hatchery!AA192*(1+Assumption_Hatchery!AA193)^Assumption_Hatchery!AA182</f>
        <v>2552.0409272473134</v>
      </c>
      <c r="Z18" s="33">
        <f>Assumption_Hatchery!AB18*Assumption_Hatchery!AB191*Assumption_Hatchery!AB192*(1+Assumption_Hatchery!AB193)^Assumption_Hatchery!AB182</f>
        <v>0</v>
      </c>
    </row>
    <row r="19" spans="1:27" s="50" customFormat="1" x14ac:dyDescent="0.25">
      <c r="A19" s="52" t="s">
        <v>131</v>
      </c>
      <c r="B19" s="49">
        <f>Assumption_Hatchery!D43</f>
        <v>0</v>
      </c>
      <c r="C19" s="49">
        <f>Assumption_Hatchery!E43</f>
        <v>0</v>
      </c>
      <c r="D19" s="49">
        <f>Assumption_Hatchery!F43</f>
        <v>133200</v>
      </c>
      <c r="E19" s="49">
        <f>Assumption_Hatchery!G43</f>
        <v>311400</v>
      </c>
      <c r="F19" s="49">
        <f>Assumption_Hatchery!H43</f>
        <v>433800</v>
      </c>
      <c r="G19" s="49">
        <f>Assumption_Hatchery!I43</f>
        <v>289800</v>
      </c>
      <c r="H19" s="49">
        <f>Assumption_Hatchery!J43</f>
        <v>55800</v>
      </c>
      <c r="I19" s="49">
        <f>Assumption_Hatchery!K43</f>
        <v>0</v>
      </c>
      <c r="J19" s="49">
        <f>Assumption_Hatchery!L43</f>
        <v>0</v>
      </c>
      <c r="K19" s="49">
        <f>Assumption_Hatchery!M43</f>
        <v>0</v>
      </c>
      <c r="L19" s="49">
        <f>Assumption_Hatchery!N43</f>
        <v>0</v>
      </c>
      <c r="M19" s="49">
        <f>Assumption_Hatchery!O43</f>
        <v>0</v>
      </c>
      <c r="N19" s="49">
        <f>Assumption_Hatchery!P43</f>
        <v>0</v>
      </c>
      <c r="O19" s="49">
        <f>Assumption_Hatchery!Q43</f>
        <v>0</v>
      </c>
      <c r="P19" s="49">
        <f>Assumption_Hatchery!R43</f>
        <v>0</v>
      </c>
      <c r="Q19" s="49">
        <f>Assumption_Hatchery!S43</f>
        <v>0</v>
      </c>
      <c r="R19" s="49">
        <f>Assumption_Hatchery!T43</f>
        <v>0</v>
      </c>
      <c r="S19" s="49">
        <f>Assumption_Hatchery!U43</f>
        <v>0</v>
      </c>
      <c r="T19" s="49">
        <f>Assumption_Hatchery!V43</f>
        <v>0</v>
      </c>
      <c r="U19" s="49">
        <f>Assumption_Hatchery!W43</f>
        <v>0</v>
      </c>
      <c r="V19" s="49">
        <f>Assumption_Hatchery!X43</f>
        <v>0</v>
      </c>
      <c r="W19" s="49">
        <f>Assumption_Hatchery!Y43</f>
        <v>0</v>
      </c>
      <c r="X19" s="49">
        <f>Assumption_Hatchery!Z43</f>
        <v>0</v>
      </c>
      <c r="Y19" s="49">
        <f>Assumption_Hatchery!AA43</f>
        <v>0</v>
      </c>
      <c r="Z19" s="49">
        <f>Assumption_Hatchery!AB43</f>
        <v>0</v>
      </c>
    </row>
    <row r="20" spans="1:27" x14ac:dyDescent="0.25">
      <c r="A20" s="117" t="s">
        <v>54</v>
      </c>
      <c r="B20" s="37">
        <f>SUM(B11:B19)</f>
        <v>0</v>
      </c>
      <c r="C20" s="37">
        <f t="shared" ref="C20:Z20" si="1">SUM(C11:C19)</f>
        <v>165338.78181818183</v>
      </c>
      <c r="D20" s="37">
        <f t="shared" si="1"/>
        <v>451649.46954545454</v>
      </c>
      <c r="E20" s="37">
        <f t="shared" si="1"/>
        <v>836312.19904272724</v>
      </c>
      <c r="F20" s="37">
        <f t="shared" si="1"/>
        <v>846115.17049390904</v>
      </c>
      <c r="G20" s="37">
        <f t="shared" si="1"/>
        <v>664826.41310793906</v>
      </c>
      <c r="H20" s="37">
        <f t="shared" si="1"/>
        <v>449447.99769356387</v>
      </c>
      <c r="I20" s="37">
        <f t="shared" si="1"/>
        <v>377955.25673868135</v>
      </c>
      <c r="J20" s="37">
        <f t="shared" si="1"/>
        <v>378172.90021515911</v>
      </c>
      <c r="K20" s="37">
        <f t="shared" si="1"/>
        <v>394300.94967185607</v>
      </c>
      <c r="L20" s="37">
        <f t="shared" si="1"/>
        <v>378614.73823675653</v>
      </c>
      <c r="M20" s="37">
        <f t="shared" si="1"/>
        <v>378838.97652821499</v>
      </c>
      <c r="N20" s="37">
        <f t="shared" si="1"/>
        <v>394973.68674804253</v>
      </c>
      <c r="O20" s="37">
        <f t="shared" si="1"/>
        <v>379294.20268370485</v>
      </c>
      <c r="P20" s="37">
        <f t="shared" si="1"/>
        <v>379525.23561963282</v>
      </c>
      <c r="Q20" s="37">
        <f t="shared" si="1"/>
        <v>395666.80843037454</v>
      </c>
      <c r="R20" s="37">
        <f t="shared" si="1"/>
        <v>379994.25558286015</v>
      </c>
      <c r="S20" s="37">
        <f t="shared" si="1"/>
        <v>380232.28904777963</v>
      </c>
      <c r="T20" s="37">
        <f t="shared" si="1"/>
        <v>396380.93239280285</v>
      </c>
      <c r="U20" s="37">
        <f t="shared" si="1"/>
        <v>380715.52078491275</v>
      </c>
      <c r="V20" s="37">
        <f t="shared" si="1"/>
        <v>380960.7669018528</v>
      </c>
      <c r="W20" s="37">
        <f t="shared" si="1"/>
        <v>328097.10602033342</v>
      </c>
      <c r="X20" s="37">
        <f t="shared" si="1"/>
        <v>215729.32052192639</v>
      </c>
      <c r="Y20" s="37">
        <f t="shared" si="1"/>
        <v>73171.131836338231</v>
      </c>
      <c r="Z20" s="37">
        <f t="shared" si="1"/>
        <v>26009.374999999993</v>
      </c>
    </row>
    <row r="21" spans="1:27" x14ac:dyDescent="0.25">
      <c r="B21" s="32"/>
      <c r="C21" s="32"/>
      <c r="D21" s="32"/>
      <c r="E21" s="32"/>
      <c r="F21" s="32"/>
      <c r="G21" s="32"/>
      <c r="H21" s="32"/>
      <c r="I21" s="32"/>
      <c r="J21" s="32"/>
      <c r="K21" s="32"/>
      <c r="L21" s="32"/>
    </row>
    <row r="22" spans="1:27" x14ac:dyDescent="0.25">
      <c r="A22" s="23" t="s">
        <v>55</v>
      </c>
      <c r="B22" s="34">
        <f>B8-B20</f>
        <v>0</v>
      </c>
      <c r="C22" s="34">
        <f t="shared" ref="C22:Z22" si="2">C8-C20</f>
        <v>-165338.78181818183</v>
      </c>
      <c r="D22" s="34">
        <f t="shared" si="2"/>
        <v>-230564.46954545451</v>
      </c>
      <c r="E22" s="34">
        <f t="shared" si="2"/>
        <v>-460336.15346772724</v>
      </c>
      <c r="F22" s="34">
        <f t="shared" si="2"/>
        <v>-386081.50249390898</v>
      </c>
      <c r="G22" s="34">
        <f t="shared" si="2"/>
        <v>-195592.07174793899</v>
      </c>
      <c r="H22" s="34">
        <f t="shared" si="2"/>
        <v>-6127.1228351697791</v>
      </c>
      <c r="I22" s="34">
        <f t="shared" si="2"/>
        <v>110236.15201226267</v>
      </c>
      <c r="J22" s="34">
        <f t="shared" si="2"/>
        <v>119782.33671080379</v>
      </c>
      <c r="K22" s="34">
        <f t="shared" si="2"/>
        <v>76154.709294870496</v>
      </c>
      <c r="L22" s="34">
        <f t="shared" si="2"/>
        <v>139457.89026101533</v>
      </c>
      <c r="M22" s="34">
        <f t="shared" si="2"/>
        <v>149595.10453951219</v>
      </c>
      <c r="N22" s="34">
        <f t="shared" si="2"/>
        <v>104277.62219271949</v>
      </c>
      <c r="O22" s="34">
        <f t="shared" si="2"/>
        <v>170488.6152591586</v>
      </c>
      <c r="P22" s="34">
        <f t="shared" si="2"/>
        <v>181253.23868208792</v>
      </c>
      <c r="Q22" s="34">
        <f t="shared" si="2"/>
        <v>134142.67462803348</v>
      </c>
      <c r="R22" s="34">
        <f t="shared" si="2"/>
        <v>203439.66908065003</v>
      </c>
      <c r="S22" s="34">
        <f t="shared" si="2"/>
        <v>214870.31410900084</v>
      </c>
      <c r="T22" s="34">
        <f t="shared" si="2"/>
        <v>165857.12950464437</v>
      </c>
      <c r="U22" s="34">
        <f t="shared" si="2"/>
        <v>238429.2275394015</v>
      </c>
      <c r="V22" s="34">
        <f t="shared" si="2"/>
        <v>250566.87638894783</v>
      </c>
      <c r="W22" s="34">
        <f t="shared" si="2"/>
        <v>165849.11733171938</v>
      </c>
      <c r="X22" s="34">
        <f t="shared" si="2"/>
        <v>142791.35951794812</v>
      </c>
      <c r="Y22" s="34">
        <f t="shared" si="2"/>
        <v>33847.086891796149</v>
      </c>
      <c r="Z22" s="34">
        <f t="shared" si="2"/>
        <v>-17696.874999999993</v>
      </c>
    </row>
    <row r="23" spans="1:27" x14ac:dyDescent="0.25">
      <c r="A23" s="23"/>
      <c r="B23" s="344"/>
      <c r="C23" s="344"/>
      <c r="D23" s="344"/>
      <c r="E23" s="344"/>
      <c r="F23" s="344"/>
      <c r="G23" s="344"/>
      <c r="H23" s="344"/>
      <c r="I23" s="344"/>
      <c r="J23" s="344"/>
      <c r="K23" s="344"/>
      <c r="L23" s="344"/>
      <c r="M23" s="344"/>
      <c r="N23" s="344"/>
      <c r="O23" s="344"/>
      <c r="P23" s="344"/>
      <c r="Q23" s="344"/>
      <c r="R23" s="344"/>
      <c r="S23" s="344"/>
      <c r="T23" s="344"/>
      <c r="U23" s="344"/>
      <c r="V23" s="344"/>
      <c r="W23" s="344"/>
      <c r="X23" s="344"/>
      <c r="Y23" s="344"/>
      <c r="Z23" s="344"/>
      <c r="AA23" s="12"/>
    </row>
    <row r="24" spans="1:27" x14ac:dyDescent="0.25">
      <c r="A24" s="10" t="s">
        <v>319</v>
      </c>
      <c r="B24" s="345">
        <f>B8/(1+Assumption_Hatchery!$C76)^B4</f>
        <v>0</v>
      </c>
      <c r="C24" s="345">
        <f>C8/(1+Assumption_Hatchery!$C76)^C4</f>
        <v>0</v>
      </c>
      <c r="D24" s="345">
        <f>D8/(1+Assumption_Hatchery!$C76)^D4</f>
        <v>196764.86294054825</v>
      </c>
      <c r="E24" s="345">
        <f>E8/(1+Assumption_Hatchery!$C76)^E4</f>
        <v>315676.73782300146</v>
      </c>
      <c r="F24" s="345">
        <f>F8/(1+Assumption_Hatchery!$C76)^F4</f>
        <v>364389.75329894334</v>
      </c>
      <c r="G24" s="345">
        <f>G8/(1+Assumption_Hatchery!$C76)^G4</f>
        <v>350639.19657068129</v>
      </c>
      <c r="H24" s="345">
        <f>H8/(1+Assumption_Hatchery!$C76)^H4</f>
        <v>312523.72352836363</v>
      </c>
      <c r="I24" s="345">
        <f>I8/(1+Assumption_Hatchery!$C76)^I4</f>
        <v>324675.16919912485</v>
      </c>
      <c r="J24" s="345">
        <f>J8/(1+Assumption_Hatchery!$C76)^J4</f>
        <v>312423.27602179942</v>
      </c>
      <c r="K24" s="345">
        <f>K8/(1+Assumption_Hatchery!$C76)^K4</f>
        <v>278461.9817014109</v>
      </c>
      <c r="L24" s="345">
        <f>L8/(1+Assumption_Hatchery!$C76)^L4</f>
        <v>289289.04981584207</v>
      </c>
      <c r="M24" s="345">
        <f>M8/(1+Assumption_Hatchery!$C76)^M4</f>
        <v>278372.48189826298</v>
      </c>
      <c r="N24" s="345">
        <f>N8/(1+Assumption_Hatchery!$C76)^N4</f>
        <v>248112.60526927497</v>
      </c>
      <c r="O24" s="345">
        <f>O8/(1+Assumption_Hatchery!$C76)^O4</f>
        <v>257759.63881003277</v>
      </c>
      <c r="P24" s="345">
        <f>P8/(1+Assumption_Hatchery!$C76)^P4</f>
        <v>248032.85998701269</v>
      </c>
      <c r="Q24" s="345">
        <f>Q8/(1+Assumption_Hatchery!$C76)^Q4</f>
        <v>221070.98612663185</v>
      </c>
      <c r="R24" s="345">
        <f>R8/(1+Assumption_Hatchery!$C76)^R4</f>
        <v>229666.59623574934</v>
      </c>
      <c r="S24" s="345">
        <f>S8/(1+Assumption_Hatchery!$C76)^S4</f>
        <v>220999.93222685315</v>
      </c>
      <c r="T24" s="345">
        <f>T8/(1+Assumption_Hatchery!$C76)^T4</f>
        <v>196976.61412228789</v>
      </c>
      <c r="U24" s="345">
        <f>U8/(1+Assumption_Hatchery!$C76)^U4</f>
        <v>204635.39470346915</v>
      </c>
      <c r="V24" s="345">
        <f>V8/(1+Assumption_Hatchery!$C76)^V4</f>
        <v>196913.30433730053</v>
      </c>
      <c r="W24" s="345">
        <f>W8/(1+Assumption_Hatchery!$C76)^W4</f>
        <v>145296.95025349015</v>
      </c>
      <c r="X24" s="345">
        <f>X8/(1+Assumption_Hatchery!$C76)^X4</f>
        <v>99491.316058068929</v>
      </c>
      <c r="Y24" s="345">
        <f>Y8/(1+Assumption_Hatchery!$C76)^Y4</f>
        <v>28017.076565185653</v>
      </c>
      <c r="Z24" s="345">
        <f>Z8/(1+Assumption_Hatchery!$C76)^Z4</f>
        <v>2053.0091830274469</v>
      </c>
      <c r="AA24" s="343">
        <f>SUM(B24:Z24)</f>
        <v>5322242.5166763645</v>
      </c>
    </row>
    <row r="25" spans="1:27" s="12" customFormat="1" x14ac:dyDescent="0.25">
      <c r="A25" s="10" t="s">
        <v>320</v>
      </c>
      <c r="B25" s="346">
        <f>B20/(1+Assumption_Hatchery!$C76)^BaU_Hatchery!B4</f>
        <v>0</v>
      </c>
      <c r="C25" s="346">
        <f>C20/(1+Assumption_Hatchery!$C76)^BaU_Hatchery!C4</f>
        <v>155979.98284734134</v>
      </c>
      <c r="D25" s="346">
        <f>D20/(1+Assumption_Hatchery!$C76)^BaU_Hatchery!D4</f>
        <v>401966.42002977437</v>
      </c>
      <c r="E25" s="346">
        <f>E20/(1+Assumption_Hatchery!$C76)^BaU_Hatchery!E4</f>
        <v>702183.84895142214</v>
      </c>
      <c r="F25" s="346">
        <f>F20/(1+Assumption_Hatchery!$C76)^BaU_Hatchery!F4</f>
        <v>670202.46491778258</v>
      </c>
      <c r="G25" s="346">
        <f>G20/(1+Assumption_Hatchery!$C76)^BaU_Hatchery!G4</f>
        <v>496796.9707321329</v>
      </c>
      <c r="H25" s="346">
        <f>H20/(1+Assumption_Hatchery!$C76)^BaU_Hatchery!H4</f>
        <v>316843.10335358517</v>
      </c>
      <c r="I25" s="346">
        <f>I20/(1+Assumption_Hatchery!$C76)^BaU_Hatchery!I4</f>
        <v>251361.83212501637</v>
      </c>
      <c r="J25" s="346">
        <f>J20/(1+Assumption_Hatchery!$C76)^BaU_Hatchery!J4</f>
        <v>237270.35610120892</v>
      </c>
      <c r="K25" s="346">
        <f>K20/(1+Assumption_Hatchery!$C76)^BaU_Hatchery!K4</f>
        <v>233386.12627920133</v>
      </c>
      <c r="L25" s="346">
        <f>L20/(1+Assumption_Hatchery!$C76)^BaU_Hatchery!L4</f>
        <v>211416.49229448941</v>
      </c>
      <c r="M25" s="346">
        <f>M20/(1+Assumption_Hatchery!$C76)^BaU_Hatchery!M4</f>
        <v>199567.64696719259</v>
      </c>
      <c r="N25" s="346">
        <f>N20/(1+Assumption_Hatchery!$C76)^BaU_Hatchery!N4</f>
        <v>196289.82173283625</v>
      </c>
      <c r="O25" s="346">
        <f>O20/(1+Assumption_Hatchery!$C76)^BaU_Hatchery!O4</f>
        <v>177827.92312845908</v>
      </c>
      <c r="P25" s="346">
        <f>P20/(1+Assumption_Hatchery!$C76)^BaU_Hatchery!P4</f>
        <v>167864.37772098617</v>
      </c>
      <c r="Q25" s="346">
        <f>Q20/(1+Assumption_Hatchery!$C76)^BaU_Hatchery!Q4</f>
        <v>165097.93485073766</v>
      </c>
      <c r="R25" s="346">
        <f>R20/(1+Assumption_Hatchery!$C76)^BaU_Hatchery!R4</f>
        <v>149583.32654239493</v>
      </c>
      <c r="S25" s="346">
        <f>S20/(1+Assumption_Hatchery!$C76)^BaU_Hatchery!S4</f>
        <v>141204.74295401861</v>
      </c>
      <c r="T25" s="346">
        <f>T20/(1+Assumption_Hatchery!$C76)^BaU_Hatchery!T4</f>
        <v>138869.59858582338</v>
      </c>
      <c r="U25" s="346">
        <f>U20/(1+Assumption_Hatchery!$C76)^BaU_Hatchery!U4</f>
        <v>125831.43291841104</v>
      </c>
      <c r="V25" s="346">
        <f>V20/(1+Assumption_Hatchery!$C76)^BaU_Hatchery!V4</f>
        <v>118785.36787814542</v>
      </c>
      <c r="W25" s="346">
        <f>W20/(1+Assumption_Hatchery!$C76)^BaU_Hatchery!W4</f>
        <v>96511.536353570453</v>
      </c>
      <c r="X25" s="346">
        <f>X20/(1+Assumption_Hatchery!$C76)^BaU_Hatchery!X4</f>
        <v>59865.985997383214</v>
      </c>
      <c r="Y25" s="346">
        <f>Y20/(1+Assumption_Hatchery!$C76)^BaU_Hatchery!Y4</f>
        <v>19156.00191615822</v>
      </c>
      <c r="Z25" s="346">
        <f>Z20/(1+Assumption_Hatchery!$C76)^BaU_Hatchery!Z4</f>
        <v>6423.7576805779836</v>
      </c>
      <c r="AA25" s="343">
        <f>SUM(B25:Z25)</f>
        <v>5440287.0528586498</v>
      </c>
    </row>
    <row r="26" spans="1:27" x14ac:dyDescent="0.25">
      <c r="B26" s="32"/>
      <c r="C26" s="32"/>
      <c r="D26" s="32"/>
      <c r="E26" s="32"/>
      <c r="F26" s="32"/>
      <c r="G26" s="32"/>
      <c r="H26" s="32"/>
      <c r="I26" s="32"/>
      <c r="J26" s="32"/>
      <c r="K26" s="32"/>
      <c r="L26" s="32"/>
      <c r="AA26" s="12"/>
    </row>
    <row r="27" spans="1:27" s="12" customFormat="1" x14ac:dyDescent="0.25">
      <c r="A27" s="25" t="s">
        <v>318</v>
      </c>
      <c r="B27" s="35">
        <f>NPV(Assumption_Hatchery!C76,C22:Z22)+B22</f>
        <v>-118044.53618228683</v>
      </c>
      <c r="C27" s="40"/>
      <c r="D27" s="40"/>
      <c r="E27" s="40"/>
      <c r="F27" s="40"/>
      <c r="G27" s="40"/>
      <c r="H27" s="40"/>
      <c r="I27" s="40"/>
      <c r="J27" s="40"/>
      <c r="K27" s="40"/>
      <c r="L27" s="40"/>
    </row>
    <row r="29" spans="1:27" s="12" customFormat="1" x14ac:dyDescent="0.25">
      <c r="A29" s="25" t="s">
        <v>238</v>
      </c>
      <c r="B29" s="36">
        <f>IRR(B22:Z22)</f>
        <v>5.0368166227766631E-2</v>
      </c>
      <c r="C29" s="4"/>
      <c r="D29" s="4"/>
      <c r="E29" s="4"/>
      <c r="F29" s="4"/>
      <c r="G29" s="4"/>
      <c r="H29" s="4"/>
      <c r="I29" s="4"/>
      <c r="J29" s="4"/>
      <c r="K29" s="4"/>
      <c r="L29" s="4"/>
    </row>
    <row r="32" spans="1:27" s="1" customFormat="1" x14ac:dyDescent="0.25">
      <c r="A32" s="24"/>
      <c r="B32" s="42"/>
      <c r="C32" s="42"/>
      <c r="D32" s="42"/>
      <c r="E32" s="42"/>
      <c r="F32" s="42"/>
      <c r="G32" s="42"/>
      <c r="H32" s="42"/>
      <c r="I32" s="42"/>
      <c r="J32" s="42"/>
      <c r="K32" s="42"/>
      <c r="L32" s="42"/>
    </row>
    <row r="34" spans="1:26" ht="38.25" customHeight="1" x14ac:dyDescent="0.25">
      <c r="A34" s="11" t="s">
        <v>332</v>
      </c>
      <c r="B34" s="30"/>
      <c r="C34" s="69"/>
      <c r="D34" s="70"/>
      <c r="E34" s="30"/>
      <c r="F34" s="116" t="s">
        <v>90</v>
      </c>
      <c r="G34" s="30"/>
      <c r="H34" s="30"/>
      <c r="I34" s="30"/>
      <c r="J34" s="30"/>
      <c r="K34" s="30"/>
      <c r="L34" s="30"/>
      <c r="M34" s="11"/>
    </row>
    <row r="35" spans="1:26" ht="38.25" customHeight="1" x14ac:dyDescent="0.25">
      <c r="A35" s="11"/>
      <c r="B35" s="30"/>
      <c r="C35" s="69"/>
      <c r="D35" s="70"/>
      <c r="E35" s="30"/>
      <c r="F35" s="116"/>
      <c r="G35" s="30"/>
      <c r="H35" s="30"/>
      <c r="I35" s="30"/>
      <c r="J35" s="30"/>
      <c r="K35" s="30"/>
      <c r="L35" s="30"/>
      <c r="M35" s="11"/>
    </row>
    <row r="36" spans="1:26" x14ac:dyDescent="0.25">
      <c r="A36" s="10" t="s">
        <v>19</v>
      </c>
      <c r="B36" s="26">
        <v>0</v>
      </c>
      <c r="C36" s="26">
        <v>1</v>
      </c>
      <c r="D36" s="26">
        <v>2</v>
      </c>
      <c r="E36" s="26">
        <v>3</v>
      </c>
      <c r="F36" s="26">
        <v>4</v>
      </c>
      <c r="G36" s="26">
        <v>5</v>
      </c>
      <c r="H36" s="26">
        <v>6</v>
      </c>
      <c r="I36" s="26">
        <v>7</v>
      </c>
      <c r="J36" s="26">
        <v>8</v>
      </c>
      <c r="K36" s="26">
        <v>9</v>
      </c>
      <c r="L36" s="26">
        <v>10</v>
      </c>
      <c r="M36" s="26">
        <v>11</v>
      </c>
      <c r="N36" s="26">
        <v>12</v>
      </c>
      <c r="O36" s="26">
        <v>13</v>
      </c>
      <c r="P36" s="26">
        <v>14</v>
      </c>
      <c r="Q36" s="26">
        <v>15</v>
      </c>
      <c r="R36" s="26">
        <v>16</v>
      </c>
      <c r="S36" s="26">
        <v>17</v>
      </c>
      <c r="T36" s="26">
        <v>18</v>
      </c>
      <c r="U36" s="26">
        <v>19</v>
      </c>
      <c r="V36" s="26">
        <v>20</v>
      </c>
      <c r="W36" s="26">
        <v>21</v>
      </c>
      <c r="X36" s="26">
        <v>22</v>
      </c>
      <c r="Y36" s="26">
        <v>23</v>
      </c>
      <c r="Z36" s="26">
        <v>24</v>
      </c>
    </row>
    <row r="37" spans="1:26" x14ac:dyDescent="0.25">
      <c r="A37" s="23" t="s">
        <v>3</v>
      </c>
    </row>
    <row r="38" spans="1:26" x14ac:dyDescent="0.25">
      <c r="A38" s="10" t="s">
        <v>51</v>
      </c>
      <c r="B38" s="31">
        <f t="shared" ref="B38:Z38" si="3">B6</f>
        <v>0</v>
      </c>
      <c r="C38" s="31">
        <f t="shared" si="3"/>
        <v>0</v>
      </c>
      <c r="D38" s="31">
        <f t="shared" si="3"/>
        <v>221085.00000000003</v>
      </c>
      <c r="E38" s="31">
        <f t="shared" si="3"/>
        <v>375976.045575</v>
      </c>
      <c r="F38" s="31">
        <f t="shared" si="3"/>
        <v>460033.66800000006</v>
      </c>
      <c r="G38" s="31">
        <f t="shared" si="3"/>
        <v>469234.34136000008</v>
      </c>
      <c r="H38" s="31">
        <f t="shared" si="3"/>
        <v>443320.87485839409</v>
      </c>
      <c r="I38" s="31">
        <f t="shared" si="3"/>
        <v>488191.40875094401</v>
      </c>
      <c r="J38" s="31">
        <f t="shared" si="3"/>
        <v>497955.2369259629</v>
      </c>
      <c r="K38" s="31">
        <f t="shared" si="3"/>
        <v>470455.65896672657</v>
      </c>
      <c r="L38" s="31">
        <f t="shared" si="3"/>
        <v>518072.62849777186</v>
      </c>
      <c r="M38" s="31">
        <f t="shared" si="3"/>
        <v>528434.08106772718</v>
      </c>
      <c r="N38" s="31">
        <f t="shared" si="3"/>
        <v>499251.30894076201</v>
      </c>
      <c r="O38" s="31">
        <f t="shared" si="3"/>
        <v>549782.81794286345</v>
      </c>
      <c r="P38" s="31">
        <f t="shared" si="3"/>
        <v>560778.47430172074</v>
      </c>
      <c r="Q38" s="31">
        <f t="shared" si="3"/>
        <v>529809.48305840802</v>
      </c>
      <c r="R38" s="31">
        <f t="shared" si="3"/>
        <v>583433.92466351017</v>
      </c>
      <c r="S38" s="31">
        <f t="shared" si="3"/>
        <v>595102.60315678047</v>
      </c>
      <c r="T38" s="31">
        <f t="shared" si="3"/>
        <v>562238.06189744722</v>
      </c>
      <c r="U38" s="31">
        <f t="shared" si="3"/>
        <v>619144.74832431425</v>
      </c>
      <c r="V38" s="31">
        <f t="shared" si="3"/>
        <v>631527.64329080062</v>
      </c>
      <c r="W38" s="31">
        <f t="shared" si="3"/>
        <v>477321.2233520528</v>
      </c>
      <c r="X38" s="31">
        <f t="shared" si="3"/>
        <v>328520.68003987451</v>
      </c>
      <c r="Y38" s="31">
        <f t="shared" si="3"/>
        <v>67018.218728134379</v>
      </c>
      <c r="Z38" s="31">
        <f t="shared" si="3"/>
        <v>0</v>
      </c>
    </row>
    <row r="39" spans="1:26" x14ac:dyDescent="0.25">
      <c r="A39" s="10" t="s">
        <v>52</v>
      </c>
      <c r="B39" s="31">
        <f t="shared" ref="B39:Z39" si="4">B7</f>
        <v>0</v>
      </c>
      <c r="C39" s="31">
        <f t="shared" si="4"/>
        <v>0</v>
      </c>
      <c r="D39" s="31">
        <f t="shared" si="4"/>
        <v>0</v>
      </c>
      <c r="E39" s="31">
        <f t="shared" si="4"/>
        <v>0</v>
      </c>
      <c r="F39" s="31">
        <f t="shared" si="4"/>
        <v>0</v>
      </c>
      <c r="G39" s="31">
        <f t="shared" si="4"/>
        <v>0</v>
      </c>
      <c r="H39" s="31">
        <f t="shared" si="4"/>
        <v>0</v>
      </c>
      <c r="I39" s="31">
        <f t="shared" si="4"/>
        <v>0</v>
      </c>
      <c r="J39" s="31">
        <f t="shared" si="4"/>
        <v>0</v>
      </c>
      <c r="K39" s="31">
        <f t="shared" si="4"/>
        <v>0</v>
      </c>
      <c r="L39" s="31">
        <f t="shared" si="4"/>
        <v>0</v>
      </c>
      <c r="M39" s="31">
        <f t="shared" si="4"/>
        <v>0</v>
      </c>
      <c r="N39" s="31">
        <f t="shared" si="4"/>
        <v>0</v>
      </c>
      <c r="O39" s="31">
        <f t="shared" si="4"/>
        <v>0</v>
      </c>
      <c r="P39" s="31">
        <f t="shared" si="4"/>
        <v>0</v>
      </c>
      <c r="Q39" s="31">
        <f t="shared" si="4"/>
        <v>0</v>
      </c>
      <c r="R39" s="31">
        <f t="shared" si="4"/>
        <v>0</v>
      </c>
      <c r="S39" s="31">
        <f t="shared" si="4"/>
        <v>0</v>
      </c>
      <c r="T39" s="31">
        <f t="shared" si="4"/>
        <v>0</v>
      </c>
      <c r="U39" s="31">
        <f t="shared" si="4"/>
        <v>0</v>
      </c>
      <c r="V39" s="31">
        <f t="shared" si="4"/>
        <v>0</v>
      </c>
      <c r="W39" s="31">
        <f t="shared" si="4"/>
        <v>16625</v>
      </c>
      <c r="X39" s="31">
        <f t="shared" si="4"/>
        <v>30000</v>
      </c>
      <c r="Y39" s="31">
        <f t="shared" si="4"/>
        <v>40000</v>
      </c>
      <c r="Z39" s="31">
        <f t="shared" si="4"/>
        <v>8312.5</v>
      </c>
    </row>
    <row r="40" spans="1:26" s="12" customFormat="1" x14ac:dyDescent="0.25">
      <c r="A40" s="23" t="s">
        <v>53</v>
      </c>
      <c r="B40" s="38">
        <f t="shared" ref="B40:Z40" si="5">(B38+B39)</f>
        <v>0</v>
      </c>
      <c r="C40" s="38">
        <f t="shared" si="5"/>
        <v>0</v>
      </c>
      <c r="D40" s="38">
        <f t="shared" si="5"/>
        <v>221085.00000000003</v>
      </c>
      <c r="E40" s="38">
        <f t="shared" si="5"/>
        <v>375976.045575</v>
      </c>
      <c r="F40" s="38">
        <f t="shared" si="5"/>
        <v>460033.66800000006</v>
      </c>
      <c r="G40" s="38">
        <f t="shared" si="5"/>
        <v>469234.34136000008</v>
      </c>
      <c r="H40" s="38">
        <f t="shared" si="5"/>
        <v>443320.87485839409</v>
      </c>
      <c r="I40" s="38">
        <f t="shared" si="5"/>
        <v>488191.40875094401</v>
      </c>
      <c r="J40" s="38">
        <f t="shared" si="5"/>
        <v>497955.2369259629</v>
      </c>
      <c r="K40" s="38">
        <f t="shared" si="5"/>
        <v>470455.65896672657</v>
      </c>
      <c r="L40" s="38">
        <f t="shared" si="5"/>
        <v>518072.62849777186</v>
      </c>
      <c r="M40" s="38">
        <f t="shared" si="5"/>
        <v>528434.08106772718</v>
      </c>
      <c r="N40" s="38">
        <f t="shared" si="5"/>
        <v>499251.30894076201</v>
      </c>
      <c r="O40" s="38">
        <f t="shared" si="5"/>
        <v>549782.81794286345</v>
      </c>
      <c r="P40" s="38">
        <f t="shared" si="5"/>
        <v>560778.47430172074</v>
      </c>
      <c r="Q40" s="38">
        <f t="shared" si="5"/>
        <v>529809.48305840802</v>
      </c>
      <c r="R40" s="38">
        <f t="shared" si="5"/>
        <v>583433.92466351017</v>
      </c>
      <c r="S40" s="38">
        <f t="shared" si="5"/>
        <v>595102.60315678047</v>
      </c>
      <c r="T40" s="38">
        <f t="shared" si="5"/>
        <v>562238.06189744722</v>
      </c>
      <c r="U40" s="38">
        <f t="shared" si="5"/>
        <v>619144.74832431425</v>
      </c>
      <c r="V40" s="38">
        <f t="shared" si="5"/>
        <v>631527.64329080062</v>
      </c>
      <c r="W40" s="38">
        <f t="shared" si="5"/>
        <v>493946.2233520528</v>
      </c>
      <c r="X40" s="38">
        <f t="shared" si="5"/>
        <v>358520.68003987451</v>
      </c>
      <c r="Y40" s="38">
        <f t="shared" si="5"/>
        <v>107018.21872813438</v>
      </c>
      <c r="Z40" s="38">
        <f t="shared" si="5"/>
        <v>8312.5</v>
      </c>
    </row>
    <row r="41" spans="1:26" x14ac:dyDescent="0.25">
      <c r="A41" s="23"/>
      <c r="B41" s="41"/>
      <c r="C41" s="41"/>
      <c r="D41" s="41"/>
      <c r="E41" s="41"/>
      <c r="F41" s="41"/>
      <c r="G41" s="41"/>
      <c r="H41" s="41"/>
      <c r="I41" s="41"/>
      <c r="J41" s="41"/>
      <c r="K41" s="41"/>
    </row>
    <row r="42" spans="1:26" x14ac:dyDescent="0.25">
      <c r="A42" s="23" t="s">
        <v>20</v>
      </c>
    </row>
    <row r="43" spans="1:26" x14ac:dyDescent="0.25">
      <c r="A43" s="9" t="s">
        <v>44</v>
      </c>
      <c r="B43" s="33">
        <f t="shared" ref="B43:Z43" si="6">B11</f>
        <v>0</v>
      </c>
      <c r="C43" s="33">
        <f t="shared" si="6"/>
        <v>100000</v>
      </c>
      <c r="D43" s="33">
        <f t="shared" si="6"/>
        <v>150000</v>
      </c>
      <c r="E43" s="33">
        <f t="shared" si="6"/>
        <v>200000</v>
      </c>
      <c r="F43" s="33">
        <f t="shared" si="6"/>
        <v>50000</v>
      </c>
      <c r="G43" s="33">
        <f t="shared" si="6"/>
        <v>0</v>
      </c>
      <c r="H43" s="33">
        <f t="shared" si="6"/>
        <v>0</v>
      </c>
      <c r="I43" s="33">
        <f t="shared" si="6"/>
        <v>0</v>
      </c>
      <c r="J43" s="33">
        <f t="shared" si="6"/>
        <v>0</v>
      </c>
      <c r="K43" s="33">
        <f t="shared" si="6"/>
        <v>0</v>
      </c>
      <c r="L43" s="33">
        <f t="shared" si="6"/>
        <v>0</v>
      </c>
      <c r="M43" s="33">
        <f t="shared" si="6"/>
        <v>0</v>
      </c>
      <c r="N43" s="33">
        <f t="shared" si="6"/>
        <v>0</v>
      </c>
      <c r="O43" s="33">
        <f t="shared" si="6"/>
        <v>0</v>
      </c>
      <c r="P43" s="33">
        <f t="shared" si="6"/>
        <v>0</v>
      </c>
      <c r="Q43" s="33">
        <f t="shared" si="6"/>
        <v>0</v>
      </c>
      <c r="R43" s="33">
        <f t="shared" si="6"/>
        <v>0</v>
      </c>
      <c r="S43" s="33">
        <f t="shared" si="6"/>
        <v>0</v>
      </c>
      <c r="T43" s="33">
        <f t="shared" si="6"/>
        <v>0</v>
      </c>
      <c r="U43" s="33">
        <f t="shared" si="6"/>
        <v>0</v>
      </c>
      <c r="V43" s="33">
        <f t="shared" si="6"/>
        <v>0</v>
      </c>
      <c r="W43" s="33">
        <f t="shared" si="6"/>
        <v>0</v>
      </c>
      <c r="X43" s="33">
        <f t="shared" si="6"/>
        <v>0</v>
      </c>
      <c r="Y43" s="33">
        <f t="shared" si="6"/>
        <v>0</v>
      </c>
      <c r="Z43" s="33">
        <f t="shared" si="6"/>
        <v>0</v>
      </c>
    </row>
    <row r="44" spans="1:26" x14ac:dyDescent="0.25">
      <c r="A44" s="9" t="s">
        <v>104</v>
      </c>
      <c r="B44" s="33">
        <f t="shared" ref="B44:Z44" si="7">B12</f>
        <v>0</v>
      </c>
      <c r="C44" s="33">
        <f t="shared" si="7"/>
        <v>0</v>
      </c>
      <c r="D44" s="33">
        <f t="shared" si="7"/>
        <v>5000</v>
      </c>
      <c r="E44" s="33">
        <f t="shared" si="7"/>
        <v>18016.249999999996</v>
      </c>
      <c r="F44" s="33">
        <f t="shared" si="7"/>
        <v>35000</v>
      </c>
      <c r="G44" s="33">
        <f t="shared" si="7"/>
        <v>47500</v>
      </c>
      <c r="H44" s="33">
        <f t="shared" si="7"/>
        <v>52018.749999999985</v>
      </c>
      <c r="I44" s="33">
        <f t="shared" si="7"/>
        <v>50000</v>
      </c>
      <c r="J44" s="33">
        <f t="shared" si="7"/>
        <v>50000</v>
      </c>
      <c r="K44" s="33">
        <f t="shared" si="7"/>
        <v>52018.749999999985</v>
      </c>
      <c r="L44" s="33">
        <f t="shared" si="7"/>
        <v>50000</v>
      </c>
      <c r="M44" s="33">
        <f t="shared" si="7"/>
        <v>50000</v>
      </c>
      <c r="N44" s="33">
        <f t="shared" si="7"/>
        <v>52018.749999999985</v>
      </c>
      <c r="O44" s="33">
        <f t="shared" si="7"/>
        <v>50000</v>
      </c>
      <c r="P44" s="33">
        <f t="shared" si="7"/>
        <v>50000</v>
      </c>
      <c r="Q44" s="33">
        <f t="shared" si="7"/>
        <v>52018.749999999985</v>
      </c>
      <c r="R44" s="33">
        <f t="shared" si="7"/>
        <v>50000</v>
      </c>
      <c r="S44" s="33">
        <f t="shared" si="7"/>
        <v>50000</v>
      </c>
      <c r="T44" s="33">
        <f t="shared" si="7"/>
        <v>52018.749999999985</v>
      </c>
      <c r="U44" s="33">
        <f t="shared" si="7"/>
        <v>50000</v>
      </c>
      <c r="V44" s="33">
        <f t="shared" si="7"/>
        <v>50000</v>
      </c>
      <c r="W44" s="33">
        <f t="shared" si="7"/>
        <v>52018.749999999985</v>
      </c>
      <c r="X44" s="33">
        <f t="shared" si="7"/>
        <v>50000</v>
      </c>
      <c r="Y44" s="33">
        <f t="shared" si="7"/>
        <v>40000</v>
      </c>
      <c r="Z44" s="33">
        <f t="shared" si="7"/>
        <v>26009.374999999993</v>
      </c>
    </row>
    <row r="45" spans="1:26" x14ac:dyDescent="0.25">
      <c r="A45" s="9" t="s">
        <v>48</v>
      </c>
      <c r="B45" s="33">
        <f t="shared" ref="B45:Z45" si="8">B13</f>
        <v>0</v>
      </c>
      <c r="C45" s="33">
        <f t="shared" si="8"/>
        <v>10000</v>
      </c>
      <c r="D45" s="33">
        <f t="shared" si="8"/>
        <v>25000</v>
      </c>
      <c r="E45" s="33">
        <f t="shared" si="8"/>
        <v>45000</v>
      </c>
      <c r="F45" s="33">
        <f t="shared" si="8"/>
        <v>50000</v>
      </c>
      <c r="G45" s="33">
        <f t="shared" si="8"/>
        <v>50000</v>
      </c>
      <c r="H45" s="33">
        <f t="shared" si="8"/>
        <v>50000</v>
      </c>
      <c r="I45" s="33">
        <f t="shared" si="8"/>
        <v>50000</v>
      </c>
      <c r="J45" s="33">
        <f t="shared" si="8"/>
        <v>50000</v>
      </c>
      <c r="K45" s="33">
        <f t="shared" si="8"/>
        <v>50000</v>
      </c>
      <c r="L45" s="33">
        <f t="shared" si="8"/>
        <v>50000</v>
      </c>
      <c r="M45" s="33">
        <f t="shared" si="8"/>
        <v>50000</v>
      </c>
      <c r="N45" s="33">
        <f t="shared" si="8"/>
        <v>50000</v>
      </c>
      <c r="O45" s="33">
        <f t="shared" si="8"/>
        <v>50000</v>
      </c>
      <c r="P45" s="33">
        <f t="shared" si="8"/>
        <v>50000</v>
      </c>
      <c r="Q45" s="33">
        <f t="shared" si="8"/>
        <v>50000</v>
      </c>
      <c r="R45" s="33">
        <f t="shared" si="8"/>
        <v>50000</v>
      </c>
      <c r="S45" s="33">
        <f t="shared" si="8"/>
        <v>50000</v>
      </c>
      <c r="T45" s="33">
        <f t="shared" si="8"/>
        <v>50000</v>
      </c>
      <c r="U45" s="33">
        <f t="shared" si="8"/>
        <v>50000</v>
      </c>
      <c r="V45" s="33">
        <f t="shared" si="8"/>
        <v>50000</v>
      </c>
      <c r="W45" s="33">
        <f t="shared" si="8"/>
        <v>40000</v>
      </c>
      <c r="X45" s="33">
        <f t="shared" si="8"/>
        <v>25000</v>
      </c>
      <c r="Y45" s="33">
        <f t="shared" si="8"/>
        <v>5000</v>
      </c>
      <c r="Z45" s="33">
        <f t="shared" si="8"/>
        <v>0</v>
      </c>
    </row>
    <row r="46" spans="1:26" x14ac:dyDescent="0.25">
      <c r="A46" s="9" t="s">
        <v>50</v>
      </c>
      <c r="B46" s="33">
        <f t="shared" ref="B46:Z46" si="9">B14</f>
        <v>0</v>
      </c>
      <c r="C46" s="33">
        <f t="shared" si="9"/>
        <v>10000</v>
      </c>
      <c r="D46" s="33">
        <f t="shared" si="9"/>
        <v>25000</v>
      </c>
      <c r="E46" s="33">
        <f t="shared" si="9"/>
        <v>49584.375</v>
      </c>
      <c r="F46" s="33">
        <f t="shared" si="9"/>
        <v>50000</v>
      </c>
      <c r="G46" s="33">
        <f t="shared" si="9"/>
        <v>50000</v>
      </c>
      <c r="H46" s="33">
        <f t="shared" si="9"/>
        <v>55093.75</v>
      </c>
      <c r="I46" s="33">
        <f t="shared" si="9"/>
        <v>50000</v>
      </c>
      <c r="J46" s="33">
        <f t="shared" si="9"/>
        <v>50000</v>
      </c>
      <c r="K46" s="33">
        <f t="shared" si="9"/>
        <v>55093.75</v>
      </c>
      <c r="L46" s="33">
        <f t="shared" si="9"/>
        <v>50000</v>
      </c>
      <c r="M46" s="33">
        <f t="shared" si="9"/>
        <v>50000</v>
      </c>
      <c r="N46" s="33">
        <f t="shared" si="9"/>
        <v>55093.75</v>
      </c>
      <c r="O46" s="33">
        <f t="shared" si="9"/>
        <v>50000</v>
      </c>
      <c r="P46" s="33">
        <f t="shared" si="9"/>
        <v>50000</v>
      </c>
      <c r="Q46" s="33">
        <f t="shared" si="9"/>
        <v>55093.75</v>
      </c>
      <c r="R46" s="33">
        <f t="shared" si="9"/>
        <v>50000</v>
      </c>
      <c r="S46" s="33">
        <f t="shared" si="9"/>
        <v>50000</v>
      </c>
      <c r="T46" s="33">
        <f t="shared" si="9"/>
        <v>55093.75</v>
      </c>
      <c r="U46" s="33">
        <f t="shared" si="9"/>
        <v>50000</v>
      </c>
      <c r="V46" s="33">
        <f t="shared" si="9"/>
        <v>50000</v>
      </c>
      <c r="W46" s="33">
        <f t="shared" si="9"/>
        <v>44075</v>
      </c>
      <c r="X46" s="33">
        <f t="shared" si="9"/>
        <v>25000</v>
      </c>
      <c r="Y46" s="33">
        <f t="shared" si="9"/>
        <v>5000</v>
      </c>
      <c r="Z46" s="33">
        <f t="shared" si="9"/>
        <v>0</v>
      </c>
    </row>
    <row r="47" spans="1:26" x14ac:dyDescent="0.25">
      <c r="A47" s="109" t="s">
        <v>102</v>
      </c>
      <c r="B47" s="33">
        <f t="shared" ref="B47:Z47" si="10">B15</f>
        <v>0</v>
      </c>
      <c r="C47" s="33">
        <f t="shared" si="10"/>
        <v>1000</v>
      </c>
      <c r="D47" s="33">
        <f t="shared" si="10"/>
        <v>2500</v>
      </c>
      <c r="E47" s="33">
        <f t="shared" si="10"/>
        <v>4658.625</v>
      </c>
      <c r="F47" s="33">
        <f t="shared" si="10"/>
        <v>5000</v>
      </c>
      <c r="G47" s="33">
        <f t="shared" si="10"/>
        <v>5000</v>
      </c>
      <c r="H47" s="33">
        <f t="shared" si="10"/>
        <v>5176.25</v>
      </c>
      <c r="I47" s="33">
        <f t="shared" si="10"/>
        <v>5000</v>
      </c>
      <c r="J47" s="33">
        <f t="shared" si="10"/>
        <v>5000</v>
      </c>
      <c r="K47" s="33">
        <f t="shared" si="10"/>
        <v>5176.25</v>
      </c>
      <c r="L47" s="33">
        <f t="shared" si="10"/>
        <v>5000</v>
      </c>
      <c r="M47" s="33">
        <f t="shared" si="10"/>
        <v>5000</v>
      </c>
      <c r="N47" s="33">
        <f t="shared" si="10"/>
        <v>5176.25</v>
      </c>
      <c r="O47" s="33">
        <f t="shared" si="10"/>
        <v>5000</v>
      </c>
      <c r="P47" s="33">
        <f t="shared" si="10"/>
        <v>5000</v>
      </c>
      <c r="Q47" s="33">
        <f t="shared" si="10"/>
        <v>5176.25</v>
      </c>
      <c r="R47" s="33">
        <f t="shared" si="10"/>
        <v>5000</v>
      </c>
      <c r="S47" s="33">
        <f t="shared" si="10"/>
        <v>5000</v>
      </c>
      <c r="T47" s="33">
        <f t="shared" si="10"/>
        <v>5176.25</v>
      </c>
      <c r="U47" s="33">
        <f t="shared" si="10"/>
        <v>5000</v>
      </c>
      <c r="V47" s="33">
        <f t="shared" si="10"/>
        <v>5000</v>
      </c>
      <c r="W47" s="33">
        <f t="shared" si="10"/>
        <v>4141</v>
      </c>
      <c r="X47" s="33">
        <f t="shared" si="10"/>
        <v>2500</v>
      </c>
      <c r="Y47" s="33">
        <f t="shared" si="10"/>
        <v>500</v>
      </c>
      <c r="Z47" s="33">
        <f t="shared" si="10"/>
        <v>0</v>
      </c>
    </row>
    <row r="48" spans="1:26" x14ac:dyDescent="0.25">
      <c r="A48" s="109" t="s">
        <v>103</v>
      </c>
      <c r="B48" s="33">
        <f t="shared" ref="B48:Z48" si="11">B16</f>
        <v>0</v>
      </c>
      <c r="C48" s="33">
        <f t="shared" si="11"/>
        <v>20238.181818181816</v>
      </c>
      <c r="D48" s="33">
        <f t="shared" si="11"/>
        <v>50595.454545454544</v>
      </c>
      <c r="E48" s="33">
        <f t="shared" si="11"/>
        <v>94282.099772727262</v>
      </c>
      <c r="F48" s="33">
        <f t="shared" si="11"/>
        <v>101190.90909090909</v>
      </c>
      <c r="G48" s="33">
        <f t="shared" si="11"/>
        <v>101190.90909090909</v>
      </c>
      <c r="H48" s="33">
        <f t="shared" si="11"/>
        <v>104757.88863636363</v>
      </c>
      <c r="I48" s="33">
        <f t="shared" si="11"/>
        <v>101190.90909090909</v>
      </c>
      <c r="J48" s="33">
        <f t="shared" si="11"/>
        <v>101190.90909090909</v>
      </c>
      <c r="K48" s="33">
        <f t="shared" si="11"/>
        <v>104757.88863636363</v>
      </c>
      <c r="L48" s="33">
        <f t="shared" si="11"/>
        <v>101190.90909090909</v>
      </c>
      <c r="M48" s="33">
        <f t="shared" si="11"/>
        <v>101190.90909090909</v>
      </c>
      <c r="N48" s="33">
        <f t="shared" si="11"/>
        <v>104757.88863636363</v>
      </c>
      <c r="O48" s="33">
        <f t="shared" si="11"/>
        <v>101190.90909090909</v>
      </c>
      <c r="P48" s="33">
        <f t="shared" si="11"/>
        <v>101190.90909090909</v>
      </c>
      <c r="Q48" s="33">
        <f t="shared" si="11"/>
        <v>104757.88863636363</v>
      </c>
      <c r="R48" s="33">
        <f t="shared" si="11"/>
        <v>101190.90909090909</v>
      </c>
      <c r="S48" s="33">
        <f t="shared" si="11"/>
        <v>101190.90909090909</v>
      </c>
      <c r="T48" s="33">
        <f t="shared" si="11"/>
        <v>104757.88863636363</v>
      </c>
      <c r="U48" s="33">
        <f t="shared" si="11"/>
        <v>101190.90909090909</v>
      </c>
      <c r="V48" s="33">
        <f t="shared" si="11"/>
        <v>101190.90909090909</v>
      </c>
      <c r="W48" s="33">
        <f t="shared" si="11"/>
        <v>83806.310909090898</v>
      </c>
      <c r="X48" s="33">
        <f t="shared" si="11"/>
        <v>50595.454545454544</v>
      </c>
      <c r="Y48" s="33">
        <f t="shared" si="11"/>
        <v>10119.090909090908</v>
      </c>
      <c r="Z48" s="33">
        <f t="shared" si="11"/>
        <v>0</v>
      </c>
    </row>
    <row r="49" spans="1:27" x14ac:dyDescent="0.25">
      <c r="A49" s="9" t="s">
        <v>35</v>
      </c>
      <c r="B49" s="33">
        <f t="shared" ref="B49:Z49" si="12">B17</f>
        <v>0</v>
      </c>
      <c r="C49" s="33">
        <f t="shared" si="12"/>
        <v>20000</v>
      </c>
      <c r="D49" s="33">
        <f t="shared" si="12"/>
        <v>50000</v>
      </c>
      <c r="E49" s="33">
        <f t="shared" si="12"/>
        <v>94547.249999999971</v>
      </c>
      <c r="F49" s="33">
        <f t="shared" si="12"/>
        <v>100000</v>
      </c>
      <c r="G49" s="33">
        <f t="shared" si="12"/>
        <v>100000</v>
      </c>
      <c r="H49" s="33">
        <f t="shared" si="12"/>
        <v>105052.49999999997</v>
      </c>
      <c r="I49" s="33">
        <f t="shared" si="12"/>
        <v>100000</v>
      </c>
      <c r="J49" s="33">
        <f t="shared" si="12"/>
        <v>100000</v>
      </c>
      <c r="K49" s="33">
        <f t="shared" si="12"/>
        <v>105052.49999999997</v>
      </c>
      <c r="L49" s="33">
        <f t="shared" si="12"/>
        <v>100000</v>
      </c>
      <c r="M49" s="33">
        <f t="shared" si="12"/>
        <v>100000</v>
      </c>
      <c r="N49" s="33">
        <f t="shared" si="12"/>
        <v>105052.49999999997</v>
      </c>
      <c r="O49" s="33">
        <f t="shared" si="12"/>
        <v>100000</v>
      </c>
      <c r="P49" s="33">
        <f t="shared" si="12"/>
        <v>100000</v>
      </c>
      <c r="Q49" s="33">
        <f t="shared" si="12"/>
        <v>105052.49999999997</v>
      </c>
      <c r="R49" s="33">
        <f t="shared" si="12"/>
        <v>100000</v>
      </c>
      <c r="S49" s="33">
        <f t="shared" si="12"/>
        <v>100000</v>
      </c>
      <c r="T49" s="33">
        <f t="shared" si="12"/>
        <v>105052.49999999997</v>
      </c>
      <c r="U49" s="33">
        <f t="shared" si="12"/>
        <v>100000</v>
      </c>
      <c r="V49" s="33">
        <f t="shared" si="12"/>
        <v>100000</v>
      </c>
      <c r="W49" s="33">
        <f t="shared" si="12"/>
        <v>84041.999999999985</v>
      </c>
      <c r="X49" s="33">
        <f t="shared" si="12"/>
        <v>50000</v>
      </c>
      <c r="Y49" s="33">
        <f t="shared" si="12"/>
        <v>10000</v>
      </c>
      <c r="Z49" s="33">
        <f t="shared" si="12"/>
        <v>0</v>
      </c>
    </row>
    <row r="50" spans="1:27" x14ac:dyDescent="0.25">
      <c r="A50" s="9" t="s">
        <v>12</v>
      </c>
      <c r="B50" s="33">
        <f t="shared" ref="B50:Z50" si="13">B18</f>
        <v>0</v>
      </c>
      <c r="C50" s="33">
        <f t="shared" si="13"/>
        <v>4100.6000000000004</v>
      </c>
      <c r="D50" s="33">
        <f t="shared" si="13"/>
        <v>10354.014999999999</v>
      </c>
      <c r="E50" s="33">
        <f t="shared" si="13"/>
        <v>18823.599269999999</v>
      </c>
      <c r="F50" s="33">
        <f t="shared" si="13"/>
        <v>21124.261403</v>
      </c>
      <c r="G50" s="33">
        <f t="shared" si="13"/>
        <v>21335.504017029998</v>
      </c>
      <c r="H50" s="33">
        <f t="shared" si="13"/>
        <v>21548.859057200301</v>
      </c>
      <c r="I50" s="33">
        <f t="shared" si="13"/>
        <v>21764.347647772298</v>
      </c>
      <c r="J50" s="33">
        <f t="shared" si="13"/>
        <v>21981.991124250027</v>
      </c>
      <c r="K50" s="33">
        <f t="shared" si="13"/>
        <v>22201.81103549253</v>
      </c>
      <c r="L50" s="33">
        <f t="shared" si="13"/>
        <v>22423.829145847456</v>
      </c>
      <c r="M50" s="33">
        <f t="shared" si="13"/>
        <v>22648.067437305926</v>
      </c>
      <c r="N50" s="33">
        <f t="shared" si="13"/>
        <v>22874.548111678985</v>
      </c>
      <c r="O50" s="33">
        <f t="shared" si="13"/>
        <v>23103.293592795777</v>
      </c>
      <c r="P50" s="33">
        <f t="shared" si="13"/>
        <v>23334.326528723737</v>
      </c>
      <c r="Q50" s="33">
        <f t="shared" si="13"/>
        <v>23567.66979401097</v>
      </c>
      <c r="R50" s="33">
        <f t="shared" si="13"/>
        <v>23803.346491951084</v>
      </c>
      <c r="S50" s="33">
        <f t="shared" si="13"/>
        <v>24041.379956870598</v>
      </c>
      <c r="T50" s="33">
        <f t="shared" si="13"/>
        <v>24281.793756439303</v>
      </c>
      <c r="U50" s="33">
        <f t="shared" si="13"/>
        <v>24524.611694003692</v>
      </c>
      <c r="V50" s="33">
        <f t="shared" si="13"/>
        <v>24769.857810943729</v>
      </c>
      <c r="W50" s="33">
        <f t="shared" si="13"/>
        <v>20014.045111242533</v>
      </c>
      <c r="X50" s="33">
        <f t="shared" si="13"/>
        <v>12633.865976471852</v>
      </c>
      <c r="Y50" s="33">
        <f t="shared" si="13"/>
        <v>2552.0409272473134</v>
      </c>
      <c r="Z50" s="33">
        <f t="shared" si="13"/>
        <v>0</v>
      </c>
    </row>
    <row r="51" spans="1:27" s="50" customFormat="1" x14ac:dyDescent="0.25">
      <c r="A51" s="52" t="s">
        <v>131</v>
      </c>
      <c r="B51" s="49">
        <f>Assumption_Hatchery!D53</f>
        <v>0</v>
      </c>
      <c r="C51" s="49">
        <f>Assumption_Hatchery!E53</f>
        <v>0</v>
      </c>
      <c r="D51" s="49">
        <f>Assumption_Hatchery!F53</f>
        <v>59200</v>
      </c>
      <c r="E51" s="49">
        <f>Assumption_Hatchery!G53</f>
        <v>138400</v>
      </c>
      <c r="F51" s="49">
        <f>Assumption_Hatchery!H53</f>
        <v>192800</v>
      </c>
      <c r="G51" s="49">
        <f>Assumption_Hatchery!I53</f>
        <v>128800</v>
      </c>
      <c r="H51" s="49">
        <f>Assumption_Hatchery!J53</f>
        <v>24800</v>
      </c>
      <c r="I51" s="49">
        <f>Assumption_Hatchery!K53</f>
        <v>0</v>
      </c>
      <c r="J51" s="49">
        <f>Assumption_Hatchery!L53</f>
        <v>0</v>
      </c>
      <c r="K51" s="49">
        <f>Assumption_Hatchery!M53</f>
        <v>0</v>
      </c>
      <c r="L51" s="49">
        <f>Assumption_Hatchery!N53</f>
        <v>0</v>
      </c>
      <c r="M51" s="49">
        <f>Assumption_Hatchery!O53</f>
        <v>0</v>
      </c>
      <c r="N51" s="49">
        <f>Assumption_Hatchery!P53</f>
        <v>0</v>
      </c>
      <c r="O51" s="49">
        <f>Assumption_Hatchery!Q53</f>
        <v>0</v>
      </c>
      <c r="P51" s="49">
        <f>Assumption_Hatchery!R53</f>
        <v>0</v>
      </c>
      <c r="Q51" s="49">
        <f>Assumption_Hatchery!S53</f>
        <v>0</v>
      </c>
      <c r="R51" s="49">
        <f>Assumption_Hatchery!T53</f>
        <v>0</v>
      </c>
      <c r="S51" s="49">
        <f>Assumption_Hatchery!U53</f>
        <v>0</v>
      </c>
      <c r="T51" s="49">
        <f>Assumption_Hatchery!V53</f>
        <v>0</v>
      </c>
      <c r="U51" s="49">
        <f>Assumption_Hatchery!W53</f>
        <v>0</v>
      </c>
      <c r="V51" s="49">
        <f>Assumption_Hatchery!X53</f>
        <v>0</v>
      </c>
      <c r="W51" s="49">
        <f>Assumption_Hatchery!Y53</f>
        <v>0</v>
      </c>
      <c r="X51" s="49">
        <f>Assumption_Hatchery!Z53</f>
        <v>0</v>
      </c>
      <c r="Y51" s="49">
        <f>Assumption_Hatchery!AA53</f>
        <v>0</v>
      </c>
      <c r="Z51" s="49">
        <f>Assumption_Hatchery!AB53</f>
        <v>0</v>
      </c>
    </row>
    <row r="52" spans="1:27" x14ac:dyDescent="0.25">
      <c r="A52" s="117" t="s">
        <v>54</v>
      </c>
      <c r="B52" s="37">
        <f>SUM(B43:B51)</f>
        <v>0</v>
      </c>
      <c r="C52" s="37">
        <f t="shared" ref="C52:Z52" si="14">SUM(C43:C51)</f>
        <v>165338.78181818183</v>
      </c>
      <c r="D52" s="37">
        <f t="shared" si="14"/>
        <v>377649.46954545454</v>
      </c>
      <c r="E52" s="37">
        <f t="shared" si="14"/>
        <v>663312.19904272724</v>
      </c>
      <c r="F52" s="37">
        <f t="shared" si="14"/>
        <v>605115.17049390904</v>
      </c>
      <c r="G52" s="37">
        <f t="shared" si="14"/>
        <v>503826.41310793906</v>
      </c>
      <c r="H52" s="37">
        <f t="shared" si="14"/>
        <v>418447.99769356387</v>
      </c>
      <c r="I52" s="37">
        <f t="shared" si="14"/>
        <v>377955.25673868135</v>
      </c>
      <c r="J52" s="37">
        <f t="shared" si="14"/>
        <v>378172.90021515911</v>
      </c>
      <c r="K52" s="37">
        <f t="shared" si="14"/>
        <v>394300.94967185607</v>
      </c>
      <c r="L52" s="37">
        <f t="shared" si="14"/>
        <v>378614.73823675653</v>
      </c>
      <c r="M52" s="37">
        <f t="shared" si="14"/>
        <v>378838.97652821499</v>
      </c>
      <c r="N52" s="37">
        <f t="shared" si="14"/>
        <v>394973.68674804253</v>
      </c>
      <c r="O52" s="37">
        <f t="shared" si="14"/>
        <v>379294.20268370485</v>
      </c>
      <c r="P52" s="37">
        <f t="shared" si="14"/>
        <v>379525.23561963282</v>
      </c>
      <c r="Q52" s="37">
        <f t="shared" si="14"/>
        <v>395666.80843037454</v>
      </c>
      <c r="R52" s="37">
        <f t="shared" si="14"/>
        <v>379994.25558286015</v>
      </c>
      <c r="S52" s="37">
        <f t="shared" si="14"/>
        <v>380232.28904777963</v>
      </c>
      <c r="T52" s="37">
        <f t="shared" si="14"/>
        <v>396380.93239280285</v>
      </c>
      <c r="U52" s="37">
        <f t="shared" si="14"/>
        <v>380715.52078491275</v>
      </c>
      <c r="V52" s="37">
        <f t="shared" si="14"/>
        <v>380960.7669018528</v>
      </c>
      <c r="W52" s="37">
        <f t="shared" si="14"/>
        <v>328097.10602033342</v>
      </c>
      <c r="X52" s="37">
        <f t="shared" si="14"/>
        <v>215729.32052192639</v>
      </c>
      <c r="Y52" s="37">
        <f t="shared" si="14"/>
        <v>73171.131836338231</v>
      </c>
      <c r="Z52" s="37">
        <f t="shared" si="14"/>
        <v>26009.374999999993</v>
      </c>
    </row>
    <row r="53" spans="1:27" x14ac:dyDescent="0.25">
      <c r="B53" s="32"/>
      <c r="C53" s="32"/>
      <c r="D53" s="32"/>
      <c r="E53" s="32"/>
      <c r="F53" s="32"/>
      <c r="G53" s="32"/>
      <c r="H53" s="32"/>
      <c r="I53" s="32"/>
      <c r="J53" s="32"/>
      <c r="K53" s="32"/>
      <c r="L53" s="32"/>
    </row>
    <row r="54" spans="1:27" x14ac:dyDescent="0.25">
      <c r="A54" s="23" t="s">
        <v>55</v>
      </c>
      <c r="B54" s="34">
        <f>B40-B52</f>
        <v>0</v>
      </c>
      <c r="C54" s="34">
        <f t="shared" ref="C54:Z54" si="15">C40-C52</f>
        <v>-165338.78181818183</v>
      </c>
      <c r="D54" s="34">
        <f t="shared" si="15"/>
        <v>-156564.46954545451</v>
      </c>
      <c r="E54" s="34">
        <f t="shared" si="15"/>
        <v>-287336.15346772724</v>
      </c>
      <c r="F54" s="34">
        <f t="shared" si="15"/>
        <v>-145081.50249390898</v>
      </c>
      <c r="G54" s="34">
        <f t="shared" si="15"/>
        <v>-34592.071747938986</v>
      </c>
      <c r="H54" s="34">
        <f t="shared" si="15"/>
        <v>24872.877164830221</v>
      </c>
      <c r="I54" s="34">
        <f t="shared" si="15"/>
        <v>110236.15201226267</v>
      </c>
      <c r="J54" s="34">
        <f t="shared" si="15"/>
        <v>119782.33671080379</v>
      </c>
      <c r="K54" s="34">
        <f t="shared" si="15"/>
        <v>76154.709294870496</v>
      </c>
      <c r="L54" s="34">
        <f t="shared" si="15"/>
        <v>139457.89026101533</v>
      </c>
      <c r="M54" s="34">
        <f t="shared" si="15"/>
        <v>149595.10453951219</v>
      </c>
      <c r="N54" s="34">
        <f t="shared" si="15"/>
        <v>104277.62219271949</v>
      </c>
      <c r="O54" s="34">
        <f t="shared" si="15"/>
        <v>170488.6152591586</v>
      </c>
      <c r="P54" s="34">
        <f t="shared" si="15"/>
        <v>181253.23868208792</v>
      </c>
      <c r="Q54" s="34">
        <f t="shared" si="15"/>
        <v>134142.67462803348</v>
      </c>
      <c r="R54" s="34">
        <f t="shared" si="15"/>
        <v>203439.66908065003</v>
      </c>
      <c r="S54" s="34">
        <f t="shared" si="15"/>
        <v>214870.31410900084</v>
      </c>
      <c r="T54" s="34">
        <f t="shared" si="15"/>
        <v>165857.12950464437</v>
      </c>
      <c r="U54" s="34">
        <f t="shared" si="15"/>
        <v>238429.2275394015</v>
      </c>
      <c r="V54" s="34">
        <f t="shared" si="15"/>
        <v>250566.87638894783</v>
      </c>
      <c r="W54" s="34">
        <f t="shared" si="15"/>
        <v>165849.11733171938</v>
      </c>
      <c r="X54" s="34">
        <f t="shared" si="15"/>
        <v>142791.35951794812</v>
      </c>
      <c r="Y54" s="34">
        <f t="shared" si="15"/>
        <v>33847.086891796149</v>
      </c>
      <c r="Z54" s="34">
        <f t="shared" si="15"/>
        <v>-17696.874999999993</v>
      </c>
    </row>
    <row r="55" spans="1:27" x14ac:dyDescent="0.25">
      <c r="A55" s="23"/>
      <c r="B55" s="344"/>
      <c r="C55" s="344"/>
      <c r="D55" s="344"/>
      <c r="E55" s="344"/>
      <c r="F55" s="344"/>
      <c r="G55" s="344"/>
      <c r="H55" s="344"/>
      <c r="I55" s="344"/>
      <c r="J55" s="344"/>
      <c r="K55" s="344"/>
      <c r="L55" s="344"/>
      <c r="M55" s="344"/>
      <c r="N55" s="344"/>
      <c r="O55" s="344"/>
      <c r="P55" s="344"/>
      <c r="Q55" s="344"/>
      <c r="R55" s="344"/>
      <c r="S55" s="344"/>
      <c r="T55" s="344"/>
      <c r="U55" s="344"/>
      <c r="V55" s="344"/>
      <c r="W55" s="344"/>
      <c r="X55" s="344"/>
      <c r="Y55" s="344"/>
      <c r="Z55" s="344"/>
      <c r="AA55" s="12"/>
    </row>
    <row r="56" spans="1:27" x14ac:dyDescent="0.25">
      <c r="A56" s="10" t="s">
        <v>319</v>
      </c>
      <c r="B56" s="345">
        <f>B40/(1+Assumption_Hatchery!$C108)^B36</f>
        <v>0</v>
      </c>
      <c r="C56" s="345">
        <f>C40/(1+Assumption_Hatchery!$C108)^C36</f>
        <v>0</v>
      </c>
      <c r="D56" s="345">
        <f>D40/(1+Assumption_Hatchery!$C108)^D36</f>
        <v>221085.00000000003</v>
      </c>
      <c r="E56" s="345">
        <f>E40/(1+Assumption_Hatchery!$C108)^E36</f>
        <v>375976.045575</v>
      </c>
      <c r="F56" s="345">
        <f>F40/(1+Assumption_Hatchery!$C108)^F36</f>
        <v>460033.66800000006</v>
      </c>
      <c r="G56" s="345">
        <f>G40/(1+Assumption_Hatchery!$C108)^G36</f>
        <v>469234.34136000008</v>
      </c>
      <c r="H56" s="345">
        <f>H40/(1+Assumption_Hatchery!$C108)^H36</f>
        <v>443320.87485839409</v>
      </c>
      <c r="I56" s="345">
        <f>I40/(1+Assumption_Hatchery!$C108)^I36</f>
        <v>488191.40875094401</v>
      </c>
      <c r="J56" s="345">
        <f>J40/(1+Assumption_Hatchery!$C108)^J36</f>
        <v>497955.2369259629</v>
      </c>
      <c r="K56" s="345">
        <f>K40/(1+Assumption_Hatchery!$C108)^K36</f>
        <v>470455.65896672657</v>
      </c>
      <c r="L56" s="345">
        <f>L40/(1+Assumption_Hatchery!$C108)^L36</f>
        <v>518072.62849777186</v>
      </c>
      <c r="M56" s="345">
        <f>M40/(1+Assumption_Hatchery!$C108)^M36</f>
        <v>528434.08106772718</v>
      </c>
      <c r="N56" s="345">
        <f>N40/(1+Assumption_Hatchery!$C108)^N36</f>
        <v>499251.30894076201</v>
      </c>
      <c r="O56" s="345">
        <f>O40/(1+Assumption_Hatchery!$C108)^O36</f>
        <v>549782.81794286345</v>
      </c>
      <c r="P56" s="345">
        <f>P40/(1+Assumption_Hatchery!$C108)^P36</f>
        <v>560778.47430172074</v>
      </c>
      <c r="Q56" s="345">
        <f>Q40/(1+Assumption_Hatchery!$C108)^Q36</f>
        <v>529809.48305840802</v>
      </c>
      <c r="R56" s="345">
        <f>R40/(1+Assumption_Hatchery!$C108)^R36</f>
        <v>583433.92466351017</v>
      </c>
      <c r="S56" s="345">
        <f>S40/(1+Assumption_Hatchery!$C108)^S36</f>
        <v>595102.60315678047</v>
      </c>
      <c r="T56" s="345">
        <f>T40/(1+Assumption_Hatchery!$C108)^T36</f>
        <v>562238.06189744722</v>
      </c>
      <c r="U56" s="345">
        <f>U40/(1+Assumption_Hatchery!$C108)^U36</f>
        <v>619144.74832431425</v>
      </c>
      <c r="V56" s="345">
        <f>V40/(1+Assumption_Hatchery!$C108)^V36</f>
        <v>631527.64329080062</v>
      </c>
      <c r="W56" s="345">
        <f>W40/(1+Assumption_Hatchery!$C108)^W36</f>
        <v>493946.2233520528</v>
      </c>
      <c r="X56" s="345">
        <f>X40/(1+Assumption_Hatchery!$C108)^X36</f>
        <v>358520.68003987451</v>
      </c>
      <c r="Y56" s="345">
        <f>Y40/(1+Assumption_Hatchery!$C108)^Y36</f>
        <v>107018.21872813438</v>
      </c>
      <c r="Z56" s="345">
        <f>Z40/(1+Assumption_Hatchery!$C108)^Z36</f>
        <v>8312.5</v>
      </c>
      <c r="AA56" s="343">
        <f>SUM(B56:Z56)</f>
        <v>10571625.631699197</v>
      </c>
    </row>
    <row r="57" spans="1:27" s="12" customFormat="1" x14ac:dyDescent="0.25">
      <c r="A57" s="10" t="s">
        <v>320</v>
      </c>
      <c r="B57" s="346">
        <f>B52/(1+Assumption_Hatchery!$C108)^BaU_Hatchery!B36</f>
        <v>0</v>
      </c>
      <c r="C57" s="346">
        <f>C52/(1+Assumption_Hatchery!$C108)^BaU_Hatchery!C36</f>
        <v>165338.78181818183</v>
      </c>
      <c r="D57" s="346">
        <f>D52/(1+Assumption_Hatchery!$C108)^BaU_Hatchery!D36</f>
        <v>377649.46954545454</v>
      </c>
      <c r="E57" s="346">
        <f>E52/(1+Assumption_Hatchery!$C108)^BaU_Hatchery!E36</f>
        <v>663312.19904272724</v>
      </c>
      <c r="F57" s="346">
        <f>F52/(1+Assumption_Hatchery!$C108)^BaU_Hatchery!F36</f>
        <v>605115.17049390904</v>
      </c>
      <c r="G57" s="346">
        <f>G52/(1+Assumption_Hatchery!$C108)^BaU_Hatchery!G36</f>
        <v>503826.41310793906</v>
      </c>
      <c r="H57" s="346">
        <f>H52/(1+Assumption_Hatchery!$C108)^BaU_Hatchery!H36</f>
        <v>418447.99769356387</v>
      </c>
      <c r="I57" s="346">
        <f>I52/(1+Assumption_Hatchery!$C108)^BaU_Hatchery!I36</f>
        <v>377955.25673868135</v>
      </c>
      <c r="J57" s="346">
        <f>J52/(1+Assumption_Hatchery!$C108)^BaU_Hatchery!J36</f>
        <v>378172.90021515911</v>
      </c>
      <c r="K57" s="346">
        <f>K52/(1+Assumption_Hatchery!$C108)^BaU_Hatchery!K36</f>
        <v>394300.94967185607</v>
      </c>
      <c r="L57" s="346">
        <f>L52/(1+Assumption_Hatchery!$C108)^BaU_Hatchery!L36</f>
        <v>378614.73823675653</v>
      </c>
      <c r="M57" s="346">
        <f>M52/(1+Assumption_Hatchery!$C108)^BaU_Hatchery!M36</f>
        <v>378838.97652821499</v>
      </c>
      <c r="N57" s="346">
        <f>N52/(1+Assumption_Hatchery!$C108)^BaU_Hatchery!N36</f>
        <v>394973.68674804253</v>
      </c>
      <c r="O57" s="346">
        <f>O52/(1+Assumption_Hatchery!$C108)^BaU_Hatchery!O36</f>
        <v>379294.20268370485</v>
      </c>
      <c r="P57" s="346">
        <f>P52/(1+Assumption_Hatchery!$C108)^BaU_Hatchery!P36</f>
        <v>379525.23561963282</v>
      </c>
      <c r="Q57" s="346">
        <f>Q52/(1+Assumption_Hatchery!$C108)^BaU_Hatchery!Q36</f>
        <v>395666.80843037454</v>
      </c>
      <c r="R57" s="346">
        <f>R52/(1+Assumption_Hatchery!$C108)^BaU_Hatchery!R36</f>
        <v>379994.25558286015</v>
      </c>
      <c r="S57" s="346">
        <f>S52/(1+Assumption_Hatchery!$C108)^BaU_Hatchery!S36</f>
        <v>380232.28904777963</v>
      </c>
      <c r="T57" s="346">
        <f>T52/(1+Assumption_Hatchery!$C108)^BaU_Hatchery!T36</f>
        <v>396380.93239280285</v>
      </c>
      <c r="U57" s="346">
        <f>U52/(1+Assumption_Hatchery!$C108)^BaU_Hatchery!U36</f>
        <v>380715.52078491275</v>
      </c>
      <c r="V57" s="346">
        <f>V52/(1+Assumption_Hatchery!$C108)^BaU_Hatchery!V36</f>
        <v>380960.7669018528</v>
      </c>
      <c r="W57" s="346">
        <f>W52/(1+Assumption_Hatchery!$C108)^BaU_Hatchery!W36</f>
        <v>328097.10602033342</v>
      </c>
      <c r="X57" s="346">
        <f>X52/(1+Assumption_Hatchery!$C108)^BaU_Hatchery!X36</f>
        <v>215729.32052192639</v>
      </c>
      <c r="Y57" s="346">
        <f>Y52/(1+Assumption_Hatchery!$C108)^BaU_Hatchery!Y36</f>
        <v>73171.131836338231</v>
      </c>
      <c r="Z57" s="346">
        <f>Z52/(1+Assumption_Hatchery!$C108)^BaU_Hatchery!Z36</f>
        <v>26009.374999999993</v>
      </c>
      <c r="AA57" s="343">
        <f>SUM(B57:Z57)</f>
        <v>8752323.4846630041</v>
      </c>
    </row>
    <row r="58" spans="1:27" x14ac:dyDescent="0.25">
      <c r="B58" s="32"/>
      <c r="C58" s="32"/>
      <c r="D58" s="32"/>
      <c r="E58" s="32"/>
      <c r="F58" s="32"/>
      <c r="G58" s="32"/>
      <c r="H58" s="32"/>
      <c r="I58" s="32"/>
      <c r="J58" s="32"/>
      <c r="K58" s="32"/>
      <c r="L58" s="32"/>
    </row>
    <row r="59" spans="1:27" s="12" customFormat="1" x14ac:dyDescent="0.25">
      <c r="A59" s="25" t="s">
        <v>318</v>
      </c>
      <c r="B59" s="35">
        <f>NPV(Assumption_Hatchery!C76,C54:Z54)+B54</f>
        <v>426126.25176878326</v>
      </c>
      <c r="C59" s="40"/>
      <c r="D59" s="40"/>
      <c r="E59" s="40"/>
      <c r="F59" s="40"/>
      <c r="G59" s="40"/>
      <c r="H59" s="40"/>
      <c r="I59" s="40"/>
      <c r="J59" s="40"/>
      <c r="K59" s="40"/>
      <c r="L59" s="40"/>
    </row>
    <row r="61" spans="1:27" s="12" customFormat="1" x14ac:dyDescent="0.25">
      <c r="A61" s="25" t="s">
        <v>238</v>
      </c>
      <c r="B61" s="36">
        <f>IRR(B54:Z54)</f>
        <v>0.10736262774861949</v>
      </c>
      <c r="C61" s="4"/>
      <c r="D61" s="4"/>
      <c r="E61" s="4"/>
      <c r="F61" s="4"/>
      <c r="G61" s="4"/>
      <c r="H61" s="4"/>
      <c r="I61" s="4"/>
      <c r="J61" s="4"/>
      <c r="K61" s="4"/>
      <c r="L61" s="4"/>
    </row>
    <row r="63" spans="1:27" ht="38.25" customHeight="1" x14ac:dyDescent="0.25">
      <c r="A63" s="11"/>
      <c r="B63" s="30"/>
      <c r="C63" s="69"/>
      <c r="D63" s="70"/>
      <c r="E63" s="30"/>
      <c r="F63" s="116"/>
      <c r="G63" s="30"/>
      <c r="H63" s="30"/>
      <c r="I63" s="30"/>
      <c r="J63" s="30"/>
      <c r="K63" s="30"/>
      <c r="L63" s="30"/>
      <c r="M63" s="11"/>
    </row>
    <row r="64" spans="1:27" s="1" customFormat="1" x14ac:dyDescent="0.25">
      <c r="A64" s="24"/>
      <c r="B64" s="42"/>
      <c r="C64" s="42"/>
      <c r="D64" s="42"/>
      <c r="E64" s="42"/>
      <c r="F64" s="42"/>
      <c r="G64" s="42"/>
      <c r="H64" s="42"/>
      <c r="I64" s="42"/>
      <c r="J64" s="42"/>
      <c r="K64" s="42"/>
      <c r="L64" s="42"/>
    </row>
    <row r="66" spans="1:26" ht="26.25" x14ac:dyDescent="0.25">
      <c r="F66" s="19" t="s">
        <v>92</v>
      </c>
    </row>
    <row r="67" spans="1:26" ht="38.25" customHeight="1" x14ac:dyDescent="0.25">
      <c r="A67" s="11" t="s">
        <v>332</v>
      </c>
      <c r="B67" s="30"/>
      <c r="C67" s="69"/>
      <c r="D67" s="70"/>
      <c r="E67" s="30"/>
      <c r="F67" s="30"/>
      <c r="G67" s="30"/>
      <c r="H67" s="30"/>
      <c r="I67" s="30"/>
      <c r="J67" s="30"/>
      <c r="K67" s="30"/>
      <c r="L67" s="30"/>
      <c r="M67" s="11"/>
    </row>
    <row r="69" spans="1:26" x14ac:dyDescent="0.25">
      <c r="A69" s="10" t="s">
        <v>19</v>
      </c>
      <c r="B69" s="26">
        <v>0</v>
      </c>
      <c r="C69" s="26">
        <v>1</v>
      </c>
      <c r="D69" s="26">
        <v>2</v>
      </c>
      <c r="E69" s="26">
        <v>3</v>
      </c>
      <c r="F69" s="26">
        <v>4</v>
      </c>
      <c r="G69" s="26">
        <v>5</v>
      </c>
      <c r="H69" s="26">
        <v>6</v>
      </c>
      <c r="I69" s="26">
        <v>7</v>
      </c>
      <c r="J69" s="26">
        <v>8</v>
      </c>
      <c r="K69" s="26">
        <v>9</v>
      </c>
      <c r="L69" s="26">
        <v>10</v>
      </c>
      <c r="M69" s="26">
        <v>11</v>
      </c>
      <c r="N69" s="26">
        <v>12</v>
      </c>
      <c r="O69" s="26">
        <v>13</v>
      </c>
      <c r="P69" s="26">
        <v>14</v>
      </c>
      <c r="Q69" s="26">
        <v>15</v>
      </c>
      <c r="R69" s="26">
        <v>16</v>
      </c>
      <c r="S69" s="26">
        <v>17</v>
      </c>
      <c r="T69" s="26">
        <v>18</v>
      </c>
      <c r="U69" s="26">
        <v>19</v>
      </c>
      <c r="V69" s="26">
        <v>20</v>
      </c>
      <c r="W69" s="26">
        <v>21</v>
      </c>
      <c r="X69" s="26">
        <v>22</v>
      </c>
      <c r="Y69" s="26">
        <v>23</v>
      </c>
      <c r="Z69" s="26">
        <v>24</v>
      </c>
    </row>
    <row r="70" spans="1:26" x14ac:dyDescent="0.25">
      <c r="A70" s="23" t="s">
        <v>3</v>
      </c>
    </row>
    <row r="71" spans="1:26" x14ac:dyDescent="0.25">
      <c r="A71" s="10" t="s">
        <v>51</v>
      </c>
      <c r="B71" s="31">
        <f t="shared" ref="B71:Z71" si="16">B6</f>
        <v>0</v>
      </c>
      <c r="C71" s="31">
        <f t="shared" si="16"/>
        <v>0</v>
      </c>
      <c r="D71" s="31">
        <f t="shared" si="16"/>
        <v>221085.00000000003</v>
      </c>
      <c r="E71" s="31">
        <f t="shared" si="16"/>
        <v>375976.045575</v>
      </c>
      <c r="F71" s="31">
        <f t="shared" si="16"/>
        <v>460033.66800000006</v>
      </c>
      <c r="G71" s="31">
        <f t="shared" si="16"/>
        <v>469234.34136000008</v>
      </c>
      <c r="H71" s="31">
        <f t="shared" si="16"/>
        <v>443320.87485839409</v>
      </c>
      <c r="I71" s="31">
        <f t="shared" si="16"/>
        <v>488191.40875094401</v>
      </c>
      <c r="J71" s="31">
        <f t="shared" si="16"/>
        <v>497955.2369259629</v>
      </c>
      <c r="K71" s="31">
        <f t="shared" si="16"/>
        <v>470455.65896672657</v>
      </c>
      <c r="L71" s="31">
        <f t="shared" si="16"/>
        <v>518072.62849777186</v>
      </c>
      <c r="M71" s="31">
        <f t="shared" si="16"/>
        <v>528434.08106772718</v>
      </c>
      <c r="N71" s="31">
        <f t="shared" si="16"/>
        <v>499251.30894076201</v>
      </c>
      <c r="O71" s="31">
        <f t="shared" si="16"/>
        <v>549782.81794286345</v>
      </c>
      <c r="P71" s="31">
        <f t="shared" si="16"/>
        <v>560778.47430172074</v>
      </c>
      <c r="Q71" s="31">
        <f t="shared" si="16"/>
        <v>529809.48305840802</v>
      </c>
      <c r="R71" s="31">
        <f t="shared" si="16"/>
        <v>583433.92466351017</v>
      </c>
      <c r="S71" s="31">
        <f t="shared" si="16"/>
        <v>595102.60315678047</v>
      </c>
      <c r="T71" s="31">
        <f t="shared" si="16"/>
        <v>562238.06189744722</v>
      </c>
      <c r="U71" s="31">
        <f t="shared" si="16"/>
        <v>619144.74832431425</v>
      </c>
      <c r="V71" s="31">
        <f t="shared" si="16"/>
        <v>631527.64329080062</v>
      </c>
      <c r="W71" s="31">
        <f t="shared" si="16"/>
        <v>477321.2233520528</v>
      </c>
      <c r="X71" s="31">
        <f t="shared" si="16"/>
        <v>328520.68003987451</v>
      </c>
      <c r="Y71" s="31">
        <f t="shared" si="16"/>
        <v>67018.218728134379</v>
      </c>
      <c r="Z71" s="31">
        <f t="shared" si="16"/>
        <v>0</v>
      </c>
    </row>
    <row r="72" spans="1:26" x14ac:dyDescent="0.25">
      <c r="A72" s="10" t="s">
        <v>52</v>
      </c>
      <c r="B72" s="31">
        <f t="shared" ref="B72:Z72" si="17">B7</f>
        <v>0</v>
      </c>
      <c r="C72" s="31">
        <f t="shared" si="17"/>
        <v>0</v>
      </c>
      <c r="D72" s="31">
        <f t="shared" si="17"/>
        <v>0</v>
      </c>
      <c r="E72" s="31">
        <f t="shared" si="17"/>
        <v>0</v>
      </c>
      <c r="F72" s="31">
        <f t="shared" si="17"/>
        <v>0</v>
      </c>
      <c r="G72" s="31">
        <f t="shared" si="17"/>
        <v>0</v>
      </c>
      <c r="H72" s="31">
        <f t="shared" si="17"/>
        <v>0</v>
      </c>
      <c r="I72" s="31">
        <f t="shared" si="17"/>
        <v>0</v>
      </c>
      <c r="J72" s="31">
        <f t="shared" si="17"/>
        <v>0</v>
      </c>
      <c r="K72" s="31">
        <f t="shared" si="17"/>
        <v>0</v>
      </c>
      <c r="L72" s="31">
        <f t="shared" si="17"/>
        <v>0</v>
      </c>
      <c r="M72" s="31">
        <f t="shared" si="17"/>
        <v>0</v>
      </c>
      <c r="N72" s="31">
        <f t="shared" si="17"/>
        <v>0</v>
      </c>
      <c r="O72" s="31">
        <f t="shared" si="17"/>
        <v>0</v>
      </c>
      <c r="P72" s="31">
        <f t="shared" si="17"/>
        <v>0</v>
      </c>
      <c r="Q72" s="31">
        <f t="shared" si="17"/>
        <v>0</v>
      </c>
      <c r="R72" s="31">
        <f t="shared" si="17"/>
        <v>0</v>
      </c>
      <c r="S72" s="31">
        <f t="shared" si="17"/>
        <v>0</v>
      </c>
      <c r="T72" s="31">
        <f t="shared" si="17"/>
        <v>0</v>
      </c>
      <c r="U72" s="31">
        <f t="shared" si="17"/>
        <v>0</v>
      </c>
      <c r="V72" s="31">
        <f t="shared" si="17"/>
        <v>0</v>
      </c>
      <c r="W72" s="31">
        <f t="shared" si="17"/>
        <v>16625</v>
      </c>
      <c r="X72" s="31">
        <f t="shared" si="17"/>
        <v>30000</v>
      </c>
      <c r="Y72" s="31">
        <f t="shared" si="17"/>
        <v>40000</v>
      </c>
      <c r="Z72" s="31">
        <f t="shared" si="17"/>
        <v>8312.5</v>
      </c>
    </row>
    <row r="73" spans="1:26" s="12" customFormat="1" x14ac:dyDescent="0.25">
      <c r="A73" s="23" t="s">
        <v>53</v>
      </c>
      <c r="B73" s="38">
        <f t="shared" ref="B73:Z73" si="18">(B71+B72)</f>
        <v>0</v>
      </c>
      <c r="C73" s="38">
        <f t="shared" si="18"/>
        <v>0</v>
      </c>
      <c r="D73" s="38">
        <f t="shared" si="18"/>
        <v>221085.00000000003</v>
      </c>
      <c r="E73" s="38">
        <f t="shared" si="18"/>
        <v>375976.045575</v>
      </c>
      <c r="F73" s="38">
        <f t="shared" si="18"/>
        <v>460033.66800000006</v>
      </c>
      <c r="G73" s="38">
        <f t="shared" si="18"/>
        <v>469234.34136000008</v>
      </c>
      <c r="H73" s="38">
        <f t="shared" si="18"/>
        <v>443320.87485839409</v>
      </c>
      <c r="I73" s="38">
        <f t="shared" si="18"/>
        <v>488191.40875094401</v>
      </c>
      <c r="J73" s="38">
        <f t="shared" si="18"/>
        <v>497955.2369259629</v>
      </c>
      <c r="K73" s="38">
        <f t="shared" si="18"/>
        <v>470455.65896672657</v>
      </c>
      <c r="L73" s="38">
        <f t="shared" si="18"/>
        <v>518072.62849777186</v>
      </c>
      <c r="M73" s="38">
        <f t="shared" si="18"/>
        <v>528434.08106772718</v>
      </c>
      <c r="N73" s="38">
        <f t="shared" si="18"/>
        <v>499251.30894076201</v>
      </c>
      <c r="O73" s="38">
        <f t="shared" si="18"/>
        <v>549782.81794286345</v>
      </c>
      <c r="P73" s="38">
        <f t="shared" si="18"/>
        <v>560778.47430172074</v>
      </c>
      <c r="Q73" s="38">
        <f t="shared" si="18"/>
        <v>529809.48305840802</v>
      </c>
      <c r="R73" s="38">
        <f t="shared" si="18"/>
        <v>583433.92466351017</v>
      </c>
      <c r="S73" s="38">
        <f t="shared" si="18"/>
        <v>595102.60315678047</v>
      </c>
      <c r="T73" s="38">
        <f t="shared" si="18"/>
        <v>562238.06189744722</v>
      </c>
      <c r="U73" s="38">
        <f t="shared" si="18"/>
        <v>619144.74832431425</v>
      </c>
      <c r="V73" s="38">
        <f t="shared" si="18"/>
        <v>631527.64329080062</v>
      </c>
      <c r="W73" s="38">
        <f t="shared" si="18"/>
        <v>493946.2233520528</v>
      </c>
      <c r="X73" s="38">
        <f t="shared" si="18"/>
        <v>358520.68003987451</v>
      </c>
      <c r="Y73" s="38">
        <f t="shared" si="18"/>
        <v>107018.21872813438</v>
      </c>
      <c r="Z73" s="38">
        <f t="shared" si="18"/>
        <v>8312.5</v>
      </c>
    </row>
    <row r="74" spans="1:26" x14ac:dyDescent="0.25">
      <c r="A74" s="23"/>
      <c r="B74" s="41"/>
      <c r="C74" s="41"/>
      <c r="D74" s="41"/>
      <c r="E74" s="41"/>
      <c r="F74" s="41"/>
      <c r="G74" s="41"/>
      <c r="H74" s="41"/>
      <c r="I74" s="41"/>
      <c r="J74" s="41"/>
      <c r="K74" s="41"/>
    </row>
    <row r="75" spans="1:26" x14ac:dyDescent="0.25">
      <c r="A75" s="23" t="s">
        <v>20</v>
      </c>
    </row>
    <row r="76" spans="1:26" x14ac:dyDescent="0.25">
      <c r="A76" s="9" t="s">
        <v>44</v>
      </c>
      <c r="B76" s="33">
        <f t="shared" ref="B76:Z76" si="19">B11</f>
        <v>0</v>
      </c>
      <c r="C76" s="33">
        <f t="shared" si="19"/>
        <v>100000</v>
      </c>
      <c r="D76" s="33">
        <f t="shared" si="19"/>
        <v>150000</v>
      </c>
      <c r="E76" s="33">
        <f t="shared" si="19"/>
        <v>200000</v>
      </c>
      <c r="F76" s="33">
        <f t="shared" si="19"/>
        <v>50000</v>
      </c>
      <c r="G76" s="33">
        <f t="shared" si="19"/>
        <v>0</v>
      </c>
      <c r="H76" s="33">
        <f t="shared" si="19"/>
        <v>0</v>
      </c>
      <c r="I76" s="33">
        <f t="shared" si="19"/>
        <v>0</v>
      </c>
      <c r="J76" s="33">
        <f t="shared" si="19"/>
        <v>0</v>
      </c>
      <c r="K76" s="33">
        <f t="shared" si="19"/>
        <v>0</v>
      </c>
      <c r="L76" s="33">
        <f t="shared" si="19"/>
        <v>0</v>
      </c>
      <c r="M76" s="33">
        <f t="shared" si="19"/>
        <v>0</v>
      </c>
      <c r="N76" s="33">
        <f t="shared" si="19"/>
        <v>0</v>
      </c>
      <c r="O76" s="33">
        <f t="shared" si="19"/>
        <v>0</v>
      </c>
      <c r="P76" s="33">
        <f t="shared" si="19"/>
        <v>0</v>
      </c>
      <c r="Q76" s="33">
        <f t="shared" si="19"/>
        <v>0</v>
      </c>
      <c r="R76" s="33">
        <f t="shared" si="19"/>
        <v>0</v>
      </c>
      <c r="S76" s="33">
        <f t="shared" si="19"/>
        <v>0</v>
      </c>
      <c r="T76" s="33">
        <f t="shared" si="19"/>
        <v>0</v>
      </c>
      <c r="U76" s="33">
        <f t="shared" si="19"/>
        <v>0</v>
      </c>
      <c r="V76" s="33">
        <f t="shared" si="19"/>
        <v>0</v>
      </c>
      <c r="W76" s="33">
        <f t="shared" si="19"/>
        <v>0</v>
      </c>
      <c r="X76" s="33">
        <f t="shared" si="19"/>
        <v>0</v>
      </c>
      <c r="Y76" s="33">
        <f t="shared" si="19"/>
        <v>0</v>
      </c>
      <c r="Z76" s="33">
        <f t="shared" si="19"/>
        <v>0</v>
      </c>
    </row>
    <row r="77" spans="1:26" x14ac:dyDescent="0.25">
      <c r="A77" s="9" t="s">
        <v>104</v>
      </c>
      <c r="B77" s="33">
        <f t="shared" ref="B77:Z77" si="20">B12</f>
        <v>0</v>
      </c>
      <c r="C77" s="33">
        <f t="shared" si="20"/>
        <v>0</v>
      </c>
      <c r="D77" s="33">
        <f t="shared" si="20"/>
        <v>5000</v>
      </c>
      <c r="E77" s="33">
        <f t="shared" si="20"/>
        <v>18016.249999999996</v>
      </c>
      <c r="F77" s="33">
        <f t="shared" si="20"/>
        <v>35000</v>
      </c>
      <c r="G77" s="33">
        <f t="shared" si="20"/>
        <v>47500</v>
      </c>
      <c r="H77" s="33">
        <f t="shared" si="20"/>
        <v>52018.749999999985</v>
      </c>
      <c r="I77" s="33">
        <f t="shared" si="20"/>
        <v>50000</v>
      </c>
      <c r="J77" s="33">
        <f t="shared" si="20"/>
        <v>50000</v>
      </c>
      <c r="K77" s="33">
        <f t="shared" si="20"/>
        <v>52018.749999999985</v>
      </c>
      <c r="L77" s="33">
        <f t="shared" si="20"/>
        <v>50000</v>
      </c>
      <c r="M77" s="33">
        <f t="shared" si="20"/>
        <v>50000</v>
      </c>
      <c r="N77" s="33">
        <f t="shared" si="20"/>
        <v>52018.749999999985</v>
      </c>
      <c r="O77" s="33">
        <f t="shared" si="20"/>
        <v>50000</v>
      </c>
      <c r="P77" s="33">
        <f t="shared" si="20"/>
        <v>50000</v>
      </c>
      <c r="Q77" s="33">
        <f t="shared" si="20"/>
        <v>52018.749999999985</v>
      </c>
      <c r="R77" s="33">
        <f t="shared" si="20"/>
        <v>50000</v>
      </c>
      <c r="S77" s="33">
        <f t="shared" si="20"/>
        <v>50000</v>
      </c>
      <c r="T77" s="33">
        <f t="shared" si="20"/>
        <v>52018.749999999985</v>
      </c>
      <c r="U77" s="33">
        <f t="shared" si="20"/>
        <v>50000</v>
      </c>
      <c r="V77" s="33">
        <f t="shared" si="20"/>
        <v>50000</v>
      </c>
      <c r="W77" s="33">
        <f t="shared" si="20"/>
        <v>52018.749999999985</v>
      </c>
      <c r="X77" s="33">
        <f t="shared" si="20"/>
        <v>50000</v>
      </c>
      <c r="Y77" s="33">
        <f t="shared" si="20"/>
        <v>40000</v>
      </c>
      <c r="Z77" s="33">
        <f t="shared" si="20"/>
        <v>26009.374999999993</v>
      </c>
    </row>
    <row r="78" spans="1:26" x14ac:dyDescent="0.25">
      <c r="A78" s="9" t="s">
        <v>48</v>
      </c>
      <c r="B78" s="33">
        <f t="shared" ref="B78:Z78" si="21">B13</f>
        <v>0</v>
      </c>
      <c r="C78" s="33">
        <f t="shared" si="21"/>
        <v>10000</v>
      </c>
      <c r="D78" s="33">
        <f t="shared" si="21"/>
        <v>25000</v>
      </c>
      <c r="E78" s="33">
        <f t="shared" si="21"/>
        <v>45000</v>
      </c>
      <c r="F78" s="33">
        <f t="shared" si="21"/>
        <v>50000</v>
      </c>
      <c r="G78" s="33">
        <f t="shared" si="21"/>
        <v>50000</v>
      </c>
      <c r="H78" s="33">
        <f t="shared" si="21"/>
        <v>50000</v>
      </c>
      <c r="I78" s="33">
        <f t="shared" si="21"/>
        <v>50000</v>
      </c>
      <c r="J78" s="33">
        <f t="shared" si="21"/>
        <v>50000</v>
      </c>
      <c r="K78" s="33">
        <f t="shared" si="21"/>
        <v>50000</v>
      </c>
      <c r="L78" s="33">
        <f t="shared" si="21"/>
        <v>50000</v>
      </c>
      <c r="M78" s="33">
        <f t="shared" si="21"/>
        <v>50000</v>
      </c>
      <c r="N78" s="33">
        <f t="shared" si="21"/>
        <v>50000</v>
      </c>
      <c r="O78" s="33">
        <f t="shared" si="21"/>
        <v>50000</v>
      </c>
      <c r="P78" s="33">
        <f t="shared" si="21"/>
        <v>50000</v>
      </c>
      <c r="Q78" s="33">
        <f t="shared" si="21"/>
        <v>50000</v>
      </c>
      <c r="R78" s="33">
        <f t="shared" si="21"/>
        <v>50000</v>
      </c>
      <c r="S78" s="33">
        <f t="shared" si="21"/>
        <v>50000</v>
      </c>
      <c r="T78" s="33">
        <f t="shared" si="21"/>
        <v>50000</v>
      </c>
      <c r="U78" s="33">
        <f t="shared" si="21"/>
        <v>50000</v>
      </c>
      <c r="V78" s="33">
        <f t="shared" si="21"/>
        <v>50000</v>
      </c>
      <c r="W78" s="33">
        <f t="shared" si="21"/>
        <v>40000</v>
      </c>
      <c r="X78" s="33">
        <f t="shared" si="21"/>
        <v>25000</v>
      </c>
      <c r="Y78" s="33">
        <f t="shared" si="21"/>
        <v>5000</v>
      </c>
      <c r="Z78" s="33">
        <f t="shared" si="21"/>
        <v>0</v>
      </c>
    </row>
    <row r="79" spans="1:26" x14ac:dyDescent="0.25">
      <c r="A79" s="9" t="s">
        <v>50</v>
      </c>
      <c r="B79" s="33">
        <f t="shared" ref="B79:Z79" si="22">B14</f>
        <v>0</v>
      </c>
      <c r="C79" s="33">
        <f t="shared" si="22"/>
        <v>10000</v>
      </c>
      <c r="D79" s="33">
        <f t="shared" si="22"/>
        <v>25000</v>
      </c>
      <c r="E79" s="33">
        <f t="shared" si="22"/>
        <v>49584.375</v>
      </c>
      <c r="F79" s="33">
        <f t="shared" si="22"/>
        <v>50000</v>
      </c>
      <c r="G79" s="33">
        <f t="shared" si="22"/>
        <v>50000</v>
      </c>
      <c r="H79" s="33">
        <f t="shared" si="22"/>
        <v>55093.75</v>
      </c>
      <c r="I79" s="33">
        <f t="shared" si="22"/>
        <v>50000</v>
      </c>
      <c r="J79" s="33">
        <f t="shared" si="22"/>
        <v>50000</v>
      </c>
      <c r="K79" s="33">
        <f t="shared" si="22"/>
        <v>55093.75</v>
      </c>
      <c r="L79" s="33">
        <f t="shared" si="22"/>
        <v>50000</v>
      </c>
      <c r="M79" s="33">
        <f t="shared" si="22"/>
        <v>50000</v>
      </c>
      <c r="N79" s="33">
        <f t="shared" si="22"/>
        <v>55093.75</v>
      </c>
      <c r="O79" s="33">
        <f t="shared" si="22"/>
        <v>50000</v>
      </c>
      <c r="P79" s="33">
        <f t="shared" si="22"/>
        <v>50000</v>
      </c>
      <c r="Q79" s="33">
        <f t="shared" si="22"/>
        <v>55093.75</v>
      </c>
      <c r="R79" s="33">
        <f t="shared" si="22"/>
        <v>50000</v>
      </c>
      <c r="S79" s="33">
        <f t="shared" si="22"/>
        <v>50000</v>
      </c>
      <c r="T79" s="33">
        <f t="shared" si="22"/>
        <v>55093.75</v>
      </c>
      <c r="U79" s="33">
        <f t="shared" si="22"/>
        <v>50000</v>
      </c>
      <c r="V79" s="33">
        <f t="shared" si="22"/>
        <v>50000</v>
      </c>
      <c r="W79" s="33">
        <f t="shared" si="22"/>
        <v>44075</v>
      </c>
      <c r="X79" s="33">
        <f t="shared" si="22"/>
        <v>25000</v>
      </c>
      <c r="Y79" s="33">
        <f t="shared" si="22"/>
        <v>5000</v>
      </c>
      <c r="Z79" s="33">
        <f t="shared" si="22"/>
        <v>0</v>
      </c>
    </row>
    <row r="80" spans="1:26" x14ac:dyDescent="0.25">
      <c r="A80" s="109" t="s">
        <v>102</v>
      </c>
      <c r="B80" s="33">
        <f t="shared" ref="B80:Z80" si="23">B15</f>
        <v>0</v>
      </c>
      <c r="C80" s="33">
        <f t="shared" si="23"/>
        <v>1000</v>
      </c>
      <c r="D80" s="33">
        <f t="shared" si="23"/>
        <v>2500</v>
      </c>
      <c r="E80" s="33">
        <f t="shared" si="23"/>
        <v>4658.625</v>
      </c>
      <c r="F80" s="33">
        <f t="shared" si="23"/>
        <v>5000</v>
      </c>
      <c r="G80" s="33">
        <f t="shared" si="23"/>
        <v>5000</v>
      </c>
      <c r="H80" s="33">
        <f t="shared" si="23"/>
        <v>5176.25</v>
      </c>
      <c r="I80" s="33">
        <f t="shared" si="23"/>
        <v>5000</v>
      </c>
      <c r="J80" s="33">
        <f t="shared" si="23"/>
        <v>5000</v>
      </c>
      <c r="K80" s="33">
        <f t="shared" si="23"/>
        <v>5176.25</v>
      </c>
      <c r="L80" s="33">
        <f t="shared" si="23"/>
        <v>5000</v>
      </c>
      <c r="M80" s="33">
        <f t="shared" si="23"/>
        <v>5000</v>
      </c>
      <c r="N80" s="33">
        <f t="shared" si="23"/>
        <v>5176.25</v>
      </c>
      <c r="O80" s="33">
        <f t="shared" si="23"/>
        <v>5000</v>
      </c>
      <c r="P80" s="33">
        <f t="shared" si="23"/>
        <v>5000</v>
      </c>
      <c r="Q80" s="33">
        <f t="shared" si="23"/>
        <v>5176.25</v>
      </c>
      <c r="R80" s="33">
        <f t="shared" si="23"/>
        <v>5000</v>
      </c>
      <c r="S80" s="33">
        <f t="shared" si="23"/>
        <v>5000</v>
      </c>
      <c r="T80" s="33">
        <f t="shared" si="23"/>
        <v>5176.25</v>
      </c>
      <c r="U80" s="33">
        <f t="shared" si="23"/>
        <v>5000</v>
      </c>
      <c r="V80" s="33">
        <f t="shared" si="23"/>
        <v>5000</v>
      </c>
      <c r="W80" s="33">
        <f t="shared" si="23"/>
        <v>4141</v>
      </c>
      <c r="X80" s="33">
        <f t="shared" si="23"/>
        <v>2500</v>
      </c>
      <c r="Y80" s="33">
        <f t="shared" si="23"/>
        <v>500</v>
      </c>
      <c r="Z80" s="33">
        <f t="shared" si="23"/>
        <v>0</v>
      </c>
    </row>
    <row r="81" spans="1:27" x14ac:dyDescent="0.25">
      <c r="A81" s="109" t="s">
        <v>103</v>
      </c>
      <c r="B81" s="33">
        <f t="shared" ref="B81:Z81" si="24">B16</f>
        <v>0</v>
      </c>
      <c r="C81" s="33">
        <f t="shared" si="24"/>
        <v>20238.181818181816</v>
      </c>
      <c r="D81" s="33">
        <f t="shared" si="24"/>
        <v>50595.454545454544</v>
      </c>
      <c r="E81" s="33">
        <f t="shared" si="24"/>
        <v>94282.099772727262</v>
      </c>
      <c r="F81" s="33">
        <f t="shared" si="24"/>
        <v>101190.90909090909</v>
      </c>
      <c r="G81" s="33">
        <f t="shared" si="24"/>
        <v>101190.90909090909</v>
      </c>
      <c r="H81" s="33">
        <f t="shared" si="24"/>
        <v>104757.88863636363</v>
      </c>
      <c r="I81" s="33">
        <f t="shared" si="24"/>
        <v>101190.90909090909</v>
      </c>
      <c r="J81" s="33">
        <f t="shared" si="24"/>
        <v>101190.90909090909</v>
      </c>
      <c r="K81" s="33">
        <f t="shared" si="24"/>
        <v>104757.88863636363</v>
      </c>
      <c r="L81" s="33">
        <f t="shared" si="24"/>
        <v>101190.90909090909</v>
      </c>
      <c r="M81" s="33">
        <f t="shared" si="24"/>
        <v>101190.90909090909</v>
      </c>
      <c r="N81" s="33">
        <f t="shared" si="24"/>
        <v>104757.88863636363</v>
      </c>
      <c r="O81" s="33">
        <f t="shared" si="24"/>
        <v>101190.90909090909</v>
      </c>
      <c r="P81" s="33">
        <f t="shared" si="24"/>
        <v>101190.90909090909</v>
      </c>
      <c r="Q81" s="33">
        <f t="shared" si="24"/>
        <v>104757.88863636363</v>
      </c>
      <c r="R81" s="33">
        <f t="shared" si="24"/>
        <v>101190.90909090909</v>
      </c>
      <c r="S81" s="33">
        <f t="shared" si="24"/>
        <v>101190.90909090909</v>
      </c>
      <c r="T81" s="33">
        <f t="shared" si="24"/>
        <v>104757.88863636363</v>
      </c>
      <c r="U81" s="33">
        <f t="shared" si="24"/>
        <v>101190.90909090909</v>
      </c>
      <c r="V81" s="33">
        <f t="shared" si="24"/>
        <v>101190.90909090909</v>
      </c>
      <c r="W81" s="33">
        <f t="shared" si="24"/>
        <v>83806.310909090898</v>
      </c>
      <c r="X81" s="33">
        <f t="shared" si="24"/>
        <v>50595.454545454544</v>
      </c>
      <c r="Y81" s="33">
        <f t="shared" si="24"/>
        <v>10119.090909090908</v>
      </c>
      <c r="Z81" s="33">
        <f t="shared" si="24"/>
        <v>0</v>
      </c>
    </row>
    <row r="82" spans="1:27" x14ac:dyDescent="0.25">
      <c r="A82" s="9" t="s">
        <v>35</v>
      </c>
      <c r="B82" s="33">
        <f t="shared" ref="B82:Z82" si="25">B17</f>
        <v>0</v>
      </c>
      <c r="C82" s="33">
        <f t="shared" si="25"/>
        <v>20000</v>
      </c>
      <c r="D82" s="33">
        <f t="shared" si="25"/>
        <v>50000</v>
      </c>
      <c r="E82" s="33">
        <f t="shared" si="25"/>
        <v>94547.249999999971</v>
      </c>
      <c r="F82" s="33">
        <f t="shared" si="25"/>
        <v>100000</v>
      </c>
      <c r="G82" s="33">
        <f t="shared" si="25"/>
        <v>100000</v>
      </c>
      <c r="H82" s="33">
        <f t="shared" si="25"/>
        <v>105052.49999999997</v>
      </c>
      <c r="I82" s="33">
        <f t="shared" si="25"/>
        <v>100000</v>
      </c>
      <c r="J82" s="33">
        <f t="shared" si="25"/>
        <v>100000</v>
      </c>
      <c r="K82" s="33">
        <f t="shared" si="25"/>
        <v>105052.49999999997</v>
      </c>
      <c r="L82" s="33">
        <f t="shared" si="25"/>
        <v>100000</v>
      </c>
      <c r="M82" s="33">
        <f t="shared" si="25"/>
        <v>100000</v>
      </c>
      <c r="N82" s="33">
        <f t="shared" si="25"/>
        <v>105052.49999999997</v>
      </c>
      <c r="O82" s="33">
        <f t="shared" si="25"/>
        <v>100000</v>
      </c>
      <c r="P82" s="33">
        <f t="shared" si="25"/>
        <v>100000</v>
      </c>
      <c r="Q82" s="33">
        <f t="shared" si="25"/>
        <v>105052.49999999997</v>
      </c>
      <c r="R82" s="33">
        <f t="shared" si="25"/>
        <v>100000</v>
      </c>
      <c r="S82" s="33">
        <f t="shared" si="25"/>
        <v>100000</v>
      </c>
      <c r="T82" s="33">
        <f t="shared" si="25"/>
        <v>105052.49999999997</v>
      </c>
      <c r="U82" s="33">
        <f t="shared" si="25"/>
        <v>100000</v>
      </c>
      <c r="V82" s="33">
        <f t="shared" si="25"/>
        <v>100000</v>
      </c>
      <c r="W82" s="33">
        <f t="shared" si="25"/>
        <v>84041.999999999985</v>
      </c>
      <c r="X82" s="33">
        <f t="shared" si="25"/>
        <v>50000</v>
      </c>
      <c r="Y82" s="33">
        <f t="shared" si="25"/>
        <v>10000</v>
      </c>
      <c r="Z82" s="33">
        <f t="shared" si="25"/>
        <v>0</v>
      </c>
    </row>
    <row r="83" spans="1:27" x14ac:dyDescent="0.25">
      <c r="A83" s="9" t="s">
        <v>12</v>
      </c>
      <c r="B83" s="33">
        <f t="shared" ref="B83:Z83" si="26">B18</f>
        <v>0</v>
      </c>
      <c r="C83" s="33">
        <f t="shared" si="26"/>
        <v>4100.6000000000004</v>
      </c>
      <c r="D83" s="33">
        <f t="shared" si="26"/>
        <v>10354.014999999999</v>
      </c>
      <c r="E83" s="33">
        <f t="shared" si="26"/>
        <v>18823.599269999999</v>
      </c>
      <c r="F83" s="33">
        <f t="shared" si="26"/>
        <v>21124.261403</v>
      </c>
      <c r="G83" s="33">
        <f t="shared" si="26"/>
        <v>21335.504017029998</v>
      </c>
      <c r="H83" s="33">
        <f t="shared" si="26"/>
        <v>21548.859057200301</v>
      </c>
      <c r="I83" s="33">
        <f t="shared" si="26"/>
        <v>21764.347647772298</v>
      </c>
      <c r="J83" s="33">
        <f t="shared" si="26"/>
        <v>21981.991124250027</v>
      </c>
      <c r="K83" s="33">
        <f t="shared" si="26"/>
        <v>22201.81103549253</v>
      </c>
      <c r="L83" s="33">
        <f t="shared" si="26"/>
        <v>22423.829145847456</v>
      </c>
      <c r="M83" s="33">
        <f t="shared" si="26"/>
        <v>22648.067437305926</v>
      </c>
      <c r="N83" s="33">
        <f t="shared" si="26"/>
        <v>22874.548111678985</v>
      </c>
      <c r="O83" s="33">
        <f t="shared" si="26"/>
        <v>23103.293592795777</v>
      </c>
      <c r="P83" s="33">
        <f t="shared" si="26"/>
        <v>23334.326528723737</v>
      </c>
      <c r="Q83" s="33">
        <f t="shared" si="26"/>
        <v>23567.66979401097</v>
      </c>
      <c r="R83" s="33">
        <f t="shared" si="26"/>
        <v>23803.346491951084</v>
      </c>
      <c r="S83" s="33">
        <f t="shared" si="26"/>
        <v>24041.379956870598</v>
      </c>
      <c r="T83" s="33">
        <f t="shared" si="26"/>
        <v>24281.793756439303</v>
      </c>
      <c r="U83" s="33">
        <f t="shared" si="26"/>
        <v>24524.611694003692</v>
      </c>
      <c r="V83" s="33">
        <f t="shared" si="26"/>
        <v>24769.857810943729</v>
      </c>
      <c r="W83" s="33">
        <f t="shared" si="26"/>
        <v>20014.045111242533</v>
      </c>
      <c r="X83" s="33">
        <f t="shared" si="26"/>
        <v>12633.865976471852</v>
      </c>
      <c r="Y83" s="33">
        <f t="shared" si="26"/>
        <v>2552.0409272473134</v>
      </c>
      <c r="Z83" s="33">
        <f t="shared" si="26"/>
        <v>0</v>
      </c>
    </row>
    <row r="84" spans="1:27" s="50" customFormat="1" x14ac:dyDescent="0.25">
      <c r="A84" s="52" t="s">
        <v>131</v>
      </c>
      <c r="B84" s="49">
        <f>B51*Assumption_Hatchery!$C33</f>
        <v>0</v>
      </c>
      <c r="C84" s="49">
        <f>C51*Assumption_Hatchery!$C33</f>
        <v>0</v>
      </c>
      <c r="D84" s="49">
        <f>D51*Assumption_Hatchery!$C33</f>
        <v>0</v>
      </c>
      <c r="E84" s="49">
        <f>E51*Assumption_Hatchery!$C33</f>
        <v>0</v>
      </c>
      <c r="F84" s="49">
        <f>F51*Assumption_Hatchery!$C33</f>
        <v>0</v>
      </c>
      <c r="G84" s="49">
        <f>G51*Assumption_Hatchery!$C33</f>
        <v>0</v>
      </c>
      <c r="H84" s="49">
        <f>H51*Assumption_Hatchery!$C33</f>
        <v>0</v>
      </c>
      <c r="I84" s="49">
        <f>I51*Assumption_Hatchery!$C33</f>
        <v>0</v>
      </c>
      <c r="J84" s="49">
        <f>J51*Assumption_Hatchery!$C33</f>
        <v>0</v>
      </c>
      <c r="K84" s="49">
        <f>K51*Assumption_Hatchery!$C33</f>
        <v>0</v>
      </c>
      <c r="L84" s="49">
        <f>L51*Assumption_Hatchery!$C33</f>
        <v>0</v>
      </c>
      <c r="M84" s="49">
        <f>M51*Assumption_Hatchery!$C33</f>
        <v>0</v>
      </c>
      <c r="N84" s="49">
        <f>N51*Assumption_Hatchery!$C33</f>
        <v>0</v>
      </c>
      <c r="O84" s="49">
        <f>O51*Assumption_Hatchery!$C33</f>
        <v>0</v>
      </c>
      <c r="P84" s="49">
        <f>P51*Assumption_Hatchery!$C33</f>
        <v>0</v>
      </c>
      <c r="Q84" s="49">
        <f>Q51*Assumption_Hatchery!$C33</f>
        <v>0</v>
      </c>
      <c r="R84" s="49">
        <f>R51*Assumption_Hatchery!$C33</f>
        <v>0</v>
      </c>
      <c r="S84" s="49">
        <f>S51*Assumption_Hatchery!$C33</f>
        <v>0</v>
      </c>
      <c r="T84" s="49">
        <f>T51*Assumption_Hatchery!$C33</f>
        <v>0</v>
      </c>
      <c r="U84" s="49">
        <f>U51*Assumption_Hatchery!$C33</f>
        <v>0</v>
      </c>
      <c r="V84" s="49">
        <f>V51*Assumption_Hatchery!$C33</f>
        <v>0</v>
      </c>
      <c r="W84" s="49">
        <f>W51*Assumption_Hatchery!$C33</f>
        <v>0</v>
      </c>
      <c r="X84" s="49">
        <f>X51*Assumption_Hatchery!$C33</f>
        <v>0</v>
      </c>
      <c r="Y84" s="49">
        <f>Y51*Assumption_Hatchery!$C33</f>
        <v>0</v>
      </c>
      <c r="Z84" s="49">
        <f>Z51*Assumption_Hatchery!$C33</f>
        <v>0</v>
      </c>
    </row>
    <row r="85" spans="1:27" x14ac:dyDescent="0.25">
      <c r="A85" s="117" t="s">
        <v>54</v>
      </c>
      <c r="B85" s="37">
        <f>SUM(B76:B84)</f>
        <v>0</v>
      </c>
      <c r="C85" s="37">
        <f t="shared" ref="C85:Z85" si="27">SUM(C76:C84)</f>
        <v>165338.78181818183</v>
      </c>
      <c r="D85" s="37">
        <f t="shared" si="27"/>
        <v>318449.46954545454</v>
      </c>
      <c r="E85" s="37">
        <f t="shared" si="27"/>
        <v>524912.19904272724</v>
      </c>
      <c r="F85" s="37">
        <f t="shared" si="27"/>
        <v>412315.17049390904</v>
      </c>
      <c r="G85" s="37">
        <f t="shared" si="27"/>
        <v>375026.41310793906</v>
      </c>
      <c r="H85" s="37">
        <f t="shared" si="27"/>
        <v>393647.99769356387</v>
      </c>
      <c r="I85" s="37">
        <f t="shared" si="27"/>
        <v>377955.25673868135</v>
      </c>
      <c r="J85" s="37">
        <f t="shared" si="27"/>
        <v>378172.90021515911</v>
      </c>
      <c r="K85" s="37">
        <f t="shared" si="27"/>
        <v>394300.94967185607</v>
      </c>
      <c r="L85" s="37">
        <f t="shared" si="27"/>
        <v>378614.73823675653</v>
      </c>
      <c r="M85" s="37">
        <f t="shared" si="27"/>
        <v>378838.97652821499</v>
      </c>
      <c r="N85" s="37">
        <f t="shared" si="27"/>
        <v>394973.68674804253</v>
      </c>
      <c r="O85" s="37">
        <f t="shared" si="27"/>
        <v>379294.20268370485</v>
      </c>
      <c r="P85" s="37">
        <f t="shared" si="27"/>
        <v>379525.23561963282</v>
      </c>
      <c r="Q85" s="37">
        <f t="shared" si="27"/>
        <v>395666.80843037454</v>
      </c>
      <c r="R85" s="37">
        <f t="shared" si="27"/>
        <v>379994.25558286015</v>
      </c>
      <c r="S85" s="37">
        <f t="shared" si="27"/>
        <v>380232.28904777963</v>
      </c>
      <c r="T85" s="37">
        <f t="shared" si="27"/>
        <v>396380.93239280285</v>
      </c>
      <c r="U85" s="37">
        <f t="shared" si="27"/>
        <v>380715.52078491275</v>
      </c>
      <c r="V85" s="37">
        <f t="shared" si="27"/>
        <v>380960.7669018528</v>
      </c>
      <c r="W85" s="37">
        <f t="shared" si="27"/>
        <v>328097.10602033342</v>
      </c>
      <c r="X85" s="37">
        <f t="shared" si="27"/>
        <v>215729.32052192639</v>
      </c>
      <c r="Y85" s="37">
        <f t="shared" si="27"/>
        <v>73171.131836338231</v>
      </c>
      <c r="Z85" s="37">
        <f t="shared" si="27"/>
        <v>26009.374999999993</v>
      </c>
    </row>
    <row r="86" spans="1:27" x14ac:dyDescent="0.25">
      <c r="B86" s="32"/>
      <c r="C86" s="32"/>
      <c r="D86" s="32"/>
      <c r="E86" s="32"/>
      <c r="F86" s="32"/>
      <c r="G86" s="32"/>
      <c r="H86" s="32"/>
      <c r="I86" s="32"/>
      <c r="J86" s="32"/>
      <c r="K86" s="32"/>
      <c r="L86" s="32"/>
    </row>
    <row r="87" spans="1:27" x14ac:dyDescent="0.25">
      <c r="A87" s="23" t="s">
        <v>55</v>
      </c>
      <c r="B87" s="34">
        <f>B73-B85</f>
        <v>0</v>
      </c>
      <c r="C87" s="34">
        <f t="shared" ref="C87:Z87" si="28">C73-C85</f>
        <v>-165338.78181818183</v>
      </c>
      <c r="D87" s="34">
        <f t="shared" si="28"/>
        <v>-97364.469545454514</v>
      </c>
      <c r="E87" s="34">
        <f t="shared" si="28"/>
        <v>-148936.15346772724</v>
      </c>
      <c r="F87" s="34">
        <f t="shared" si="28"/>
        <v>47718.497506091022</v>
      </c>
      <c r="G87" s="34">
        <f t="shared" si="28"/>
        <v>94207.928252061014</v>
      </c>
      <c r="H87" s="34">
        <f t="shared" si="28"/>
        <v>49672.877164830221</v>
      </c>
      <c r="I87" s="34">
        <f t="shared" si="28"/>
        <v>110236.15201226267</v>
      </c>
      <c r="J87" s="34">
        <f t="shared" si="28"/>
        <v>119782.33671080379</v>
      </c>
      <c r="K87" s="34">
        <f t="shared" si="28"/>
        <v>76154.709294870496</v>
      </c>
      <c r="L87" s="34">
        <f t="shared" si="28"/>
        <v>139457.89026101533</v>
      </c>
      <c r="M87" s="34">
        <f t="shared" si="28"/>
        <v>149595.10453951219</v>
      </c>
      <c r="N87" s="34">
        <f t="shared" si="28"/>
        <v>104277.62219271949</v>
      </c>
      <c r="O87" s="34">
        <f t="shared" si="28"/>
        <v>170488.6152591586</v>
      </c>
      <c r="P87" s="34">
        <f t="shared" si="28"/>
        <v>181253.23868208792</v>
      </c>
      <c r="Q87" s="34">
        <f t="shared" si="28"/>
        <v>134142.67462803348</v>
      </c>
      <c r="R87" s="34">
        <f t="shared" si="28"/>
        <v>203439.66908065003</v>
      </c>
      <c r="S87" s="34">
        <f t="shared" si="28"/>
        <v>214870.31410900084</v>
      </c>
      <c r="T87" s="34">
        <f t="shared" si="28"/>
        <v>165857.12950464437</v>
      </c>
      <c r="U87" s="34">
        <f t="shared" si="28"/>
        <v>238429.2275394015</v>
      </c>
      <c r="V87" s="34">
        <f t="shared" si="28"/>
        <v>250566.87638894783</v>
      </c>
      <c r="W87" s="34">
        <f t="shared" si="28"/>
        <v>165849.11733171938</v>
      </c>
      <c r="X87" s="34">
        <f t="shared" si="28"/>
        <v>142791.35951794812</v>
      </c>
      <c r="Y87" s="34">
        <f t="shared" si="28"/>
        <v>33847.086891796149</v>
      </c>
      <c r="Z87" s="34">
        <f t="shared" si="28"/>
        <v>-17696.874999999993</v>
      </c>
    </row>
    <row r="88" spans="1:27" x14ac:dyDescent="0.25">
      <c r="B88" s="32"/>
      <c r="C88" s="32"/>
      <c r="D88" s="32"/>
      <c r="E88" s="32"/>
      <c r="F88" s="32"/>
      <c r="G88" s="32"/>
      <c r="H88" s="32"/>
      <c r="I88" s="32"/>
      <c r="J88" s="32"/>
      <c r="K88" s="32"/>
      <c r="L88" s="32"/>
    </row>
    <row r="89" spans="1:27" s="12" customFormat="1" x14ac:dyDescent="0.25">
      <c r="A89" s="10" t="s">
        <v>319</v>
      </c>
      <c r="B89" s="345">
        <f>B73/(1+Assumption_Hatchery!$C173)^B69</f>
        <v>0</v>
      </c>
      <c r="C89" s="345">
        <f>C73/(1+Assumption_Hatchery!$C173)^C69</f>
        <v>0</v>
      </c>
      <c r="D89" s="345">
        <f>D73/(1+Assumption_Hatchery!$C173)^D69</f>
        <v>221085.00000000003</v>
      </c>
      <c r="E89" s="345">
        <f>E73/(1+Assumption_Hatchery!$C173)^E69</f>
        <v>375976.045575</v>
      </c>
      <c r="F89" s="345">
        <f>F73/(1+Assumption_Hatchery!$C173)^F69</f>
        <v>460033.66800000006</v>
      </c>
      <c r="G89" s="345">
        <f>G73/(1+Assumption_Hatchery!$C173)^G69</f>
        <v>469234.34136000008</v>
      </c>
      <c r="H89" s="345">
        <f>H73/(1+Assumption_Hatchery!$C173)^H69</f>
        <v>443320.87485839409</v>
      </c>
      <c r="I89" s="345">
        <f>I73/(1+Assumption_Hatchery!$C173)^I69</f>
        <v>488191.40875094401</v>
      </c>
      <c r="J89" s="345">
        <f>J73/(1+Assumption_Hatchery!$C173)^J69</f>
        <v>497955.2369259629</v>
      </c>
      <c r="K89" s="345">
        <f>K73/(1+Assumption_Hatchery!$C173)^K69</f>
        <v>470455.65896672657</v>
      </c>
      <c r="L89" s="345">
        <f>L73/(1+Assumption_Hatchery!$C173)^L69</f>
        <v>518072.62849777186</v>
      </c>
      <c r="M89" s="345">
        <f>M73/(1+Assumption_Hatchery!$C173)^M69</f>
        <v>528434.08106772718</v>
      </c>
      <c r="N89" s="345">
        <f>N73/(1+Assumption_Hatchery!$C173)^N69</f>
        <v>499251.30894076201</v>
      </c>
      <c r="O89" s="345">
        <f>O73/(1+Assumption_Hatchery!$C173)^O69</f>
        <v>549782.81794286345</v>
      </c>
      <c r="P89" s="345">
        <f>P73/(1+Assumption_Hatchery!$C173)^P69</f>
        <v>560778.47430172074</v>
      </c>
      <c r="Q89" s="345">
        <f>Q73/(1+Assumption_Hatchery!$C173)^Q69</f>
        <v>529809.48305840802</v>
      </c>
      <c r="R89" s="345">
        <f>R73/(1+Assumption_Hatchery!$C173)^R69</f>
        <v>583433.92466351017</v>
      </c>
      <c r="S89" s="345">
        <f>S73/(1+Assumption_Hatchery!$C173)^S69</f>
        <v>595102.60315678047</v>
      </c>
      <c r="T89" s="345">
        <f>T73/(1+Assumption_Hatchery!$C173)^T69</f>
        <v>562238.06189744722</v>
      </c>
      <c r="U89" s="345">
        <f>U73/(1+Assumption_Hatchery!$C173)^U69</f>
        <v>619144.74832431425</v>
      </c>
      <c r="V89" s="345">
        <f>V73/(1+Assumption_Hatchery!$C173)^V69</f>
        <v>631527.64329080062</v>
      </c>
      <c r="W89" s="345">
        <f>W73/(1+Assumption_Hatchery!$C173)^W69</f>
        <v>493946.2233520528</v>
      </c>
      <c r="X89" s="345">
        <f>X73/(1+Assumption_Hatchery!$C173)^X69</f>
        <v>358520.68003987451</v>
      </c>
      <c r="Y89" s="345">
        <f>Y73/(1+Assumption_Hatchery!$C173)^Y69</f>
        <v>107018.21872813438</v>
      </c>
      <c r="Z89" s="345">
        <f>Z73/(1+Assumption_Hatchery!$C173)^Z69</f>
        <v>8312.5</v>
      </c>
      <c r="AA89" s="343">
        <f>SUM(B89:Z89)</f>
        <v>10571625.631699197</v>
      </c>
    </row>
    <row r="90" spans="1:27" s="12" customFormat="1" x14ac:dyDescent="0.25">
      <c r="A90" s="10" t="s">
        <v>320</v>
      </c>
      <c r="B90" s="346">
        <f>B85/(1+Assumption_Hatchery!$C173)^BaU_Hatchery!B69</f>
        <v>0</v>
      </c>
      <c r="C90" s="346">
        <f>C85/(1+Assumption_Hatchery!$C173)^BaU_Hatchery!C69</f>
        <v>165338.78181818183</v>
      </c>
      <c r="D90" s="346">
        <f>D85/(1+Assumption_Hatchery!$C173)^BaU_Hatchery!D69</f>
        <v>318449.46954545454</v>
      </c>
      <c r="E90" s="346">
        <f>E85/(1+Assumption_Hatchery!$C173)^BaU_Hatchery!E69</f>
        <v>524912.19904272724</v>
      </c>
      <c r="F90" s="346">
        <f>F85/(1+Assumption_Hatchery!$C173)^BaU_Hatchery!F69</f>
        <v>412315.17049390904</v>
      </c>
      <c r="G90" s="346">
        <f>G85/(1+Assumption_Hatchery!$C173)^BaU_Hatchery!G69</f>
        <v>375026.41310793906</v>
      </c>
      <c r="H90" s="346">
        <f>H85/(1+Assumption_Hatchery!$C173)^BaU_Hatchery!H69</f>
        <v>393647.99769356387</v>
      </c>
      <c r="I90" s="346">
        <f>I85/(1+Assumption_Hatchery!$C173)^BaU_Hatchery!I69</f>
        <v>377955.25673868135</v>
      </c>
      <c r="J90" s="346">
        <f>J85/(1+Assumption_Hatchery!$C173)^BaU_Hatchery!J69</f>
        <v>378172.90021515911</v>
      </c>
      <c r="K90" s="346">
        <f>K85/(1+Assumption_Hatchery!$C173)^BaU_Hatchery!K69</f>
        <v>394300.94967185607</v>
      </c>
      <c r="L90" s="346">
        <f>L85/(1+Assumption_Hatchery!$C173)^BaU_Hatchery!L69</f>
        <v>378614.73823675653</v>
      </c>
      <c r="M90" s="346">
        <f>M85/(1+Assumption_Hatchery!$C173)^BaU_Hatchery!M69</f>
        <v>378838.97652821499</v>
      </c>
      <c r="N90" s="346">
        <f>N85/(1+Assumption_Hatchery!$C173)^BaU_Hatchery!N69</f>
        <v>394973.68674804253</v>
      </c>
      <c r="O90" s="346">
        <f>O85/(1+Assumption_Hatchery!$C173)^BaU_Hatchery!O69</f>
        <v>379294.20268370485</v>
      </c>
      <c r="P90" s="346">
        <f>P85/(1+Assumption_Hatchery!$C173)^BaU_Hatchery!P69</f>
        <v>379525.23561963282</v>
      </c>
      <c r="Q90" s="346">
        <f>Q85/(1+Assumption_Hatchery!$C173)^BaU_Hatchery!Q69</f>
        <v>395666.80843037454</v>
      </c>
      <c r="R90" s="346">
        <f>R85/(1+Assumption_Hatchery!$C173)^BaU_Hatchery!R69</f>
        <v>379994.25558286015</v>
      </c>
      <c r="S90" s="346">
        <f>S85/(1+Assumption_Hatchery!$C173)^BaU_Hatchery!S69</f>
        <v>380232.28904777963</v>
      </c>
      <c r="T90" s="346">
        <f>T85/(1+Assumption_Hatchery!$C173)^BaU_Hatchery!T69</f>
        <v>396380.93239280285</v>
      </c>
      <c r="U90" s="346">
        <f>U85/(1+Assumption_Hatchery!$C173)^BaU_Hatchery!U69</f>
        <v>380715.52078491275</v>
      </c>
      <c r="V90" s="346">
        <f>V85/(1+Assumption_Hatchery!$C173)^BaU_Hatchery!V69</f>
        <v>380960.7669018528</v>
      </c>
      <c r="W90" s="346">
        <f>W85/(1+Assumption_Hatchery!$C173)^BaU_Hatchery!W69</f>
        <v>328097.10602033342</v>
      </c>
      <c r="X90" s="346">
        <f>X85/(1+Assumption_Hatchery!$C173)^BaU_Hatchery!X69</f>
        <v>215729.32052192639</v>
      </c>
      <c r="Y90" s="346">
        <f>Y85/(1+Assumption_Hatchery!$C173)^BaU_Hatchery!Y69</f>
        <v>73171.131836338231</v>
      </c>
      <c r="Z90" s="346">
        <f>Z85/(1+Assumption_Hatchery!$C173)^BaU_Hatchery!Z69</f>
        <v>26009.374999999993</v>
      </c>
      <c r="AA90" s="343">
        <f>SUM(B90:Z90)</f>
        <v>8208323.4846630041</v>
      </c>
    </row>
    <row r="91" spans="1:27" x14ac:dyDescent="0.25">
      <c r="B91" s="32"/>
      <c r="C91" s="32"/>
      <c r="D91" s="32"/>
      <c r="E91" s="32"/>
      <c r="F91" s="32"/>
      <c r="G91" s="32"/>
      <c r="H91" s="32"/>
      <c r="I91" s="32"/>
      <c r="J91" s="32"/>
      <c r="K91" s="32"/>
      <c r="L91" s="32"/>
    </row>
    <row r="92" spans="1:27" s="12" customFormat="1" x14ac:dyDescent="0.25">
      <c r="A92" s="25" t="s">
        <v>318</v>
      </c>
      <c r="B92" s="35">
        <f>NPV(Assumption_Hatchery!C76,C87:Z87)+B87</f>
        <v>861462.88212963927</v>
      </c>
      <c r="C92" s="40"/>
      <c r="D92" s="40"/>
      <c r="E92" s="40"/>
      <c r="F92" s="40"/>
      <c r="G92" s="40"/>
      <c r="H92" s="40"/>
      <c r="I92" s="40"/>
      <c r="J92" s="40"/>
      <c r="K92" s="40"/>
      <c r="L92" s="40"/>
    </row>
    <row r="94" spans="1:27" s="12" customFormat="1" x14ac:dyDescent="0.25">
      <c r="A94" s="25" t="s">
        <v>238</v>
      </c>
      <c r="B94" s="36">
        <f>IRR(B87:Z87)</f>
        <v>0.19990570927137163</v>
      </c>
      <c r="C94" s="4"/>
      <c r="D94" s="4"/>
      <c r="E94" s="4"/>
      <c r="F94" s="4"/>
      <c r="G94" s="4"/>
      <c r="H94" s="4"/>
      <c r="I94" s="4"/>
      <c r="J94" s="4"/>
      <c r="K94" s="4"/>
      <c r="L94" s="4"/>
    </row>
  </sheetData>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sheetPr>
  <dimension ref="A2:AA94"/>
  <sheetViews>
    <sheetView showGridLines="0" zoomScale="70" zoomScaleNormal="70" workbookViewId="0">
      <selection activeCell="A27" sqref="A27:A29"/>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6" width="12.57031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2.28515625" style="26" customWidth="1"/>
    <col min="13" max="23" width="13.7109375" style="3" customWidth="1"/>
    <col min="24" max="24" width="15.7109375" style="3" customWidth="1"/>
    <col min="25" max="25" width="11" style="3" customWidth="1"/>
    <col min="26" max="26" width="11.140625" style="3" customWidth="1"/>
    <col min="27" max="27" width="14.28515625" style="3" customWidth="1"/>
    <col min="28"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51</v>
      </c>
      <c r="B6" s="31">
        <v>0</v>
      </c>
      <c r="C6" s="31">
        <v>0</v>
      </c>
      <c r="D6" s="31">
        <f>Assumption_Hatchery!F18*Assumption_Hatchery!F176*Assumption_Hatchery!F177*(1+Assumption_Hatchery!F178)^Assumption_Hatchery!F175</f>
        <v>221085.00000000003</v>
      </c>
      <c r="E6" s="136">
        <f>Assumption_Hatchery!G18*Assumption_Hatchery!G176*Assumption_Hatchery!G177*(1+Assumption_Hatchery!G178)^Assumption_Hatchery!G175*(1+Assumption_Hatchery!$X153)</f>
        <v>366081.9391125</v>
      </c>
      <c r="F6" s="31">
        <f>Assumption_Hatchery!H18*Assumption_Hatchery!H176*Assumption_Hatchery!H177*(1+Assumption_Hatchery!H178)^Assumption_Hatchery!H175</f>
        <v>460033.66800000006</v>
      </c>
      <c r="G6" s="31">
        <f>Assumption_Hatchery!I18*Assumption_Hatchery!I176*Assumption_Hatchery!I177*(1+Assumption_Hatchery!I178)^Assumption_Hatchery!I175</f>
        <v>469234.34136000008</v>
      </c>
      <c r="H6" s="136">
        <f>Assumption_Hatchery!J18*Assumption_Hatchery!J176*Assumption_Hatchery!J177*(1+Assumption_Hatchery!J178)^Assumption_Hatchery!J175*(1+Assumption_Hatchery!$X153)</f>
        <v>431654.53604633111</v>
      </c>
      <c r="I6" s="31">
        <f>Assumption_Hatchery!K18*Assumption_Hatchery!K176*Assumption_Hatchery!K177*(1+Assumption_Hatchery!K178)^Assumption_Hatchery!K175</f>
        <v>488191.40875094401</v>
      </c>
      <c r="J6" s="31">
        <f>Assumption_Hatchery!L18*Assumption_Hatchery!L176*Assumption_Hatchery!L177*(1+Assumption_Hatchery!L178)^Assumption_Hatchery!L175</f>
        <v>497955.2369259629</v>
      </c>
      <c r="K6" s="136">
        <f>Assumption_Hatchery!M18*Assumption_Hatchery!M176*Assumption_Hatchery!M177*(1+Assumption_Hatchery!M178)^Assumption_Hatchery!M175*(1+Assumption_Hatchery!$X153)</f>
        <v>458075.24688865483</v>
      </c>
      <c r="L6" s="31">
        <f>Assumption_Hatchery!N18*Assumption_Hatchery!N176*Assumption_Hatchery!N177*(1+Assumption_Hatchery!N178)^Assumption_Hatchery!N175</f>
        <v>518072.62849777186</v>
      </c>
      <c r="M6" s="31">
        <f>Assumption_Hatchery!O18*Assumption_Hatchery!O176*Assumption_Hatchery!O177*(1+Assumption_Hatchery!O178)^Assumption_Hatchery!O175</f>
        <v>528434.08106772718</v>
      </c>
      <c r="N6" s="136">
        <f>Assumption_Hatchery!P18*Assumption_Hatchery!P176*Assumption_Hatchery!P177*(1+Assumption_Hatchery!P178)^Assumption_Hatchery!P175*(1+Assumption_Hatchery!$X153)</f>
        <v>486113.11660021567</v>
      </c>
      <c r="O6" s="31">
        <f>Assumption_Hatchery!Q18*Assumption_Hatchery!Q176*Assumption_Hatchery!Q177*(1+Assumption_Hatchery!Q178)^Assumption_Hatchery!Q175</f>
        <v>549782.81794286345</v>
      </c>
      <c r="P6" s="31">
        <f>Assumption_Hatchery!R18*Assumption_Hatchery!R176*Assumption_Hatchery!R177*(1+Assumption_Hatchery!R178)^Assumption_Hatchery!R175</f>
        <v>560778.47430172074</v>
      </c>
      <c r="Q6" s="136">
        <f>Assumption_Hatchery!S18*Assumption_Hatchery!S176*Assumption_Hatchery!S177*(1+Assumption_Hatchery!S178)^Assumption_Hatchery!S175*(1+Assumption_Hatchery!$X153)</f>
        <v>515867.12824108155</v>
      </c>
      <c r="R6" s="31">
        <f>Assumption_Hatchery!T18*Assumption_Hatchery!T176*Assumption_Hatchery!T177*(1+Assumption_Hatchery!T178)^Assumption_Hatchery!T175</f>
        <v>583433.92466351017</v>
      </c>
      <c r="S6" s="31">
        <f>Assumption_Hatchery!U18*Assumption_Hatchery!U176*Assumption_Hatchery!U177*(1+Assumption_Hatchery!U178)^Assumption_Hatchery!U175</f>
        <v>595102.60315678047</v>
      </c>
      <c r="T6" s="136">
        <f>Assumption_Hatchery!V18*Assumption_Hatchery!V176*Assumption_Hatchery!V177*(1+Assumption_Hatchery!V178)^Assumption_Hatchery!V175*(1+Assumption_Hatchery!$X153)</f>
        <v>547442.32342646178</v>
      </c>
      <c r="U6" s="31">
        <f>Assumption_Hatchery!W18*Assumption_Hatchery!W176*Assumption_Hatchery!W177*(1+Assumption_Hatchery!W178)^Assumption_Hatchery!W175</f>
        <v>619144.74832431425</v>
      </c>
      <c r="V6" s="31">
        <f>Assumption_Hatchery!X18*Assumption_Hatchery!X176*Assumption_Hatchery!X177*(1+Assumption_Hatchery!X178)^Assumption_Hatchery!X175</f>
        <v>631527.64329080062</v>
      </c>
      <c r="W6" s="136">
        <f>Assumption_Hatchery!Y18*Assumption_Hatchery!Y176*Assumption_Hatchery!Y177*(1+Assumption_Hatchery!Y178)^Assumption_Hatchery!Y175*(1+Assumption_Hatchery!$X153)</f>
        <v>464760.13852699887</v>
      </c>
      <c r="X6" s="31">
        <f>Assumption_Hatchery!Z18*Assumption_Hatchery!Z176*Assumption_Hatchery!Z177*(1+Assumption_Hatchery!Z178)^Assumption_Hatchery!Z175</f>
        <v>328520.68003987451</v>
      </c>
      <c r="Y6" s="31">
        <f>Assumption_Hatchery!AA18*Assumption_Hatchery!AA176*Assumption_Hatchery!AA177*(1+Assumption_Hatchery!AA178)^Assumption_Hatchery!AA175</f>
        <v>67018.218728134379</v>
      </c>
      <c r="Z6" s="136">
        <f>Assumption_Hatchery!AB18*Assumption_Hatchery!AB176*Assumption_Hatchery!AB177*(1+Assumption_Hatchery!AB178)^Assumption_Hatchery!AB175*(1+Assumption_Hatchery!$X153)</f>
        <v>0</v>
      </c>
    </row>
    <row r="7" spans="1:26" x14ac:dyDescent="0.25">
      <c r="A7" s="10" t="s">
        <v>52</v>
      </c>
      <c r="B7" s="31">
        <f>Assumption_Hatchery!D17*Assumption_Hatchery!D179</f>
        <v>0</v>
      </c>
      <c r="C7" s="31">
        <f>Assumption_Hatchery!E17*Assumption_Hatchery!E179</f>
        <v>0</v>
      </c>
      <c r="D7" s="31">
        <f>Assumption_Hatchery!F17*Assumption_Hatchery!F179</f>
        <v>0</v>
      </c>
      <c r="E7" s="136">
        <f>Assumption_Hatchery!G17*Assumption_Hatchery!G179*(1+Assumption_Hatchery!$X156)</f>
        <v>0</v>
      </c>
      <c r="F7" s="31">
        <f>Assumption_Hatchery!H17*Assumption_Hatchery!H179</f>
        <v>0</v>
      </c>
      <c r="G7" s="31">
        <f>Assumption_Hatchery!I17*Assumption_Hatchery!I179</f>
        <v>0</v>
      </c>
      <c r="H7" s="136">
        <f>Assumption_Hatchery!J17*Assumption_Hatchery!J179</f>
        <v>0</v>
      </c>
      <c r="I7" s="31">
        <f>Assumption_Hatchery!K17*Assumption_Hatchery!K179</f>
        <v>0</v>
      </c>
      <c r="J7" s="31">
        <f>Assumption_Hatchery!L17*Assumption_Hatchery!L179</f>
        <v>0</v>
      </c>
      <c r="K7" s="136">
        <f>Assumption_Hatchery!M17*Assumption_Hatchery!M179</f>
        <v>0</v>
      </c>
      <c r="L7" s="31">
        <f>Assumption_Hatchery!N17*Assumption_Hatchery!N179</f>
        <v>0</v>
      </c>
      <c r="M7" s="31">
        <f>Assumption_Hatchery!O17*Assumption_Hatchery!O179</f>
        <v>0</v>
      </c>
      <c r="N7" s="136">
        <f>Assumption_Hatchery!P17*Assumption_Hatchery!P179</f>
        <v>0</v>
      </c>
      <c r="O7" s="31">
        <f>Assumption_Hatchery!Q17*Assumption_Hatchery!Q179</f>
        <v>0</v>
      </c>
      <c r="P7" s="31">
        <f>Assumption_Hatchery!R17*Assumption_Hatchery!R179</f>
        <v>0</v>
      </c>
      <c r="Q7" s="136">
        <f>Assumption_Hatchery!S17*Assumption_Hatchery!S179</f>
        <v>0</v>
      </c>
      <c r="R7" s="31">
        <f>Assumption_Hatchery!T17*Assumption_Hatchery!T179</f>
        <v>0</v>
      </c>
      <c r="S7" s="31">
        <f>Assumption_Hatchery!U17*Assumption_Hatchery!U179</f>
        <v>0</v>
      </c>
      <c r="T7" s="136">
        <f>Assumption_Hatchery!V17*Assumption_Hatchery!V179</f>
        <v>0</v>
      </c>
      <c r="U7" s="31">
        <f>Assumption_Hatchery!W17*Assumption_Hatchery!W179</f>
        <v>0</v>
      </c>
      <c r="V7" s="31">
        <f>Assumption_Hatchery!X17*Assumption_Hatchery!X179</f>
        <v>0</v>
      </c>
      <c r="W7" s="136">
        <f>Assumption_Hatchery!Y17*Assumption_Hatchery!Y179</f>
        <v>19000</v>
      </c>
      <c r="X7" s="31">
        <f>Assumption_Hatchery!Z17*Assumption_Hatchery!Z179</f>
        <v>30000</v>
      </c>
      <c r="Y7" s="31">
        <f>Assumption_Hatchery!AA17*Assumption_Hatchery!AA179</f>
        <v>40000</v>
      </c>
      <c r="Z7" s="136">
        <f>Assumption_Hatchery!AB17*Assumption_Hatchery!AB179</f>
        <v>9500</v>
      </c>
    </row>
    <row r="8" spans="1:26" s="12" customFormat="1" x14ac:dyDescent="0.25">
      <c r="A8" s="23" t="s">
        <v>53</v>
      </c>
      <c r="B8" s="38">
        <f t="shared" ref="B8:Z8" si="0">(B6+B7)</f>
        <v>0</v>
      </c>
      <c r="C8" s="38">
        <f t="shared" si="0"/>
        <v>0</v>
      </c>
      <c r="D8" s="38">
        <f t="shared" si="0"/>
        <v>221085.00000000003</v>
      </c>
      <c r="E8" s="38">
        <f t="shared" si="0"/>
        <v>366081.9391125</v>
      </c>
      <c r="F8" s="38">
        <f t="shared" si="0"/>
        <v>460033.66800000006</v>
      </c>
      <c r="G8" s="38">
        <f t="shared" si="0"/>
        <v>469234.34136000008</v>
      </c>
      <c r="H8" s="38">
        <f t="shared" si="0"/>
        <v>431654.53604633111</v>
      </c>
      <c r="I8" s="38">
        <f t="shared" si="0"/>
        <v>488191.40875094401</v>
      </c>
      <c r="J8" s="38">
        <f t="shared" si="0"/>
        <v>497955.2369259629</v>
      </c>
      <c r="K8" s="38">
        <f t="shared" si="0"/>
        <v>458075.24688865483</v>
      </c>
      <c r="L8" s="38">
        <f t="shared" si="0"/>
        <v>518072.62849777186</v>
      </c>
      <c r="M8" s="38">
        <f t="shared" si="0"/>
        <v>528434.08106772718</v>
      </c>
      <c r="N8" s="38">
        <f t="shared" si="0"/>
        <v>486113.11660021567</v>
      </c>
      <c r="O8" s="38">
        <f t="shared" si="0"/>
        <v>549782.81794286345</v>
      </c>
      <c r="P8" s="38">
        <f t="shared" si="0"/>
        <v>560778.47430172074</v>
      </c>
      <c r="Q8" s="38">
        <f t="shared" si="0"/>
        <v>515867.12824108155</v>
      </c>
      <c r="R8" s="38">
        <f t="shared" si="0"/>
        <v>583433.92466351017</v>
      </c>
      <c r="S8" s="38">
        <f t="shared" si="0"/>
        <v>595102.60315678047</v>
      </c>
      <c r="T8" s="38">
        <f t="shared" si="0"/>
        <v>547442.32342646178</v>
      </c>
      <c r="U8" s="38">
        <f t="shared" si="0"/>
        <v>619144.74832431425</v>
      </c>
      <c r="V8" s="38">
        <f t="shared" si="0"/>
        <v>631527.64329080062</v>
      </c>
      <c r="W8" s="38">
        <f t="shared" si="0"/>
        <v>483760.13852699887</v>
      </c>
      <c r="X8" s="38">
        <f t="shared" si="0"/>
        <v>358520.68003987451</v>
      </c>
      <c r="Y8" s="38">
        <f t="shared" si="0"/>
        <v>107018.21872813438</v>
      </c>
      <c r="Z8" s="38">
        <f t="shared" si="0"/>
        <v>9500</v>
      </c>
    </row>
    <row r="9" spans="1:26" x14ac:dyDescent="0.25">
      <c r="A9" s="23"/>
      <c r="B9" s="41"/>
      <c r="C9" s="41"/>
      <c r="D9" s="41"/>
      <c r="E9" s="41"/>
      <c r="F9" s="41"/>
      <c r="G9" s="41"/>
      <c r="H9" s="41"/>
      <c r="I9" s="41"/>
      <c r="J9" s="41"/>
      <c r="K9" s="41"/>
    </row>
    <row r="10" spans="1:26" x14ac:dyDescent="0.25">
      <c r="A10" s="23" t="s">
        <v>20</v>
      </c>
    </row>
    <row r="11" spans="1:26" x14ac:dyDescent="0.25">
      <c r="A11" s="9" t="s">
        <v>44</v>
      </c>
      <c r="B11" s="33">
        <f>Assumption_Hatchery!D183*Assumption_Hatchery!D6</f>
        <v>0</v>
      </c>
      <c r="C11" s="33">
        <f>Assumption_Hatchery!E183*Assumption_Hatchery!E6</f>
        <v>100000</v>
      </c>
      <c r="D11" s="33">
        <f>Assumption_Hatchery!F183*Assumption_Hatchery!F6</f>
        <v>150000</v>
      </c>
      <c r="E11" s="33">
        <f>Assumption_Hatchery!G183*Assumption_Hatchery!G6</f>
        <v>200000</v>
      </c>
      <c r="F11" s="33">
        <f>Assumption_Hatchery!H183*Assumption_Hatchery!H6</f>
        <v>50000</v>
      </c>
      <c r="G11" s="33">
        <f>Assumption_Hatchery!I183*Assumption_Hatchery!I6</f>
        <v>0</v>
      </c>
      <c r="H11" s="33">
        <f>Assumption_Hatchery!J183*Assumption_Hatchery!J6</f>
        <v>0</v>
      </c>
      <c r="I11" s="33">
        <f>Assumption_Hatchery!K183*Assumption_Hatchery!K6</f>
        <v>0</v>
      </c>
      <c r="J11" s="33">
        <f>Assumption_Hatchery!L183*Assumption_Hatchery!L6</f>
        <v>0</v>
      </c>
      <c r="K11" s="33">
        <f>Assumption_Hatchery!M183*Assumption_Hatchery!M6</f>
        <v>0</v>
      </c>
      <c r="L11" s="33">
        <f>Assumption_Hatchery!N183*Assumption_Hatchery!N6</f>
        <v>0</v>
      </c>
      <c r="M11" s="33">
        <f>Assumption_Hatchery!O183*Assumption_Hatchery!O6</f>
        <v>0</v>
      </c>
      <c r="N11" s="33">
        <f>Assumption_Hatchery!P183*Assumption_Hatchery!P6</f>
        <v>0</v>
      </c>
      <c r="O11" s="33">
        <f>Assumption_Hatchery!Q183*Assumption_Hatchery!Q6</f>
        <v>0</v>
      </c>
      <c r="P11" s="33">
        <f>Assumption_Hatchery!R183*Assumption_Hatchery!R6</f>
        <v>0</v>
      </c>
      <c r="Q11" s="33">
        <f>Assumption_Hatchery!S183*Assumption_Hatchery!S6</f>
        <v>0</v>
      </c>
      <c r="R11" s="33">
        <f>Assumption_Hatchery!T183*Assumption_Hatchery!T6</f>
        <v>0</v>
      </c>
      <c r="S11" s="33">
        <f>Assumption_Hatchery!U183*Assumption_Hatchery!U6</f>
        <v>0</v>
      </c>
      <c r="T11" s="33">
        <f>Assumption_Hatchery!V183*Assumption_Hatchery!V6</f>
        <v>0</v>
      </c>
      <c r="U11" s="33">
        <f>Assumption_Hatchery!W183*Assumption_Hatchery!W6</f>
        <v>0</v>
      </c>
      <c r="V11" s="33">
        <f>Assumption_Hatchery!X183*Assumption_Hatchery!X6</f>
        <v>0</v>
      </c>
      <c r="W11" s="33">
        <f>Assumption_Hatchery!Y183*Assumption_Hatchery!Y6</f>
        <v>0</v>
      </c>
      <c r="X11" s="33">
        <f>Assumption_Hatchery!Z183*Assumption_Hatchery!Z6</f>
        <v>0</v>
      </c>
      <c r="Y11" s="33">
        <f>Assumption_Hatchery!AA183*Assumption_Hatchery!AA6</f>
        <v>0</v>
      </c>
      <c r="Z11" s="33">
        <f>Assumption_Hatchery!AB183*Assumption_Hatchery!AB6</f>
        <v>0</v>
      </c>
    </row>
    <row r="12" spans="1:26" x14ac:dyDescent="0.25">
      <c r="A12" s="9" t="s">
        <v>104</v>
      </c>
      <c r="B12" s="33">
        <v>0</v>
      </c>
      <c r="C12" s="33">
        <v>0</v>
      </c>
      <c r="D12" s="33">
        <f>Assumption_Hatchery!E6*Assumption_Hatchery!F184</f>
        <v>5000</v>
      </c>
      <c r="E12" s="137">
        <f>(Assumption_Hatchery!F16*Assumption_Hatchery!G184)+(Assumption_Hatchery!E18*Assumption_Hatchery!G185)*(1+Assumption_Hatchery!$X161)</f>
        <v>19031.249999999996</v>
      </c>
      <c r="F12" s="33">
        <f>(Assumption_Hatchery!G16*Assumption_Hatchery!H184)+(Assumption_Hatchery!F18*Assumption_Hatchery!H185)</f>
        <v>35000</v>
      </c>
      <c r="G12" s="33">
        <f>(Assumption_Hatchery!H16*Assumption_Hatchery!I184)+(Assumption_Hatchery!G18*Assumption_Hatchery!I185)</f>
        <v>47500</v>
      </c>
      <c r="H12" s="137">
        <f>(Assumption_Hatchery!I16*Assumption_Hatchery!J184)+(Assumption_Hatchery!H18*Assumption_Hatchery!J185)*(1+Assumption_Hatchery!$X161)</f>
        <v>57093.749999999993</v>
      </c>
      <c r="I12" s="33">
        <f>(Assumption_Hatchery!J16*Assumption_Hatchery!K184)+(Assumption_Hatchery!I18*Assumption_Hatchery!K185)</f>
        <v>50000</v>
      </c>
      <c r="J12" s="33">
        <f>(Assumption_Hatchery!K16*Assumption_Hatchery!L184)+(Assumption_Hatchery!J18*Assumption_Hatchery!L185)</f>
        <v>50000</v>
      </c>
      <c r="K12" s="137">
        <f>(Assumption_Hatchery!L16*Assumption_Hatchery!M184)+(Assumption_Hatchery!K18*Assumption_Hatchery!M185)*(1+Assumption_Hatchery!$X161)</f>
        <v>57093.749999999993</v>
      </c>
      <c r="L12" s="33">
        <f>(Assumption_Hatchery!M16*Assumption_Hatchery!N184)+(Assumption_Hatchery!L18*Assumption_Hatchery!N185)</f>
        <v>50000</v>
      </c>
      <c r="M12" s="33">
        <f>(Assumption_Hatchery!N16*Assumption_Hatchery!O184)+(Assumption_Hatchery!M18*Assumption_Hatchery!O185)</f>
        <v>50000</v>
      </c>
      <c r="N12" s="137">
        <f>(Assumption_Hatchery!O16*Assumption_Hatchery!P184)+(Assumption_Hatchery!N18*Assumption_Hatchery!P185)*(1+Assumption_Hatchery!$X161)</f>
        <v>57093.749999999993</v>
      </c>
      <c r="O12" s="33">
        <f>(Assumption_Hatchery!P16*Assumption_Hatchery!Q184)+(Assumption_Hatchery!O18*Assumption_Hatchery!Q185)</f>
        <v>50000</v>
      </c>
      <c r="P12" s="33">
        <f>(Assumption_Hatchery!Q16*Assumption_Hatchery!R184)+(Assumption_Hatchery!P18*Assumption_Hatchery!R185)</f>
        <v>50000</v>
      </c>
      <c r="Q12" s="137">
        <f>(Assumption_Hatchery!R16*Assumption_Hatchery!S184)+(Assumption_Hatchery!Q18*Assumption_Hatchery!S185)*(1+Assumption_Hatchery!$X161)</f>
        <v>57093.749999999993</v>
      </c>
      <c r="R12" s="33">
        <f>(Assumption_Hatchery!S16*Assumption_Hatchery!T184)+(Assumption_Hatchery!R18*Assumption_Hatchery!T185)</f>
        <v>50000</v>
      </c>
      <c r="S12" s="33">
        <f>(Assumption_Hatchery!T16*Assumption_Hatchery!U184)+(Assumption_Hatchery!S18*Assumption_Hatchery!U185)</f>
        <v>50000</v>
      </c>
      <c r="T12" s="137">
        <f>(Assumption_Hatchery!U16*Assumption_Hatchery!V184)+(Assumption_Hatchery!T18*Assumption_Hatchery!V185)*(1+Assumption_Hatchery!$X161)</f>
        <v>57093.749999999993</v>
      </c>
      <c r="U12" s="33">
        <f>(Assumption_Hatchery!V16*Assumption_Hatchery!W184)+(Assumption_Hatchery!U18*Assumption_Hatchery!W185)</f>
        <v>50000</v>
      </c>
      <c r="V12" s="33">
        <f>(Assumption_Hatchery!W16*Assumption_Hatchery!X184)+(Assumption_Hatchery!V18*Assumption_Hatchery!X185)</f>
        <v>50000</v>
      </c>
      <c r="W12" s="137">
        <f>(Assumption_Hatchery!X16*Assumption_Hatchery!Y184)+(Assumption_Hatchery!W18*Assumption_Hatchery!Y185)*(1+Assumption_Hatchery!$X161)</f>
        <v>57093.749999999993</v>
      </c>
      <c r="X12" s="33">
        <f>(Assumption_Hatchery!Y16*Assumption_Hatchery!Z184)+(Assumption_Hatchery!X18*Assumption_Hatchery!Z185)</f>
        <v>50000</v>
      </c>
      <c r="Y12" s="33">
        <f>(Assumption_Hatchery!Z16*Assumption_Hatchery!AA184)+(Assumption_Hatchery!Y18*Assumption_Hatchery!AA185)</f>
        <v>40000</v>
      </c>
      <c r="Z12" s="137">
        <f>(Assumption_Hatchery!AA16*Assumption_Hatchery!AB184)+(Assumption_Hatchery!Z18*Assumption_Hatchery!AB185)*(1+Assumption_Hatchery!$X161)</f>
        <v>28546.874999999996</v>
      </c>
    </row>
    <row r="13" spans="1:26" x14ac:dyDescent="0.25">
      <c r="A13" s="9" t="s">
        <v>48</v>
      </c>
      <c r="B13" s="33">
        <f>Assumption_Hatchery!D18*Assumption_Hatchery!D187</f>
        <v>0</v>
      </c>
      <c r="C13" s="33">
        <f>Assumption_Hatchery!E18*Assumption_Hatchery!E186</f>
        <v>10000</v>
      </c>
      <c r="D13" s="33">
        <f>Assumption_Hatchery!F18*Assumption_Hatchery!F186</f>
        <v>25000</v>
      </c>
      <c r="E13" s="33">
        <f>Assumption_Hatchery!G18*Assumption_Hatchery!G186</f>
        <v>45000</v>
      </c>
      <c r="F13" s="33">
        <f>Assumption_Hatchery!H18*Assumption_Hatchery!H186</f>
        <v>50000</v>
      </c>
      <c r="G13" s="33">
        <f>Assumption_Hatchery!I18*Assumption_Hatchery!I186</f>
        <v>50000</v>
      </c>
      <c r="H13" s="33">
        <f>Assumption_Hatchery!J18*Assumption_Hatchery!J186</f>
        <v>50000</v>
      </c>
      <c r="I13" s="33">
        <f>Assumption_Hatchery!K18*Assumption_Hatchery!K186</f>
        <v>50000</v>
      </c>
      <c r="J13" s="33">
        <f>Assumption_Hatchery!L18*Assumption_Hatchery!L186</f>
        <v>50000</v>
      </c>
      <c r="K13" s="33">
        <f>Assumption_Hatchery!M18*Assumption_Hatchery!M186</f>
        <v>50000</v>
      </c>
      <c r="L13" s="33">
        <f>Assumption_Hatchery!N18*Assumption_Hatchery!N186</f>
        <v>50000</v>
      </c>
      <c r="M13" s="33">
        <f>Assumption_Hatchery!O18*Assumption_Hatchery!O186</f>
        <v>50000</v>
      </c>
      <c r="N13" s="33">
        <f>Assumption_Hatchery!P18*Assumption_Hatchery!P186</f>
        <v>50000</v>
      </c>
      <c r="O13" s="33">
        <f>Assumption_Hatchery!Q18*Assumption_Hatchery!Q186</f>
        <v>50000</v>
      </c>
      <c r="P13" s="33">
        <f>Assumption_Hatchery!R18*Assumption_Hatchery!R186</f>
        <v>50000</v>
      </c>
      <c r="Q13" s="33">
        <f>Assumption_Hatchery!S18*Assumption_Hatchery!S186</f>
        <v>50000</v>
      </c>
      <c r="R13" s="33">
        <f>Assumption_Hatchery!T18*Assumption_Hatchery!T186</f>
        <v>50000</v>
      </c>
      <c r="S13" s="33">
        <f>Assumption_Hatchery!U18*Assumption_Hatchery!U186</f>
        <v>50000</v>
      </c>
      <c r="T13" s="33">
        <f>Assumption_Hatchery!V18*Assumption_Hatchery!V186</f>
        <v>50000</v>
      </c>
      <c r="U13" s="33">
        <f>Assumption_Hatchery!W18*Assumption_Hatchery!W186</f>
        <v>50000</v>
      </c>
      <c r="V13" s="33">
        <f>Assumption_Hatchery!X18*Assumption_Hatchery!X186</f>
        <v>50000</v>
      </c>
      <c r="W13" s="33">
        <f>Assumption_Hatchery!Y18*Assumption_Hatchery!Y186</f>
        <v>40000</v>
      </c>
      <c r="X13" s="33">
        <f>Assumption_Hatchery!Z18*Assumption_Hatchery!Z186</f>
        <v>25000</v>
      </c>
      <c r="Y13" s="33">
        <f>Assumption_Hatchery!AA18*Assumption_Hatchery!AA186</f>
        <v>5000</v>
      </c>
      <c r="Z13" s="33">
        <f>Assumption_Hatchery!AB18*Assumption_Hatchery!AB186</f>
        <v>0</v>
      </c>
    </row>
    <row r="14" spans="1:26" x14ac:dyDescent="0.25">
      <c r="A14" s="9" t="s">
        <v>50</v>
      </c>
      <c r="B14" s="33">
        <f>Assumption_Hatchery!D18*Assumption_Hatchery!D187</f>
        <v>0</v>
      </c>
      <c r="C14" s="33">
        <f>Assumption_Hatchery!E18*Assumption_Hatchery!E187</f>
        <v>10000</v>
      </c>
      <c r="D14" s="33">
        <f>Assumption_Hatchery!F18*Assumption_Hatchery!F187</f>
        <v>25000</v>
      </c>
      <c r="E14" s="137">
        <f>Assumption_Hatchery!G18*Assumption_Hatchery!G187*(1+Assumption_Hatchery!$X164)</f>
        <v>53043.749999999993</v>
      </c>
      <c r="F14" s="33">
        <f>Assumption_Hatchery!H18*Assumption_Hatchery!H187</f>
        <v>50000</v>
      </c>
      <c r="G14" s="33">
        <f>Assumption_Hatchery!I18*Assumption_Hatchery!I187</f>
        <v>50000</v>
      </c>
      <c r="H14" s="137">
        <f>Assumption_Hatchery!J18*Assumption_Hatchery!J187*(1+Assumption_Hatchery!$X164)</f>
        <v>58937.499999999993</v>
      </c>
      <c r="I14" s="33">
        <f>Assumption_Hatchery!K18*Assumption_Hatchery!K187</f>
        <v>50000</v>
      </c>
      <c r="J14" s="33">
        <f>Assumption_Hatchery!L18*Assumption_Hatchery!L187</f>
        <v>50000</v>
      </c>
      <c r="K14" s="137">
        <f>Assumption_Hatchery!M18*Assumption_Hatchery!M187*(1+Assumption_Hatchery!$X164)</f>
        <v>58937.499999999993</v>
      </c>
      <c r="L14" s="33">
        <f>Assumption_Hatchery!N18*Assumption_Hatchery!N187</f>
        <v>50000</v>
      </c>
      <c r="M14" s="33">
        <f>Assumption_Hatchery!O18*Assumption_Hatchery!O187</f>
        <v>50000</v>
      </c>
      <c r="N14" s="137">
        <f>Assumption_Hatchery!P18*Assumption_Hatchery!P187*(1+Assumption_Hatchery!$X164)</f>
        <v>58937.499999999993</v>
      </c>
      <c r="O14" s="33">
        <f>Assumption_Hatchery!Q18*Assumption_Hatchery!Q187</f>
        <v>50000</v>
      </c>
      <c r="P14" s="33">
        <f>Assumption_Hatchery!R18*Assumption_Hatchery!R187</f>
        <v>50000</v>
      </c>
      <c r="Q14" s="137">
        <f>Assumption_Hatchery!S18*Assumption_Hatchery!S187*(1+Assumption_Hatchery!$X164)</f>
        <v>58937.499999999993</v>
      </c>
      <c r="R14" s="33">
        <f>Assumption_Hatchery!T18*Assumption_Hatchery!T187</f>
        <v>50000</v>
      </c>
      <c r="S14" s="33">
        <f>Assumption_Hatchery!U18*Assumption_Hatchery!U187</f>
        <v>50000</v>
      </c>
      <c r="T14" s="137">
        <f>Assumption_Hatchery!V18*Assumption_Hatchery!V187*(1+Assumption_Hatchery!$X164)</f>
        <v>58937.499999999993</v>
      </c>
      <c r="U14" s="33">
        <f>Assumption_Hatchery!W18*Assumption_Hatchery!W187</f>
        <v>50000</v>
      </c>
      <c r="V14" s="33">
        <f>Assumption_Hatchery!X18*Assumption_Hatchery!X187</f>
        <v>50000</v>
      </c>
      <c r="W14" s="137">
        <f>Assumption_Hatchery!Y18*Assumption_Hatchery!Y187*(1+Assumption_Hatchery!$X164)</f>
        <v>47149.999999999993</v>
      </c>
      <c r="X14" s="33">
        <f>Assumption_Hatchery!Z18*Assumption_Hatchery!Z187</f>
        <v>25000</v>
      </c>
      <c r="Y14" s="33">
        <f>Assumption_Hatchery!AA18*Assumption_Hatchery!AA187</f>
        <v>5000</v>
      </c>
      <c r="Z14" s="137">
        <f>Assumption_Hatchery!AB18*Assumption_Hatchery!AB187*(1+Assumption_Hatchery!$X164)</f>
        <v>0</v>
      </c>
    </row>
    <row r="15" spans="1:26" x14ac:dyDescent="0.25">
      <c r="A15" s="109" t="s">
        <v>102</v>
      </c>
      <c r="B15" s="33">
        <f>Assumption_Hatchery!D18*Assumption_Hatchery!D188</f>
        <v>0</v>
      </c>
      <c r="C15" s="33">
        <f>Assumption_Hatchery!E18*Assumption_Hatchery!E188</f>
        <v>1000</v>
      </c>
      <c r="D15" s="33">
        <f>Assumption_Hatchery!F18*Assumption_Hatchery!F188</f>
        <v>2500</v>
      </c>
      <c r="E15" s="137">
        <f>Assumption_Hatchery!G18*Assumption_Hatchery!G188*(1+Assumption_Hatchery!$X165)</f>
        <v>4885.875</v>
      </c>
      <c r="F15" s="33">
        <f>Assumption_Hatchery!H18*Assumption_Hatchery!H188</f>
        <v>5000</v>
      </c>
      <c r="G15" s="33">
        <f>Assumption_Hatchery!I18*Assumption_Hatchery!I188</f>
        <v>5000</v>
      </c>
      <c r="H15" s="137">
        <f>Assumption_Hatchery!J18*Assumption_Hatchery!J188*(1+Assumption_Hatchery!$X165)</f>
        <v>5428.75</v>
      </c>
      <c r="I15" s="33">
        <f>Assumption_Hatchery!K18*Assumption_Hatchery!K188</f>
        <v>5000</v>
      </c>
      <c r="J15" s="33">
        <f>Assumption_Hatchery!L18*Assumption_Hatchery!L188</f>
        <v>5000</v>
      </c>
      <c r="K15" s="137">
        <f>Assumption_Hatchery!M18*Assumption_Hatchery!M188*(1+Assumption_Hatchery!$X165)</f>
        <v>5428.75</v>
      </c>
      <c r="L15" s="33">
        <f>Assumption_Hatchery!N18*Assumption_Hatchery!N188</f>
        <v>5000</v>
      </c>
      <c r="M15" s="33">
        <f>Assumption_Hatchery!O18*Assumption_Hatchery!O188</f>
        <v>5000</v>
      </c>
      <c r="N15" s="137">
        <f>Assumption_Hatchery!P18*Assumption_Hatchery!P188*(1+Assumption_Hatchery!$X165)</f>
        <v>5428.75</v>
      </c>
      <c r="O15" s="33">
        <f>Assumption_Hatchery!Q18*Assumption_Hatchery!Q188</f>
        <v>5000</v>
      </c>
      <c r="P15" s="33">
        <f>Assumption_Hatchery!R18*Assumption_Hatchery!R188</f>
        <v>5000</v>
      </c>
      <c r="Q15" s="137">
        <f>Assumption_Hatchery!S18*Assumption_Hatchery!S188*(1+Assumption_Hatchery!$X165)</f>
        <v>5428.75</v>
      </c>
      <c r="R15" s="33">
        <f>Assumption_Hatchery!T18*Assumption_Hatchery!T188</f>
        <v>5000</v>
      </c>
      <c r="S15" s="33">
        <f>Assumption_Hatchery!U18*Assumption_Hatchery!U188</f>
        <v>5000</v>
      </c>
      <c r="T15" s="137">
        <f>Assumption_Hatchery!V18*Assumption_Hatchery!V188*(1+Assumption_Hatchery!$X165)</f>
        <v>5428.75</v>
      </c>
      <c r="U15" s="33">
        <f>Assumption_Hatchery!W18*Assumption_Hatchery!W188</f>
        <v>5000</v>
      </c>
      <c r="V15" s="33">
        <f>Assumption_Hatchery!X18*Assumption_Hatchery!X188</f>
        <v>5000</v>
      </c>
      <c r="W15" s="137">
        <f>Assumption_Hatchery!Y18*Assumption_Hatchery!Y188*(1+Assumption_Hatchery!$X165)</f>
        <v>4343</v>
      </c>
      <c r="X15" s="33">
        <f>Assumption_Hatchery!Z18*Assumption_Hatchery!Z188</f>
        <v>2500</v>
      </c>
      <c r="Y15" s="33">
        <f>Assumption_Hatchery!AA18*Assumption_Hatchery!AA188</f>
        <v>500</v>
      </c>
      <c r="Z15" s="137">
        <f>Assumption_Hatchery!AB18*Assumption_Hatchery!AB188*(1+Assumption_Hatchery!$X165)</f>
        <v>0</v>
      </c>
    </row>
    <row r="16" spans="1:26" x14ac:dyDescent="0.25">
      <c r="A16" s="109" t="s">
        <v>103</v>
      </c>
      <c r="B16" s="33">
        <f>Assumption_Hatchery!D18*Assumption_Hatchery!D189</f>
        <v>0</v>
      </c>
      <c r="C16" s="33">
        <f>Assumption_Hatchery!E18*Assumption_Hatchery!E189</f>
        <v>20238.181818181816</v>
      </c>
      <c r="D16" s="33">
        <f>Assumption_Hatchery!F18*Assumption_Hatchery!F189</f>
        <v>50595.454545454544</v>
      </c>
      <c r="E16" s="137">
        <f>Assumption_Hatchery!G18*Assumption_Hatchery!G189*(1+Assumption_Hatchery!$X166)</f>
        <v>98881.226590909078</v>
      </c>
      <c r="F16" s="33">
        <f>Assumption_Hatchery!H18*Assumption_Hatchery!H189</f>
        <v>101190.90909090909</v>
      </c>
      <c r="G16" s="33">
        <f>Assumption_Hatchery!I18*Assumption_Hatchery!I189</f>
        <v>101190.90909090909</v>
      </c>
      <c r="H16" s="137">
        <f>Assumption_Hatchery!J18*Assumption_Hatchery!J189*(1+Assumption_Hatchery!$X166)</f>
        <v>109868.02954545454</v>
      </c>
      <c r="I16" s="33">
        <f>Assumption_Hatchery!K18*Assumption_Hatchery!K189</f>
        <v>101190.90909090909</v>
      </c>
      <c r="J16" s="33">
        <f>Assumption_Hatchery!L18*Assumption_Hatchery!L189</f>
        <v>101190.90909090909</v>
      </c>
      <c r="K16" s="137">
        <f>Assumption_Hatchery!M18*Assumption_Hatchery!M189*(1+Assumption_Hatchery!$X166)</f>
        <v>109868.02954545454</v>
      </c>
      <c r="L16" s="33">
        <f>Assumption_Hatchery!N18*Assumption_Hatchery!N189</f>
        <v>101190.90909090909</v>
      </c>
      <c r="M16" s="33">
        <f>Assumption_Hatchery!O18*Assumption_Hatchery!O189</f>
        <v>101190.90909090909</v>
      </c>
      <c r="N16" s="137">
        <f>Assumption_Hatchery!P18*Assumption_Hatchery!P189*(1+Assumption_Hatchery!$X166)</f>
        <v>109868.02954545454</v>
      </c>
      <c r="O16" s="33">
        <f>Assumption_Hatchery!Q18*Assumption_Hatchery!Q189</f>
        <v>101190.90909090909</v>
      </c>
      <c r="P16" s="33">
        <f>Assumption_Hatchery!R18*Assumption_Hatchery!R189</f>
        <v>101190.90909090909</v>
      </c>
      <c r="Q16" s="137">
        <f>Assumption_Hatchery!S18*Assumption_Hatchery!S189*(1+Assumption_Hatchery!$X166)</f>
        <v>109868.02954545454</v>
      </c>
      <c r="R16" s="33">
        <f>Assumption_Hatchery!T18*Assumption_Hatchery!T189</f>
        <v>101190.90909090909</v>
      </c>
      <c r="S16" s="33">
        <f>Assumption_Hatchery!U18*Assumption_Hatchery!U189</f>
        <v>101190.90909090909</v>
      </c>
      <c r="T16" s="137">
        <f>Assumption_Hatchery!V18*Assumption_Hatchery!V189*(1+Assumption_Hatchery!$X166)</f>
        <v>109868.02954545454</v>
      </c>
      <c r="U16" s="33">
        <f>Assumption_Hatchery!W18*Assumption_Hatchery!W189</f>
        <v>101190.90909090909</v>
      </c>
      <c r="V16" s="33">
        <f>Assumption_Hatchery!X18*Assumption_Hatchery!X189</f>
        <v>101190.90909090909</v>
      </c>
      <c r="W16" s="137">
        <f>Assumption_Hatchery!Y18*Assumption_Hatchery!Y189*(1+Assumption_Hatchery!$X166)</f>
        <v>87894.42363636363</v>
      </c>
      <c r="X16" s="33">
        <f>Assumption_Hatchery!Z18*Assumption_Hatchery!Z189</f>
        <v>50595.454545454544</v>
      </c>
      <c r="Y16" s="33">
        <f>Assumption_Hatchery!AA18*Assumption_Hatchery!AA189</f>
        <v>10119.090909090908</v>
      </c>
      <c r="Z16" s="137">
        <f>Assumption_Hatchery!AB18*Assumption_Hatchery!AB189*(1+Assumption_Hatchery!$X166)</f>
        <v>0</v>
      </c>
    </row>
    <row r="17" spans="1:27" x14ac:dyDescent="0.25">
      <c r="A17" s="9" t="s">
        <v>35</v>
      </c>
      <c r="B17" s="33">
        <f>Assumption_Hatchery!D18*Assumption_Hatchery!D190</f>
        <v>0</v>
      </c>
      <c r="C17" s="33">
        <f>Assumption_Hatchery!E18*Assumption_Hatchery!E190</f>
        <v>20000</v>
      </c>
      <c r="D17" s="33">
        <f>Assumption_Hatchery!F18*Assumption_Hatchery!F190</f>
        <v>50000</v>
      </c>
      <c r="E17" s="137">
        <f>Assumption_Hatchery!G18*Assumption_Hatchery!G190*(1+Assumption_Hatchery!$X167)</f>
        <v>98201.249999999985</v>
      </c>
      <c r="F17" s="33">
        <f>Assumption_Hatchery!H18*Assumption_Hatchery!H190</f>
        <v>100000</v>
      </c>
      <c r="G17" s="33">
        <f>Assumption_Hatchery!I18*Assumption_Hatchery!I190</f>
        <v>100000</v>
      </c>
      <c r="H17" s="137">
        <f>Assumption_Hatchery!J18*Assumption_Hatchery!J190*(1+Assumption_Hatchery!$X167)</f>
        <v>109112.49999999999</v>
      </c>
      <c r="I17" s="33">
        <f>Assumption_Hatchery!K18*Assumption_Hatchery!K190</f>
        <v>100000</v>
      </c>
      <c r="J17" s="33">
        <f>Assumption_Hatchery!L18*Assumption_Hatchery!L190</f>
        <v>100000</v>
      </c>
      <c r="K17" s="137">
        <f>Assumption_Hatchery!M18*Assumption_Hatchery!M190*(1+Assumption_Hatchery!$X167)</f>
        <v>109112.49999999999</v>
      </c>
      <c r="L17" s="33">
        <f>Assumption_Hatchery!N18*Assumption_Hatchery!N190</f>
        <v>100000</v>
      </c>
      <c r="M17" s="33">
        <f>Assumption_Hatchery!O18*Assumption_Hatchery!O190</f>
        <v>100000</v>
      </c>
      <c r="N17" s="137">
        <f>Assumption_Hatchery!P18*Assumption_Hatchery!P190*(1+Assumption_Hatchery!$X167)</f>
        <v>109112.49999999999</v>
      </c>
      <c r="O17" s="33">
        <f>Assumption_Hatchery!Q18*Assumption_Hatchery!Q190</f>
        <v>100000</v>
      </c>
      <c r="P17" s="33">
        <f>Assumption_Hatchery!R18*Assumption_Hatchery!R190</f>
        <v>100000</v>
      </c>
      <c r="Q17" s="137">
        <f>Assumption_Hatchery!S18*Assumption_Hatchery!S190*(1+Assumption_Hatchery!$X167)</f>
        <v>109112.49999999999</v>
      </c>
      <c r="R17" s="33">
        <f>Assumption_Hatchery!T18*Assumption_Hatchery!T190</f>
        <v>100000</v>
      </c>
      <c r="S17" s="33">
        <f>Assumption_Hatchery!U18*Assumption_Hatchery!U190</f>
        <v>100000</v>
      </c>
      <c r="T17" s="137">
        <f>Assumption_Hatchery!V18*Assumption_Hatchery!V190*(1+Assumption_Hatchery!$X167)</f>
        <v>109112.49999999999</v>
      </c>
      <c r="U17" s="33">
        <f>Assumption_Hatchery!W18*Assumption_Hatchery!W190</f>
        <v>100000</v>
      </c>
      <c r="V17" s="33">
        <f>Assumption_Hatchery!X18*Assumption_Hatchery!X190</f>
        <v>100000</v>
      </c>
      <c r="W17" s="137">
        <f>Assumption_Hatchery!Y18*Assumption_Hatchery!Y190*(1+Assumption_Hatchery!$X167)</f>
        <v>87289.999999999985</v>
      </c>
      <c r="X17" s="33">
        <f>Assumption_Hatchery!Z18*Assumption_Hatchery!Z190</f>
        <v>50000</v>
      </c>
      <c r="Y17" s="33">
        <f>Assumption_Hatchery!AA18*Assumption_Hatchery!AA190</f>
        <v>10000</v>
      </c>
      <c r="Z17" s="137">
        <f>Assumption_Hatchery!AB18*Assumption_Hatchery!AB190*(1+Assumption_Hatchery!$X167)</f>
        <v>0</v>
      </c>
    </row>
    <row r="18" spans="1:27" x14ac:dyDescent="0.25">
      <c r="A18" s="9" t="s">
        <v>12</v>
      </c>
      <c r="B18" s="33">
        <f>Assumption_Hatchery!D18*Assumption_Hatchery!D191*Assumption_Hatchery!D192*(1+Assumption_Hatchery!D193)^Assumption_Hatchery!D182</f>
        <v>0</v>
      </c>
      <c r="C18" s="33">
        <f>Assumption_Hatchery!E18*Assumption_Hatchery!E191*Assumption_Hatchery!E192*(1+Assumption_Hatchery!E193)^Assumption_Hatchery!E182</f>
        <v>4100.6000000000004</v>
      </c>
      <c r="D18" s="33">
        <f>Assumption_Hatchery!F18*Assumption_Hatchery!F191*Assumption_Hatchery!F192*(1+Assumption_Hatchery!F193)^Assumption_Hatchery!F182</f>
        <v>10354.014999999999</v>
      </c>
      <c r="E18" s="33">
        <f>Assumption_Hatchery!G18*Assumption_Hatchery!G191*Assumption_Hatchery!G192*(1+Assumption_Hatchery!G193)^Assumption_Hatchery!G182</f>
        <v>18823.599269999999</v>
      </c>
      <c r="F18" s="33">
        <f>Assumption_Hatchery!H18*Assumption_Hatchery!H191*Assumption_Hatchery!H192*(1+Assumption_Hatchery!H193)^Assumption_Hatchery!H182</f>
        <v>21124.261403</v>
      </c>
      <c r="G18" s="33">
        <f>Assumption_Hatchery!I18*Assumption_Hatchery!I191*Assumption_Hatchery!I192*(1+Assumption_Hatchery!I193)^Assumption_Hatchery!I182</f>
        <v>21335.504017029998</v>
      </c>
      <c r="H18" s="33">
        <f>Assumption_Hatchery!J18*Assumption_Hatchery!J191*Assumption_Hatchery!J192*(1+Assumption_Hatchery!J193)^Assumption_Hatchery!J182</f>
        <v>21548.859057200301</v>
      </c>
      <c r="I18" s="33">
        <f>Assumption_Hatchery!K18*Assumption_Hatchery!K191*Assumption_Hatchery!K192*(1+Assumption_Hatchery!K193)^Assumption_Hatchery!K182</f>
        <v>21764.347647772298</v>
      </c>
      <c r="J18" s="33">
        <f>Assumption_Hatchery!L18*Assumption_Hatchery!L191*Assumption_Hatchery!L192*(1+Assumption_Hatchery!L193)^Assumption_Hatchery!L182</f>
        <v>21981.991124250027</v>
      </c>
      <c r="K18" s="33">
        <f>Assumption_Hatchery!M18*Assumption_Hatchery!M191*Assumption_Hatchery!M192*(1+Assumption_Hatchery!M193)^Assumption_Hatchery!M182</f>
        <v>22201.81103549253</v>
      </c>
      <c r="L18" s="33">
        <f>Assumption_Hatchery!N18*Assumption_Hatchery!N191*Assumption_Hatchery!N192*(1+Assumption_Hatchery!N193)^Assumption_Hatchery!N182</f>
        <v>22423.829145847456</v>
      </c>
      <c r="M18" s="33">
        <f>Assumption_Hatchery!O18*Assumption_Hatchery!O191*Assumption_Hatchery!O192*(1+Assumption_Hatchery!O193)^Assumption_Hatchery!O182</f>
        <v>22648.067437305926</v>
      </c>
      <c r="N18" s="33">
        <f>Assumption_Hatchery!P18*Assumption_Hatchery!P191*Assumption_Hatchery!P192*(1+Assumption_Hatchery!P193)^Assumption_Hatchery!P182</f>
        <v>22874.548111678985</v>
      </c>
      <c r="O18" s="33">
        <f>Assumption_Hatchery!Q18*Assumption_Hatchery!Q191*Assumption_Hatchery!Q192*(1+Assumption_Hatchery!Q193)^Assumption_Hatchery!Q182</f>
        <v>23103.293592795777</v>
      </c>
      <c r="P18" s="33">
        <f>Assumption_Hatchery!R18*Assumption_Hatchery!R191*Assumption_Hatchery!R192*(1+Assumption_Hatchery!R193)^Assumption_Hatchery!R182</f>
        <v>23334.326528723737</v>
      </c>
      <c r="Q18" s="33">
        <f>Assumption_Hatchery!S18*Assumption_Hatchery!S191*Assumption_Hatchery!S192*(1+Assumption_Hatchery!S193)^Assumption_Hatchery!S182</f>
        <v>23567.66979401097</v>
      </c>
      <c r="R18" s="33">
        <f>Assumption_Hatchery!T18*Assumption_Hatchery!T191*Assumption_Hatchery!T192*(1+Assumption_Hatchery!T193)^Assumption_Hatchery!T182</f>
        <v>23803.346491951084</v>
      </c>
      <c r="S18" s="33">
        <f>Assumption_Hatchery!U18*Assumption_Hatchery!U191*Assumption_Hatchery!U192*(1+Assumption_Hatchery!U193)^Assumption_Hatchery!U182</f>
        <v>24041.379956870598</v>
      </c>
      <c r="T18" s="33">
        <f>Assumption_Hatchery!V18*Assumption_Hatchery!V191*Assumption_Hatchery!V192*(1+Assumption_Hatchery!V193)^Assumption_Hatchery!V182</f>
        <v>24281.793756439303</v>
      </c>
      <c r="U18" s="33">
        <f>Assumption_Hatchery!W18*Assumption_Hatchery!W191*Assumption_Hatchery!W192*(1+Assumption_Hatchery!W193)^Assumption_Hatchery!W182</f>
        <v>24524.611694003692</v>
      </c>
      <c r="V18" s="33">
        <f>Assumption_Hatchery!X18*Assumption_Hatchery!X191*Assumption_Hatchery!X192*(1+Assumption_Hatchery!X193)^Assumption_Hatchery!X182</f>
        <v>24769.857810943729</v>
      </c>
      <c r="W18" s="33">
        <f>Assumption_Hatchery!Y18*Assumption_Hatchery!Y191*Assumption_Hatchery!Y192*(1+Assumption_Hatchery!Y193)^Assumption_Hatchery!Y182</f>
        <v>20014.045111242533</v>
      </c>
      <c r="X18" s="33">
        <f>Assumption_Hatchery!Z18*Assumption_Hatchery!Z191*Assumption_Hatchery!Z192*(1+Assumption_Hatchery!Z193)^Assumption_Hatchery!Z182</f>
        <v>12633.865976471852</v>
      </c>
      <c r="Y18" s="33">
        <f>Assumption_Hatchery!AA18*Assumption_Hatchery!AA191*Assumption_Hatchery!AA192*(1+Assumption_Hatchery!AA193)^Assumption_Hatchery!AA182</f>
        <v>2552.0409272473134</v>
      </c>
      <c r="Z18" s="33">
        <f>Assumption_Hatchery!AB18*Assumption_Hatchery!AB191*Assumption_Hatchery!AB192*(1+Assumption_Hatchery!AB193)^Assumption_Hatchery!AB182</f>
        <v>0</v>
      </c>
    </row>
    <row r="19" spans="1:27" s="50" customFormat="1" x14ac:dyDescent="0.25">
      <c r="A19" s="52" t="s">
        <v>131</v>
      </c>
      <c r="B19" s="49">
        <f>Assumption_Hatchery!D43</f>
        <v>0</v>
      </c>
      <c r="C19" s="49">
        <f>Assumption_Hatchery!E43</f>
        <v>0</v>
      </c>
      <c r="D19" s="49">
        <f>Assumption_Hatchery!F43</f>
        <v>133200</v>
      </c>
      <c r="E19" s="49">
        <f>Assumption_Hatchery!G43</f>
        <v>311400</v>
      </c>
      <c r="F19" s="49">
        <f>Assumption_Hatchery!H43</f>
        <v>433800</v>
      </c>
      <c r="G19" s="49">
        <f>Assumption_Hatchery!I43</f>
        <v>289800</v>
      </c>
      <c r="H19" s="49">
        <f>Assumption_Hatchery!J43</f>
        <v>55800</v>
      </c>
      <c r="I19" s="49">
        <f>Assumption_Hatchery!K43</f>
        <v>0</v>
      </c>
      <c r="J19" s="49">
        <f>Assumption_Hatchery!L43</f>
        <v>0</v>
      </c>
      <c r="K19" s="49">
        <f>Assumption_Hatchery!M43</f>
        <v>0</v>
      </c>
      <c r="L19" s="49">
        <f>Assumption_Hatchery!N43</f>
        <v>0</v>
      </c>
      <c r="M19" s="49">
        <f>Assumption_Hatchery!O43</f>
        <v>0</v>
      </c>
      <c r="N19" s="49">
        <f>Assumption_Hatchery!P43</f>
        <v>0</v>
      </c>
      <c r="O19" s="49">
        <f>Assumption_Hatchery!Q43</f>
        <v>0</v>
      </c>
      <c r="P19" s="49">
        <f>Assumption_Hatchery!R43</f>
        <v>0</v>
      </c>
      <c r="Q19" s="49">
        <f>Assumption_Hatchery!S43</f>
        <v>0</v>
      </c>
      <c r="R19" s="49">
        <f>Assumption_Hatchery!T43</f>
        <v>0</v>
      </c>
      <c r="S19" s="49">
        <f>Assumption_Hatchery!U43</f>
        <v>0</v>
      </c>
      <c r="T19" s="49">
        <f>Assumption_Hatchery!V43</f>
        <v>0</v>
      </c>
      <c r="U19" s="49">
        <f>Assumption_Hatchery!W43</f>
        <v>0</v>
      </c>
      <c r="V19" s="49">
        <f>Assumption_Hatchery!X43</f>
        <v>0</v>
      </c>
      <c r="W19" s="49">
        <f>Assumption_Hatchery!Y43</f>
        <v>0</v>
      </c>
      <c r="X19" s="49">
        <f>Assumption_Hatchery!Z43</f>
        <v>0</v>
      </c>
      <c r="Y19" s="49">
        <f>Assumption_Hatchery!AA43</f>
        <v>0</v>
      </c>
      <c r="Z19" s="49">
        <f>Assumption_Hatchery!AB43</f>
        <v>0</v>
      </c>
    </row>
    <row r="20" spans="1:27" x14ac:dyDescent="0.25">
      <c r="A20" s="117" t="s">
        <v>54</v>
      </c>
      <c r="B20" s="37">
        <f>SUM(B11:B19)</f>
        <v>0</v>
      </c>
      <c r="C20" s="37">
        <f t="shared" ref="C20:Z20" si="1">SUM(C11:C19)</f>
        <v>165338.78181818183</v>
      </c>
      <c r="D20" s="37">
        <f t="shared" si="1"/>
        <v>451649.46954545454</v>
      </c>
      <c r="E20" s="37">
        <f t="shared" si="1"/>
        <v>849266.95086090907</v>
      </c>
      <c r="F20" s="37">
        <f t="shared" si="1"/>
        <v>846115.17049390904</v>
      </c>
      <c r="G20" s="37">
        <f t="shared" si="1"/>
        <v>664826.41310793906</v>
      </c>
      <c r="H20" s="37">
        <f t="shared" si="1"/>
        <v>467789.38860265486</v>
      </c>
      <c r="I20" s="37">
        <f t="shared" si="1"/>
        <v>377955.25673868135</v>
      </c>
      <c r="J20" s="37">
        <f t="shared" si="1"/>
        <v>378172.90021515911</v>
      </c>
      <c r="K20" s="37">
        <f t="shared" si="1"/>
        <v>412642.34058094706</v>
      </c>
      <c r="L20" s="37">
        <f t="shared" si="1"/>
        <v>378614.73823675653</v>
      </c>
      <c r="M20" s="37">
        <f t="shared" si="1"/>
        <v>378838.97652821499</v>
      </c>
      <c r="N20" s="37">
        <f t="shared" si="1"/>
        <v>413315.07765713352</v>
      </c>
      <c r="O20" s="37">
        <f t="shared" si="1"/>
        <v>379294.20268370485</v>
      </c>
      <c r="P20" s="37">
        <f t="shared" si="1"/>
        <v>379525.23561963282</v>
      </c>
      <c r="Q20" s="37">
        <f t="shared" si="1"/>
        <v>414008.19933946553</v>
      </c>
      <c r="R20" s="37">
        <f t="shared" si="1"/>
        <v>379994.25558286015</v>
      </c>
      <c r="S20" s="37">
        <f t="shared" si="1"/>
        <v>380232.28904777963</v>
      </c>
      <c r="T20" s="37">
        <f t="shared" si="1"/>
        <v>414722.32330189383</v>
      </c>
      <c r="U20" s="37">
        <f t="shared" si="1"/>
        <v>380715.52078491275</v>
      </c>
      <c r="V20" s="37">
        <f t="shared" si="1"/>
        <v>380960.7669018528</v>
      </c>
      <c r="W20" s="37">
        <f t="shared" si="1"/>
        <v>343785.21874760615</v>
      </c>
      <c r="X20" s="37">
        <f t="shared" si="1"/>
        <v>215729.32052192639</v>
      </c>
      <c r="Y20" s="37">
        <f t="shared" si="1"/>
        <v>73171.131836338231</v>
      </c>
      <c r="Z20" s="37">
        <f t="shared" si="1"/>
        <v>28546.874999999996</v>
      </c>
    </row>
    <row r="21" spans="1:27" x14ac:dyDescent="0.25">
      <c r="B21" s="32"/>
      <c r="C21" s="32"/>
      <c r="D21" s="32"/>
      <c r="E21" s="32"/>
      <c r="F21" s="32"/>
      <c r="G21" s="32"/>
      <c r="H21" s="32"/>
      <c r="I21" s="32"/>
      <c r="J21" s="32"/>
      <c r="K21" s="32"/>
      <c r="L21" s="32"/>
    </row>
    <row r="22" spans="1:27" x14ac:dyDescent="0.25">
      <c r="A22" s="23" t="s">
        <v>55</v>
      </c>
      <c r="B22" s="34">
        <f>B8-B20</f>
        <v>0</v>
      </c>
      <c r="C22" s="34">
        <f t="shared" ref="C22:Z22" si="2">C8-C20</f>
        <v>-165338.78181818183</v>
      </c>
      <c r="D22" s="34">
        <f t="shared" si="2"/>
        <v>-230564.46954545451</v>
      </c>
      <c r="E22" s="34">
        <f t="shared" si="2"/>
        <v>-483185.01174840907</v>
      </c>
      <c r="F22" s="34">
        <f t="shared" si="2"/>
        <v>-386081.50249390898</v>
      </c>
      <c r="G22" s="34">
        <f t="shared" si="2"/>
        <v>-195592.07174793899</v>
      </c>
      <c r="H22" s="34">
        <f t="shared" si="2"/>
        <v>-36134.852556323749</v>
      </c>
      <c r="I22" s="34">
        <f t="shared" si="2"/>
        <v>110236.15201226267</v>
      </c>
      <c r="J22" s="34">
        <f t="shared" si="2"/>
        <v>119782.33671080379</v>
      </c>
      <c r="K22" s="34">
        <f t="shared" si="2"/>
        <v>45432.906307707774</v>
      </c>
      <c r="L22" s="34">
        <f t="shared" si="2"/>
        <v>139457.89026101533</v>
      </c>
      <c r="M22" s="34">
        <f t="shared" si="2"/>
        <v>149595.10453951219</v>
      </c>
      <c r="N22" s="34">
        <f t="shared" si="2"/>
        <v>72798.038943082152</v>
      </c>
      <c r="O22" s="34">
        <f t="shared" si="2"/>
        <v>170488.6152591586</v>
      </c>
      <c r="P22" s="34">
        <f t="shared" si="2"/>
        <v>181253.23868208792</v>
      </c>
      <c r="Q22" s="34">
        <f t="shared" si="2"/>
        <v>101858.92890161602</v>
      </c>
      <c r="R22" s="34">
        <f t="shared" si="2"/>
        <v>203439.66908065003</v>
      </c>
      <c r="S22" s="34">
        <f t="shared" si="2"/>
        <v>214870.31410900084</v>
      </c>
      <c r="T22" s="34">
        <f t="shared" si="2"/>
        <v>132720.00012456795</v>
      </c>
      <c r="U22" s="34">
        <f t="shared" si="2"/>
        <v>238429.2275394015</v>
      </c>
      <c r="V22" s="34">
        <f t="shared" si="2"/>
        <v>250566.87638894783</v>
      </c>
      <c r="W22" s="34">
        <f t="shared" si="2"/>
        <v>139974.91977939272</v>
      </c>
      <c r="X22" s="34">
        <f t="shared" si="2"/>
        <v>142791.35951794812</v>
      </c>
      <c r="Y22" s="34">
        <f t="shared" si="2"/>
        <v>33847.086891796149</v>
      </c>
      <c r="Z22" s="34">
        <f t="shared" si="2"/>
        <v>-19046.874999999996</v>
      </c>
      <c r="AA22" s="12"/>
    </row>
    <row r="23" spans="1:27" x14ac:dyDescent="0.25">
      <c r="B23" s="32"/>
      <c r="C23" s="32"/>
      <c r="D23" s="32"/>
      <c r="E23" s="32"/>
      <c r="F23" s="32"/>
      <c r="G23" s="32"/>
      <c r="H23" s="32"/>
      <c r="I23" s="32"/>
      <c r="J23" s="32"/>
      <c r="K23" s="32"/>
      <c r="L23" s="32"/>
      <c r="AA23" s="12"/>
    </row>
    <row r="24" spans="1:27" x14ac:dyDescent="0.25">
      <c r="A24" s="10" t="s">
        <v>319</v>
      </c>
      <c r="B24" s="345">
        <f>B8/(1+Assumption_Hatchery!$C76)^B4</f>
        <v>0</v>
      </c>
      <c r="C24" s="345">
        <f>C8/(1+Assumption_Hatchery!$C76)^C4</f>
        <v>0</v>
      </c>
      <c r="D24" s="345">
        <f>D8/(1+Assumption_Hatchery!$C76)^D4</f>
        <v>196764.86294054825</v>
      </c>
      <c r="E24" s="345">
        <f>E8/(1+Assumption_Hatchery!$C76)^E4</f>
        <v>307369.45524871192</v>
      </c>
      <c r="F24" s="345">
        <f>F8/(1+Assumption_Hatchery!$C76)^F4</f>
        <v>364389.75329894334</v>
      </c>
      <c r="G24" s="345">
        <f>G8/(1+Assumption_Hatchery!$C76)^G4</f>
        <v>350639.19657068129</v>
      </c>
      <c r="H24" s="345">
        <f>H8/(1+Assumption_Hatchery!$C76)^H4</f>
        <v>304299.41501445929</v>
      </c>
      <c r="I24" s="345">
        <f>I8/(1+Assumption_Hatchery!$C76)^I4</f>
        <v>324675.16919912485</v>
      </c>
      <c r="J24" s="345">
        <f>J8/(1+Assumption_Hatchery!$C76)^J4</f>
        <v>312423.27602179942</v>
      </c>
      <c r="K24" s="345">
        <f>K8/(1+Assumption_Hatchery!$C76)^K4</f>
        <v>271134.03481453168</v>
      </c>
      <c r="L24" s="345">
        <f>L8/(1+Assumption_Hatchery!$C76)^L4</f>
        <v>289289.04981584207</v>
      </c>
      <c r="M24" s="345">
        <f>M8/(1+Assumption_Hatchery!$C76)^M4</f>
        <v>278372.48189826298</v>
      </c>
      <c r="N24" s="345">
        <f>N8/(1+Assumption_Hatchery!$C76)^N4</f>
        <v>241583.32618324141</v>
      </c>
      <c r="O24" s="345">
        <f>O8/(1+Assumption_Hatchery!$C76)^O4</f>
        <v>257759.63881003277</v>
      </c>
      <c r="P24" s="345">
        <f>P8/(1+Assumption_Hatchery!$C76)^P4</f>
        <v>248032.85998701269</v>
      </c>
      <c r="Q24" s="345">
        <f>Q8/(1+Assumption_Hatchery!$C76)^Q4</f>
        <v>215253.32859698369</v>
      </c>
      <c r="R24" s="345">
        <f>R8/(1+Assumption_Hatchery!$C76)^R4</f>
        <v>229666.59623574934</v>
      </c>
      <c r="S24" s="345">
        <f>S8/(1+Assumption_Hatchery!$C76)^S4</f>
        <v>220999.93222685315</v>
      </c>
      <c r="T24" s="345">
        <f>T8/(1+Assumption_Hatchery!$C76)^T4</f>
        <v>191793.01901380665</v>
      </c>
      <c r="U24" s="345">
        <f>U8/(1+Assumption_Hatchery!$C76)^U4</f>
        <v>204635.39470346915</v>
      </c>
      <c r="V24" s="345">
        <f>V8/(1+Assumption_Hatchery!$C76)^V4</f>
        <v>196913.30433730053</v>
      </c>
      <c r="W24" s="345">
        <f>W8/(1+Assumption_Hatchery!$C76)^W4</f>
        <v>142300.65836960863</v>
      </c>
      <c r="X24" s="345">
        <f>X8/(1+Assumption_Hatchery!$C76)^X4</f>
        <v>99491.316058068929</v>
      </c>
      <c r="Y24" s="345">
        <f>Y8/(1+Assumption_Hatchery!$C76)^Y4</f>
        <v>28017.076565185653</v>
      </c>
      <c r="Z24" s="345">
        <f>Z8/(1+Assumption_Hatchery!$C76)^Z4</f>
        <v>2346.2962091742252</v>
      </c>
      <c r="AA24" s="343">
        <f>SUM(B24:Z24)</f>
        <v>5278149.4421193907</v>
      </c>
    </row>
    <row r="25" spans="1:27" s="12" customFormat="1" x14ac:dyDescent="0.25">
      <c r="A25" s="10" t="s">
        <v>320</v>
      </c>
      <c r="B25" s="346">
        <f>B20/(1+Assumption_Hatchery!$C76)^BaU_Hatchery!B4</f>
        <v>0</v>
      </c>
      <c r="C25" s="346">
        <f>C20/(1+Assumption_Hatchery!$C76)^BaU_Hatchery!C4</f>
        <v>155979.98284734134</v>
      </c>
      <c r="D25" s="346">
        <f>D20/(1+Assumption_Hatchery!$C76)^BaU_Hatchery!D4</f>
        <v>401966.42002977437</v>
      </c>
      <c r="E25" s="346">
        <f>E20/(1+Assumption_Hatchery!$C76)^BaU_Hatchery!E4</f>
        <v>713060.90838486538</v>
      </c>
      <c r="F25" s="346">
        <f>F20/(1+Assumption_Hatchery!$C76)^BaU_Hatchery!F4</f>
        <v>670202.46491778258</v>
      </c>
      <c r="G25" s="346">
        <f>G20/(1+Assumption_Hatchery!$C76)^BaU_Hatchery!G4</f>
        <v>496796.9707321329</v>
      </c>
      <c r="H25" s="346">
        <f>H20/(1+Assumption_Hatchery!$C76)^BaU_Hatchery!H4</f>
        <v>329773.0602012733</v>
      </c>
      <c r="I25" s="346">
        <f>I20/(1+Assumption_Hatchery!$C76)^BaU_Hatchery!I4</f>
        <v>251361.83212501637</v>
      </c>
      <c r="J25" s="346">
        <f>J20/(1+Assumption_Hatchery!$C76)^BaU_Hatchery!J4</f>
        <v>237270.35610120892</v>
      </c>
      <c r="K25" s="346">
        <f>K20/(1+Assumption_Hatchery!$C76)^BaU_Hatchery!K4</f>
        <v>244242.36737729586</v>
      </c>
      <c r="L25" s="346">
        <f>L20/(1+Assumption_Hatchery!$C76)^BaU_Hatchery!L4</f>
        <v>211416.49229448941</v>
      </c>
      <c r="M25" s="346">
        <f>M20/(1+Assumption_Hatchery!$C76)^BaU_Hatchery!M4</f>
        <v>199567.64696719259</v>
      </c>
      <c r="N25" s="346">
        <f>N20/(1+Assumption_Hatchery!$C76)^BaU_Hatchery!N4</f>
        <v>205404.93110004417</v>
      </c>
      <c r="O25" s="346">
        <f>O20/(1+Assumption_Hatchery!$C76)^BaU_Hatchery!O4</f>
        <v>177827.92312845908</v>
      </c>
      <c r="P25" s="346">
        <f>P20/(1+Assumption_Hatchery!$C76)^BaU_Hatchery!P4</f>
        <v>167864.37772098617</v>
      </c>
      <c r="Q25" s="346">
        <f>Q20/(1+Assumption_Hatchery!$C76)^BaU_Hatchery!Q4</f>
        <v>172751.15644239378</v>
      </c>
      <c r="R25" s="346">
        <f>R20/(1+Assumption_Hatchery!$C76)^BaU_Hatchery!R4</f>
        <v>149583.32654239493</v>
      </c>
      <c r="S25" s="346">
        <f>S20/(1+Assumption_Hatchery!$C76)^BaU_Hatchery!S4</f>
        <v>141204.74295401861</v>
      </c>
      <c r="T25" s="346">
        <f>T20/(1+Assumption_Hatchery!$C76)^BaU_Hatchery!T4</f>
        <v>145295.39101149703</v>
      </c>
      <c r="U25" s="346">
        <f>U20/(1+Assumption_Hatchery!$C76)^BaU_Hatchery!U4</f>
        <v>125831.43291841104</v>
      </c>
      <c r="V25" s="346">
        <f>V20/(1+Assumption_Hatchery!$C76)^BaU_Hatchery!V4</f>
        <v>118785.36787814542</v>
      </c>
      <c r="W25" s="346">
        <f>W20/(1+Assumption_Hatchery!$C76)^BaU_Hatchery!W4</f>
        <v>101126.27947082081</v>
      </c>
      <c r="X25" s="346">
        <f>X20/(1+Assumption_Hatchery!$C76)^BaU_Hatchery!X4</f>
        <v>59865.985997383214</v>
      </c>
      <c r="Y25" s="346">
        <f>Y20/(1+Assumption_Hatchery!$C76)^BaU_Hatchery!Y4</f>
        <v>19156.00191615822</v>
      </c>
      <c r="Z25" s="346">
        <f>Z20/(1+Assumption_Hatchery!$C76)^BaU_Hatchery!Z4</f>
        <v>7050.4657469758367</v>
      </c>
      <c r="AA25" s="343">
        <f>SUM(B25:Z25)</f>
        <v>5503385.8848060602</v>
      </c>
    </row>
    <row r="26" spans="1:27" x14ac:dyDescent="0.25">
      <c r="B26" s="32"/>
      <c r="C26" s="32"/>
      <c r="D26" s="32"/>
      <c r="E26" s="32"/>
      <c r="F26" s="32"/>
      <c r="G26" s="32"/>
      <c r="H26" s="32"/>
      <c r="I26" s="32"/>
      <c r="J26" s="32"/>
      <c r="K26" s="32"/>
      <c r="L26" s="32"/>
      <c r="AA26" s="12"/>
    </row>
    <row r="27" spans="1:27" s="12" customFormat="1" x14ac:dyDescent="0.25">
      <c r="A27" s="25" t="s">
        <v>318</v>
      </c>
      <c r="B27" s="35">
        <f>NPV(Assumption_Hatchery!C76,C22:Z22)+B22</f>
        <v>-225236.4426866693</v>
      </c>
      <c r="C27" s="40"/>
      <c r="D27" s="40"/>
      <c r="E27" s="40"/>
      <c r="F27" s="40"/>
      <c r="G27" s="40"/>
      <c r="H27" s="40"/>
      <c r="I27" s="40"/>
      <c r="J27" s="40"/>
      <c r="K27" s="40"/>
      <c r="L27" s="40"/>
    </row>
    <row r="29" spans="1:27" s="12" customFormat="1" x14ac:dyDescent="0.25">
      <c r="A29" s="25" t="s">
        <v>238</v>
      </c>
      <c r="B29" s="36">
        <f>IRR(B22:Z22)</f>
        <v>4.1529851404049412E-2</v>
      </c>
      <c r="C29" s="4"/>
      <c r="D29" s="4"/>
      <c r="E29" s="4"/>
      <c r="F29" s="4"/>
      <c r="G29" s="4"/>
      <c r="H29" s="4"/>
      <c r="I29" s="4"/>
      <c r="J29" s="4"/>
      <c r="K29" s="4"/>
      <c r="L29" s="4"/>
    </row>
    <row r="32" spans="1:27" s="1" customFormat="1" x14ac:dyDescent="0.25">
      <c r="A32" s="24"/>
      <c r="B32" s="42"/>
      <c r="C32" s="42"/>
      <c r="D32" s="42"/>
      <c r="E32" s="42"/>
      <c r="F32" s="42"/>
      <c r="G32" s="42"/>
      <c r="H32" s="42"/>
      <c r="I32" s="42"/>
      <c r="J32" s="42"/>
      <c r="K32" s="42"/>
      <c r="L32" s="42"/>
    </row>
    <row r="34" spans="1:26" ht="38.25" customHeight="1" x14ac:dyDescent="0.25">
      <c r="A34" s="11" t="s">
        <v>332</v>
      </c>
      <c r="B34" s="30"/>
      <c r="C34" s="69"/>
      <c r="D34" s="70"/>
      <c r="E34" s="30"/>
      <c r="F34" s="116" t="s">
        <v>90</v>
      </c>
      <c r="G34" s="30"/>
      <c r="H34" s="30"/>
      <c r="I34" s="30"/>
      <c r="J34" s="30"/>
      <c r="K34" s="30"/>
      <c r="L34" s="30"/>
      <c r="M34" s="11"/>
    </row>
    <row r="35" spans="1:26" ht="38.25" customHeight="1" x14ac:dyDescent="0.25">
      <c r="A35" s="11"/>
      <c r="B35" s="30"/>
      <c r="C35" s="69"/>
      <c r="D35" s="70"/>
      <c r="E35" s="30"/>
      <c r="F35" s="116"/>
      <c r="G35" s="30"/>
      <c r="H35" s="30"/>
      <c r="I35" s="30"/>
      <c r="J35" s="30"/>
      <c r="K35" s="30"/>
      <c r="L35" s="30"/>
      <c r="M35" s="11"/>
    </row>
    <row r="36" spans="1:26" x14ac:dyDescent="0.25">
      <c r="A36" s="10" t="s">
        <v>19</v>
      </c>
      <c r="B36" s="26">
        <v>0</v>
      </c>
      <c r="C36" s="26">
        <v>1</v>
      </c>
      <c r="D36" s="26">
        <v>2</v>
      </c>
      <c r="E36" s="26">
        <v>3</v>
      </c>
      <c r="F36" s="26">
        <v>4</v>
      </c>
      <c r="G36" s="26">
        <v>5</v>
      </c>
      <c r="H36" s="26">
        <v>6</v>
      </c>
      <c r="I36" s="26">
        <v>7</v>
      </c>
      <c r="J36" s="26">
        <v>8</v>
      </c>
      <c r="K36" s="26">
        <v>9</v>
      </c>
      <c r="L36" s="26">
        <v>10</v>
      </c>
      <c r="M36" s="26">
        <v>11</v>
      </c>
      <c r="N36" s="26">
        <v>12</v>
      </c>
      <c r="O36" s="26">
        <v>13</v>
      </c>
      <c r="P36" s="26">
        <v>14</v>
      </c>
      <c r="Q36" s="26">
        <v>15</v>
      </c>
      <c r="R36" s="26">
        <v>16</v>
      </c>
      <c r="S36" s="26">
        <v>17</v>
      </c>
      <c r="T36" s="26">
        <v>18</v>
      </c>
      <c r="U36" s="26">
        <v>19</v>
      </c>
      <c r="V36" s="26">
        <v>20</v>
      </c>
      <c r="W36" s="26">
        <v>21</v>
      </c>
      <c r="X36" s="26">
        <v>22</v>
      </c>
      <c r="Y36" s="26">
        <v>23</v>
      </c>
      <c r="Z36" s="26">
        <v>24</v>
      </c>
    </row>
    <row r="37" spans="1:26" x14ac:dyDescent="0.25">
      <c r="A37" s="23" t="s">
        <v>3</v>
      </c>
    </row>
    <row r="38" spans="1:26" x14ac:dyDescent="0.25">
      <c r="A38" s="10" t="s">
        <v>51</v>
      </c>
      <c r="B38" s="31">
        <f t="shared" ref="B38:Z38" si="3">B6</f>
        <v>0</v>
      </c>
      <c r="C38" s="31">
        <f t="shared" si="3"/>
        <v>0</v>
      </c>
      <c r="D38" s="31">
        <f t="shared" si="3"/>
        <v>221085.00000000003</v>
      </c>
      <c r="E38" s="31">
        <f t="shared" si="3"/>
        <v>366081.9391125</v>
      </c>
      <c r="F38" s="31">
        <f t="shared" si="3"/>
        <v>460033.66800000006</v>
      </c>
      <c r="G38" s="31">
        <f t="shared" si="3"/>
        <v>469234.34136000008</v>
      </c>
      <c r="H38" s="31">
        <f t="shared" si="3"/>
        <v>431654.53604633111</v>
      </c>
      <c r="I38" s="31">
        <f t="shared" si="3"/>
        <v>488191.40875094401</v>
      </c>
      <c r="J38" s="31">
        <f t="shared" si="3"/>
        <v>497955.2369259629</v>
      </c>
      <c r="K38" s="31">
        <f t="shared" si="3"/>
        <v>458075.24688865483</v>
      </c>
      <c r="L38" s="31">
        <f t="shared" si="3"/>
        <v>518072.62849777186</v>
      </c>
      <c r="M38" s="31">
        <f t="shared" si="3"/>
        <v>528434.08106772718</v>
      </c>
      <c r="N38" s="31">
        <f t="shared" si="3"/>
        <v>486113.11660021567</v>
      </c>
      <c r="O38" s="31">
        <f t="shared" si="3"/>
        <v>549782.81794286345</v>
      </c>
      <c r="P38" s="31">
        <f t="shared" si="3"/>
        <v>560778.47430172074</v>
      </c>
      <c r="Q38" s="31">
        <f t="shared" si="3"/>
        <v>515867.12824108155</v>
      </c>
      <c r="R38" s="31">
        <f t="shared" si="3"/>
        <v>583433.92466351017</v>
      </c>
      <c r="S38" s="31">
        <f t="shared" si="3"/>
        <v>595102.60315678047</v>
      </c>
      <c r="T38" s="31">
        <f t="shared" si="3"/>
        <v>547442.32342646178</v>
      </c>
      <c r="U38" s="31">
        <f t="shared" si="3"/>
        <v>619144.74832431425</v>
      </c>
      <c r="V38" s="31">
        <f t="shared" si="3"/>
        <v>631527.64329080062</v>
      </c>
      <c r="W38" s="31">
        <f t="shared" si="3"/>
        <v>464760.13852699887</v>
      </c>
      <c r="X38" s="31">
        <f t="shared" si="3"/>
        <v>328520.68003987451</v>
      </c>
      <c r="Y38" s="31">
        <f t="shared" si="3"/>
        <v>67018.218728134379</v>
      </c>
      <c r="Z38" s="31">
        <f t="shared" si="3"/>
        <v>0</v>
      </c>
    </row>
    <row r="39" spans="1:26" x14ac:dyDescent="0.25">
      <c r="A39" s="10" t="s">
        <v>52</v>
      </c>
      <c r="B39" s="31">
        <f t="shared" ref="B39:Z39" si="4">B7</f>
        <v>0</v>
      </c>
      <c r="C39" s="31">
        <f t="shared" si="4"/>
        <v>0</v>
      </c>
      <c r="D39" s="31">
        <f t="shared" si="4"/>
        <v>0</v>
      </c>
      <c r="E39" s="31">
        <f t="shared" si="4"/>
        <v>0</v>
      </c>
      <c r="F39" s="31">
        <f t="shared" si="4"/>
        <v>0</v>
      </c>
      <c r="G39" s="31">
        <f t="shared" si="4"/>
        <v>0</v>
      </c>
      <c r="H39" s="31">
        <f t="shared" si="4"/>
        <v>0</v>
      </c>
      <c r="I39" s="31">
        <f t="shared" si="4"/>
        <v>0</v>
      </c>
      <c r="J39" s="31">
        <f t="shared" si="4"/>
        <v>0</v>
      </c>
      <c r="K39" s="31">
        <f t="shared" si="4"/>
        <v>0</v>
      </c>
      <c r="L39" s="31">
        <f t="shared" si="4"/>
        <v>0</v>
      </c>
      <c r="M39" s="31">
        <f t="shared" si="4"/>
        <v>0</v>
      </c>
      <c r="N39" s="31">
        <f t="shared" si="4"/>
        <v>0</v>
      </c>
      <c r="O39" s="31">
        <f t="shared" si="4"/>
        <v>0</v>
      </c>
      <c r="P39" s="31">
        <f t="shared" si="4"/>
        <v>0</v>
      </c>
      <c r="Q39" s="31">
        <f t="shared" si="4"/>
        <v>0</v>
      </c>
      <c r="R39" s="31">
        <f t="shared" si="4"/>
        <v>0</v>
      </c>
      <c r="S39" s="31">
        <f t="shared" si="4"/>
        <v>0</v>
      </c>
      <c r="T39" s="31">
        <f t="shared" si="4"/>
        <v>0</v>
      </c>
      <c r="U39" s="31">
        <f t="shared" si="4"/>
        <v>0</v>
      </c>
      <c r="V39" s="31">
        <f t="shared" si="4"/>
        <v>0</v>
      </c>
      <c r="W39" s="31">
        <f t="shared" si="4"/>
        <v>19000</v>
      </c>
      <c r="X39" s="31">
        <f t="shared" si="4"/>
        <v>30000</v>
      </c>
      <c r="Y39" s="31">
        <f t="shared" si="4"/>
        <v>40000</v>
      </c>
      <c r="Z39" s="31">
        <f t="shared" si="4"/>
        <v>9500</v>
      </c>
    </row>
    <row r="40" spans="1:26" s="12" customFormat="1" x14ac:dyDescent="0.25">
      <c r="A40" s="23" t="s">
        <v>53</v>
      </c>
      <c r="B40" s="38">
        <f t="shared" ref="B40:Z40" si="5">(B38+B39)</f>
        <v>0</v>
      </c>
      <c r="C40" s="38">
        <f t="shared" si="5"/>
        <v>0</v>
      </c>
      <c r="D40" s="38">
        <f t="shared" si="5"/>
        <v>221085.00000000003</v>
      </c>
      <c r="E40" s="38">
        <f t="shared" si="5"/>
        <v>366081.9391125</v>
      </c>
      <c r="F40" s="38">
        <f t="shared" si="5"/>
        <v>460033.66800000006</v>
      </c>
      <c r="G40" s="38">
        <f t="shared" si="5"/>
        <v>469234.34136000008</v>
      </c>
      <c r="H40" s="38">
        <f t="shared" si="5"/>
        <v>431654.53604633111</v>
      </c>
      <c r="I40" s="38">
        <f t="shared" si="5"/>
        <v>488191.40875094401</v>
      </c>
      <c r="J40" s="38">
        <f t="shared" si="5"/>
        <v>497955.2369259629</v>
      </c>
      <c r="K40" s="38">
        <f t="shared" si="5"/>
        <v>458075.24688865483</v>
      </c>
      <c r="L40" s="38">
        <f t="shared" si="5"/>
        <v>518072.62849777186</v>
      </c>
      <c r="M40" s="38">
        <f t="shared" si="5"/>
        <v>528434.08106772718</v>
      </c>
      <c r="N40" s="38">
        <f t="shared" si="5"/>
        <v>486113.11660021567</v>
      </c>
      <c r="O40" s="38">
        <f t="shared" si="5"/>
        <v>549782.81794286345</v>
      </c>
      <c r="P40" s="38">
        <f t="shared" si="5"/>
        <v>560778.47430172074</v>
      </c>
      <c r="Q40" s="38">
        <f t="shared" si="5"/>
        <v>515867.12824108155</v>
      </c>
      <c r="R40" s="38">
        <f t="shared" si="5"/>
        <v>583433.92466351017</v>
      </c>
      <c r="S40" s="38">
        <f t="shared" si="5"/>
        <v>595102.60315678047</v>
      </c>
      <c r="T40" s="38">
        <f t="shared" si="5"/>
        <v>547442.32342646178</v>
      </c>
      <c r="U40" s="38">
        <f t="shared" si="5"/>
        <v>619144.74832431425</v>
      </c>
      <c r="V40" s="38">
        <f t="shared" si="5"/>
        <v>631527.64329080062</v>
      </c>
      <c r="W40" s="38">
        <f t="shared" si="5"/>
        <v>483760.13852699887</v>
      </c>
      <c r="X40" s="38">
        <f t="shared" si="5"/>
        <v>358520.68003987451</v>
      </c>
      <c r="Y40" s="38">
        <f t="shared" si="5"/>
        <v>107018.21872813438</v>
      </c>
      <c r="Z40" s="38">
        <f t="shared" si="5"/>
        <v>9500</v>
      </c>
    </row>
    <row r="41" spans="1:26" x14ac:dyDescent="0.25">
      <c r="A41" s="23"/>
      <c r="B41" s="41"/>
      <c r="C41" s="41"/>
      <c r="D41" s="41"/>
      <c r="E41" s="41"/>
      <c r="F41" s="41"/>
      <c r="G41" s="41"/>
      <c r="H41" s="41"/>
      <c r="I41" s="41"/>
      <c r="J41" s="41"/>
      <c r="K41" s="41"/>
    </row>
    <row r="42" spans="1:26" x14ac:dyDescent="0.25">
      <c r="A42" s="23" t="s">
        <v>20</v>
      </c>
    </row>
    <row r="43" spans="1:26" x14ac:dyDescent="0.25">
      <c r="A43" s="9" t="s">
        <v>44</v>
      </c>
      <c r="B43" s="33">
        <f t="shared" ref="B43:Z43" si="6">B11</f>
        <v>0</v>
      </c>
      <c r="C43" s="33">
        <f t="shared" si="6"/>
        <v>100000</v>
      </c>
      <c r="D43" s="33">
        <f t="shared" si="6"/>
        <v>150000</v>
      </c>
      <c r="E43" s="33">
        <f t="shared" si="6"/>
        <v>200000</v>
      </c>
      <c r="F43" s="33">
        <f t="shared" si="6"/>
        <v>50000</v>
      </c>
      <c r="G43" s="33">
        <f t="shared" si="6"/>
        <v>0</v>
      </c>
      <c r="H43" s="33">
        <f t="shared" si="6"/>
        <v>0</v>
      </c>
      <c r="I43" s="33">
        <f t="shared" si="6"/>
        <v>0</v>
      </c>
      <c r="J43" s="33">
        <f t="shared" si="6"/>
        <v>0</v>
      </c>
      <c r="K43" s="33">
        <f t="shared" si="6"/>
        <v>0</v>
      </c>
      <c r="L43" s="33">
        <f t="shared" si="6"/>
        <v>0</v>
      </c>
      <c r="M43" s="33">
        <f t="shared" si="6"/>
        <v>0</v>
      </c>
      <c r="N43" s="33">
        <f t="shared" si="6"/>
        <v>0</v>
      </c>
      <c r="O43" s="33">
        <f t="shared" si="6"/>
        <v>0</v>
      </c>
      <c r="P43" s="33">
        <f t="shared" si="6"/>
        <v>0</v>
      </c>
      <c r="Q43" s="33">
        <f t="shared" si="6"/>
        <v>0</v>
      </c>
      <c r="R43" s="33">
        <f t="shared" si="6"/>
        <v>0</v>
      </c>
      <c r="S43" s="33">
        <f t="shared" si="6"/>
        <v>0</v>
      </c>
      <c r="T43" s="33">
        <f t="shared" si="6"/>
        <v>0</v>
      </c>
      <c r="U43" s="33">
        <f t="shared" si="6"/>
        <v>0</v>
      </c>
      <c r="V43" s="33">
        <f t="shared" si="6"/>
        <v>0</v>
      </c>
      <c r="W43" s="33">
        <f t="shared" si="6"/>
        <v>0</v>
      </c>
      <c r="X43" s="33">
        <f t="shared" si="6"/>
        <v>0</v>
      </c>
      <c r="Y43" s="33">
        <f t="shared" si="6"/>
        <v>0</v>
      </c>
      <c r="Z43" s="33">
        <f t="shared" si="6"/>
        <v>0</v>
      </c>
    </row>
    <row r="44" spans="1:26" x14ac:dyDescent="0.25">
      <c r="A44" s="9" t="s">
        <v>104</v>
      </c>
      <c r="B44" s="33">
        <f t="shared" ref="B44:Z44" si="7">B12</f>
        <v>0</v>
      </c>
      <c r="C44" s="33">
        <f t="shared" si="7"/>
        <v>0</v>
      </c>
      <c r="D44" s="33">
        <f t="shared" si="7"/>
        <v>5000</v>
      </c>
      <c r="E44" s="33">
        <f t="shared" si="7"/>
        <v>19031.249999999996</v>
      </c>
      <c r="F44" s="33">
        <f t="shared" si="7"/>
        <v>35000</v>
      </c>
      <c r="G44" s="33">
        <f t="shared" si="7"/>
        <v>47500</v>
      </c>
      <c r="H44" s="33">
        <f t="shared" si="7"/>
        <v>57093.749999999993</v>
      </c>
      <c r="I44" s="33">
        <f t="shared" si="7"/>
        <v>50000</v>
      </c>
      <c r="J44" s="33">
        <f t="shared" si="7"/>
        <v>50000</v>
      </c>
      <c r="K44" s="33">
        <f t="shared" si="7"/>
        <v>57093.749999999993</v>
      </c>
      <c r="L44" s="33">
        <f t="shared" si="7"/>
        <v>50000</v>
      </c>
      <c r="M44" s="33">
        <f t="shared" si="7"/>
        <v>50000</v>
      </c>
      <c r="N44" s="33">
        <f t="shared" si="7"/>
        <v>57093.749999999993</v>
      </c>
      <c r="O44" s="33">
        <f t="shared" si="7"/>
        <v>50000</v>
      </c>
      <c r="P44" s="33">
        <f t="shared" si="7"/>
        <v>50000</v>
      </c>
      <c r="Q44" s="33">
        <f t="shared" si="7"/>
        <v>57093.749999999993</v>
      </c>
      <c r="R44" s="33">
        <f t="shared" si="7"/>
        <v>50000</v>
      </c>
      <c r="S44" s="33">
        <f t="shared" si="7"/>
        <v>50000</v>
      </c>
      <c r="T44" s="33">
        <f t="shared" si="7"/>
        <v>57093.749999999993</v>
      </c>
      <c r="U44" s="33">
        <f t="shared" si="7"/>
        <v>50000</v>
      </c>
      <c r="V44" s="33">
        <f t="shared" si="7"/>
        <v>50000</v>
      </c>
      <c r="W44" s="33">
        <f t="shared" si="7"/>
        <v>57093.749999999993</v>
      </c>
      <c r="X44" s="33">
        <f t="shared" si="7"/>
        <v>50000</v>
      </c>
      <c r="Y44" s="33">
        <f t="shared" si="7"/>
        <v>40000</v>
      </c>
      <c r="Z44" s="33">
        <f t="shared" si="7"/>
        <v>28546.874999999996</v>
      </c>
    </row>
    <row r="45" spans="1:26" x14ac:dyDescent="0.25">
      <c r="A45" s="9" t="s">
        <v>48</v>
      </c>
      <c r="B45" s="33">
        <f t="shared" ref="B45:Z45" si="8">B13</f>
        <v>0</v>
      </c>
      <c r="C45" s="33">
        <f t="shared" si="8"/>
        <v>10000</v>
      </c>
      <c r="D45" s="33">
        <f t="shared" si="8"/>
        <v>25000</v>
      </c>
      <c r="E45" s="33">
        <f t="shared" si="8"/>
        <v>45000</v>
      </c>
      <c r="F45" s="33">
        <f t="shared" si="8"/>
        <v>50000</v>
      </c>
      <c r="G45" s="33">
        <f t="shared" si="8"/>
        <v>50000</v>
      </c>
      <c r="H45" s="33">
        <f t="shared" si="8"/>
        <v>50000</v>
      </c>
      <c r="I45" s="33">
        <f t="shared" si="8"/>
        <v>50000</v>
      </c>
      <c r="J45" s="33">
        <f t="shared" si="8"/>
        <v>50000</v>
      </c>
      <c r="K45" s="33">
        <f t="shared" si="8"/>
        <v>50000</v>
      </c>
      <c r="L45" s="33">
        <f t="shared" si="8"/>
        <v>50000</v>
      </c>
      <c r="M45" s="33">
        <f t="shared" si="8"/>
        <v>50000</v>
      </c>
      <c r="N45" s="33">
        <f t="shared" si="8"/>
        <v>50000</v>
      </c>
      <c r="O45" s="33">
        <f t="shared" si="8"/>
        <v>50000</v>
      </c>
      <c r="P45" s="33">
        <f t="shared" si="8"/>
        <v>50000</v>
      </c>
      <c r="Q45" s="33">
        <f t="shared" si="8"/>
        <v>50000</v>
      </c>
      <c r="R45" s="33">
        <f t="shared" si="8"/>
        <v>50000</v>
      </c>
      <c r="S45" s="33">
        <f t="shared" si="8"/>
        <v>50000</v>
      </c>
      <c r="T45" s="33">
        <f t="shared" si="8"/>
        <v>50000</v>
      </c>
      <c r="U45" s="33">
        <f t="shared" si="8"/>
        <v>50000</v>
      </c>
      <c r="V45" s="33">
        <f t="shared" si="8"/>
        <v>50000</v>
      </c>
      <c r="W45" s="33">
        <f t="shared" si="8"/>
        <v>40000</v>
      </c>
      <c r="X45" s="33">
        <f t="shared" si="8"/>
        <v>25000</v>
      </c>
      <c r="Y45" s="33">
        <f t="shared" si="8"/>
        <v>5000</v>
      </c>
      <c r="Z45" s="33">
        <f t="shared" si="8"/>
        <v>0</v>
      </c>
    </row>
    <row r="46" spans="1:26" x14ac:dyDescent="0.25">
      <c r="A46" s="9" t="s">
        <v>50</v>
      </c>
      <c r="B46" s="33">
        <f t="shared" ref="B46:Z46" si="9">B14</f>
        <v>0</v>
      </c>
      <c r="C46" s="33">
        <f t="shared" si="9"/>
        <v>10000</v>
      </c>
      <c r="D46" s="33">
        <f t="shared" si="9"/>
        <v>25000</v>
      </c>
      <c r="E46" s="33">
        <f t="shared" si="9"/>
        <v>53043.749999999993</v>
      </c>
      <c r="F46" s="33">
        <f t="shared" si="9"/>
        <v>50000</v>
      </c>
      <c r="G46" s="33">
        <f t="shared" si="9"/>
        <v>50000</v>
      </c>
      <c r="H46" s="33">
        <f t="shared" si="9"/>
        <v>58937.499999999993</v>
      </c>
      <c r="I46" s="33">
        <f t="shared" si="9"/>
        <v>50000</v>
      </c>
      <c r="J46" s="33">
        <f t="shared" si="9"/>
        <v>50000</v>
      </c>
      <c r="K46" s="33">
        <f t="shared" si="9"/>
        <v>58937.499999999993</v>
      </c>
      <c r="L46" s="33">
        <f t="shared" si="9"/>
        <v>50000</v>
      </c>
      <c r="M46" s="33">
        <f t="shared" si="9"/>
        <v>50000</v>
      </c>
      <c r="N46" s="33">
        <f t="shared" si="9"/>
        <v>58937.499999999993</v>
      </c>
      <c r="O46" s="33">
        <f t="shared" si="9"/>
        <v>50000</v>
      </c>
      <c r="P46" s="33">
        <f t="shared" si="9"/>
        <v>50000</v>
      </c>
      <c r="Q46" s="33">
        <f t="shared" si="9"/>
        <v>58937.499999999993</v>
      </c>
      <c r="R46" s="33">
        <f t="shared" si="9"/>
        <v>50000</v>
      </c>
      <c r="S46" s="33">
        <f t="shared" si="9"/>
        <v>50000</v>
      </c>
      <c r="T46" s="33">
        <f t="shared" si="9"/>
        <v>58937.499999999993</v>
      </c>
      <c r="U46" s="33">
        <f t="shared" si="9"/>
        <v>50000</v>
      </c>
      <c r="V46" s="33">
        <f t="shared" si="9"/>
        <v>50000</v>
      </c>
      <c r="W46" s="33">
        <f t="shared" si="9"/>
        <v>47149.999999999993</v>
      </c>
      <c r="X46" s="33">
        <f t="shared" si="9"/>
        <v>25000</v>
      </c>
      <c r="Y46" s="33">
        <f t="shared" si="9"/>
        <v>5000</v>
      </c>
      <c r="Z46" s="33">
        <f t="shared" si="9"/>
        <v>0</v>
      </c>
    </row>
    <row r="47" spans="1:26" x14ac:dyDescent="0.25">
      <c r="A47" s="109" t="s">
        <v>102</v>
      </c>
      <c r="B47" s="33">
        <f t="shared" ref="B47:Z47" si="10">B15</f>
        <v>0</v>
      </c>
      <c r="C47" s="33">
        <f t="shared" si="10"/>
        <v>1000</v>
      </c>
      <c r="D47" s="33">
        <f t="shared" si="10"/>
        <v>2500</v>
      </c>
      <c r="E47" s="33">
        <f t="shared" si="10"/>
        <v>4885.875</v>
      </c>
      <c r="F47" s="33">
        <f t="shared" si="10"/>
        <v>5000</v>
      </c>
      <c r="G47" s="33">
        <f t="shared" si="10"/>
        <v>5000</v>
      </c>
      <c r="H47" s="33">
        <f t="shared" si="10"/>
        <v>5428.75</v>
      </c>
      <c r="I47" s="33">
        <f t="shared" si="10"/>
        <v>5000</v>
      </c>
      <c r="J47" s="33">
        <f t="shared" si="10"/>
        <v>5000</v>
      </c>
      <c r="K47" s="33">
        <f t="shared" si="10"/>
        <v>5428.75</v>
      </c>
      <c r="L47" s="33">
        <f t="shared" si="10"/>
        <v>5000</v>
      </c>
      <c r="M47" s="33">
        <f t="shared" si="10"/>
        <v>5000</v>
      </c>
      <c r="N47" s="33">
        <f t="shared" si="10"/>
        <v>5428.75</v>
      </c>
      <c r="O47" s="33">
        <f t="shared" si="10"/>
        <v>5000</v>
      </c>
      <c r="P47" s="33">
        <f t="shared" si="10"/>
        <v>5000</v>
      </c>
      <c r="Q47" s="33">
        <f t="shared" si="10"/>
        <v>5428.75</v>
      </c>
      <c r="R47" s="33">
        <f t="shared" si="10"/>
        <v>5000</v>
      </c>
      <c r="S47" s="33">
        <f t="shared" si="10"/>
        <v>5000</v>
      </c>
      <c r="T47" s="33">
        <f t="shared" si="10"/>
        <v>5428.75</v>
      </c>
      <c r="U47" s="33">
        <f t="shared" si="10"/>
        <v>5000</v>
      </c>
      <c r="V47" s="33">
        <f t="shared" si="10"/>
        <v>5000</v>
      </c>
      <c r="W47" s="33">
        <f t="shared" si="10"/>
        <v>4343</v>
      </c>
      <c r="X47" s="33">
        <f t="shared" si="10"/>
        <v>2500</v>
      </c>
      <c r="Y47" s="33">
        <f t="shared" si="10"/>
        <v>500</v>
      </c>
      <c r="Z47" s="33">
        <f t="shared" si="10"/>
        <v>0</v>
      </c>
    </row>
    <row r="48" spans="1:26" x14ac:dyDescent="0.25">
      <c r="A48" s="109" t="s">
        <v>103</v>
      </c>
      <c r="B48" s="33">
        <f t="shared" ref="B48:Z48" si="11">B16</f>
        <v>0</v>
      </c>
      <c r="C48" s="33">
        <f t="shared" si="11"/>
        <v>20238.181818181816</v>
      </c>
      <c r="D48" s="33">
        <f t="shared" si="11"/>
        <v>50595.454545454544</v>
      </c>
      <c r="E48" s="33">
        <f t="shared" si="11"/>
        <v>98881.226590909078</v>
      </c>
      <c r="F48" s="33">
        <f t="shared" si="11"/>
        <v>101190.90909090909</v>
      </c>
      <c r="G48" s="33">
        <f t="shared" si="11"/>
        <v>101190.90909090909</v>
      </c>
      <c r="H48" s="33">
        <f t="shared" si="11"/>
        <v>109868.02954545454</v>
      </c>
      <c r="I48" s="33">
        <f t="shared" si="11"/>
        <v>101190.90909090909</v>
      </c>
      <c r="J48" s="33">
        <f t="shared" si="11"/>
        <v>101190.90909090909</v>
      </c>
      <c r="K48" s="33">
        <f t="shared" si="11"/>
        <v>109868.02954545454</v>
      </c>
      <c r="L48" s="33">
        <f t="shared" si="11"/>
        <v>101190.90909090909</v>
      </c>
      <c r="M48" s="33">
        <f t="shared" si="11"/>
        <v>101190.90909090909</v>
      </c>
      <c r="N48" s="33">
        <f t="shared" si="11"/>
        <v>109868.02954545454</v>
      </c>
      <c r="O48" s="33">
        <f t="shared" si="11"/>
        <v>101190.90909090909</v>
      </c>
      <c r="P48" s="33">
        <f t="shared" si="11"/>
        <v>101190.90909090909</v>
      </c>
      <c r="Q48" s="33">
        <f t="shared" si="11"/>
        <v>109868.02954545454</v>
      </c>
      <c r="R48" s="33">
        <f t="shared" si="11"/>
        <v>101190.90909090909</v>
      </c>
      <c r="S48" s="33">
        <f t="shared" si="11"/>
        <v>101190.90909090909</v>
      </c>
      <c r="T48" s="33">
        <f t="shared" si="11"/>
        <v>109868.02954545454</v>
      </c>
      <c r="U48" s="33">
        <f t="shared" si="11"/>
        <v>101190.90909090909</v>
      </c>
      <c r="V48" s="33">
        <f t="shared" si="11"/>
        <v>101190.90909090909</v>
      </c>
      <c r="W48" s="33">
        <f t="shared" si="11"/>
        <v>87894.42363636363</v>
      </c>
      <c r="X48" s="33">
        <f t="shared" si="11"/>
        <v>50595.454545454544</v>
      </c>
      <c r="Y48" s="33">
        <f t="shared" si="11"/>
        <v>10119.090909090908</v>
      </c>
      <c r="Z48" s="33">
        <f t="shared" si="11"/>
        <v>0</v>
      </c>
    </row>
    <row r="49" spans="1:27" x14ac:dyDescent="0.25">
      <c r="A49" s="9" t="s">
        <v>35</v>
      </c>
      <c r="B49" s="33">
        <f t="shared" ref="B49:Z49" si="12">B17</f>
        <v>0</v>
      </c>
      <c r="C49" s="33">
        <f t="shared" si="12"/>
        <v>20000</v>
      </c>
      <c r="D49" s="33">
        <f t="shared" si="12"/>
        <v>50000</v>
      </c>
      <c r="E49" s="33">
        <f t="shared" si="12"/>
        <v>98201.249999999985</v>
      </c>
      <c r="F49" s="33">
        <f t="shared" si="12"/>
        <v>100000</v>
      </c>
      <c r="G49" s="33">
        <f t="shared" si="12"/>
        <v>100000</v>
      </c>
      <c r="H49" s="33">
        <f t="shared" si="12"/>
        <v>109112.49999999999</v>
      </c>
      <c r="I49" s="33">
        <f t="shared" si="12"/>
        <v>100000</v>
      </c>
      <c r="J49" s="33">
        <f t="shared" si="12"/>
        <v>100000</v>
      </c>
      <c r="K49" s="33">
        <f t="shared" si="12"/>
        <v>109112.49999999999</v>
      </c>
      <c r="L49" s="33">
        <f t="shared" si="12"/>
        <v>100000</v>
      </c>
      <c r="M49" s="33">
        <f t="shared" si="12"/>
        <v>100000</v>
      </c>
      <c r="N49" s="33">
        <f t="shared" si="12"/>
        <v>109112.49999999999</v>
      </c>
      <c r="O49" s="33">
        <f t="shared" si="12"/>
        <v>100000</v>
      </c>
      <c r="P49" s="33">
        <f t="shared" si="12"/>
        <v>100000</v>
      </c>
      <c r="Q49" s="33">
        <f t="shared" si="12"/>
        <v>109112.49999999999</v>
      </c>
      <c r="R49" s="33">
        <f t="shared" si="12"/>
        <v>100000</v>
      </c>
      <c r="S49" s="33">
        <f t="shared" si="12"/>
        <v>100000</v>
      </c>
      <c r="T49" s="33">
        <f t="shared" si="12"/>
        <v>109112.49999999999</v>
      </c>
      <c r="U49" s="33">
        <f t="shared" si="12"/>
        <v>100000</v>
      </c>
      <c r="V49" s="33">
        <f t="shared" si="12"/>
        <v>100000</v>
      </c>
      <c r="W49" s="33">
        <f t="shared" si="12"/>
        <v>87289.999999999985</v>
      </c>
      <c r="X49" s="33">
        <f t="shared" si="12"/>
        <v>50000</v>
      </c>
      <c r="Y49" s="33">
        <f t="shared" si="12"/>
        <v>10000</v>
      </c>
      <c r="Z49" s="33">
        <f t="shared" si="12"/>
        <v>0</v>
      </c>
    </row>
    <row r="50" spans="1:27" x14ac:dyDescent="0.25">
      <c r="A50" s="9" t="s">
        <v>12</v>
      </c>
      <c r="B50" s="33">
        <f t="shared" ref="B50:Z50" si="13">B18</f>
        <v>0</v>
      </c>
      <c r="C50" s="33">
        <f t="shared" si="13"/>
        <v>4100.6000000000004</v>
      </c>
      <c r="D50" s="33">
        <f t="shared" si="13"/>
        <v>10354.014999999999</v>
      </c>
      <c r="E50" s="33">
        <f t="shared" si="13"/>
        <v>18823.599269999999</v>
      </c>
      <c r="F50" s="33">
        <f t="shared" si="13"/>
        <v>21124.261403</v>
      </c>
      <c r="G50" s="33">
        <f t="shared" si="13"/>
        <v>21335.504017029998</v>
      </c>
      <c r="H50" s="33">
        <f t="shared" si="13"/>
        <v>21548.859057200301</v>
      </c>
      <c r="I50" s="33">
        <f t="shared" si="13"/>
        <v>21764.347647772298</v>
      </c>
      <c r="J50" s="33">
        <f t="shared" si="13"/>
        <v>21981.991124250027</v>
      </c>
      <c r="K50" s="33">
        <f t="shared" si="13"/>
        <v>22201.81103549253</v>
      </c>
      <c r="L50" s="33">
        <f t="shared" si="13"/>
        <v>22423.829145847456</v>
      </c>
      <c r="M50" s="33">
        <f t="shared" si="13"/>
        <v>22648.067437305926</v>
      </c>
      <c r="N50" s="33">
        <f t="shared" si="13"/>
        <v>22874.548111678985</v>
      </c>
      <c r="O50" s="33">
        <f t="shared" si="13"/>
        <v>23103.293592795777</v>
      </c>
      <c r="P50" s="33">
        <f t="shared" si="13"/>
        <v>23334.326528723737</v>
      </c>
      <c r="Q50" s="33">
        <f t="shared" si="13"/>
        <v>23567.66979401097</v>
      </c>
      <c r="R50" s="33">
        <f t="shared" si="13"/>
        <v>23803.346491951084</v>
      </c>
      <c r="S50" s="33">
        <f t="shared" si="13"/>
        <v>24041.379956870598</v>
      </c>
      <c r="T50" s="33">
        <f t="shared" si="13"/>
        <v>24281.793756439303</v>
      </c>
      <c r="U50" s="33">
        <f t="shared" si="13"/>
        <v>24524.611694003692</v>
      </c>
      <c r="V50" s="33">
        <f t="shared" si="13"/>
        <v>24769.857810943729</v>
      </c>
      <c r="W50" s="33">
        <f t="shared" si="13"/>
        <v>20014.045111242533</v>
      </c>
      <c r="X50" s="33">
        <f t="shared" si="13"/>
        <v>12633.865976471852</v>
      </c>
      <c r="Y50" s="33">
        <f t="shared" si="13"/>
        <v>2552.0409272473134</v>
      </c>
      <c r="Z50" s="33">
        <f t="shared" si="13"/>
        <v>0</v>
      </c>
    </row>
    <row r="51" spans="1:27" s="50" customFormat="1" x14ac:dyDescent="0.25">
      <c r="A51" s="52" t="s">
        <v>131</v>
      </c>
      <c r="B51" s="49">
        <f>Assumption_Hatchery!D53</f>
        <v>0</v>
      </c>
      <c r="C51" s="49">
        <f>Assumption_Hatchery!E53</f>
        <v>0</v>
      </c>
      <c r="D51" s="49">
        <f>Assumption_Hatchery!F53</f>
        <v>59200</v>
      </c>
      <c r="E51" s="49">
        <f>Assumption_Hatchery!G53</f>
        <v>138400</v>
      </c>
      <c r="F51" s="49">
        <f>Assumption_Hatchery!H53</f>
        <v>192800</v>
      </c>
      <c r="G51" s="49">
        <f>Assumption_Hatchery!I53</f>
        <v>128800</v>
      </c>
      <c r="H51" s="49">
        <f>Assumption_Hatchery!J53</f>
        <v>24800</v>
      </c>
      <c r="I51" s="49">
        <f>Assumption_Hatchery!K53</f>
        <v>0</v>
      </c>
      <c r="J51" s="49">
        <f>Assumption_Hatchery!L53</f>
        <v>0</v>
      </c>
      <c r="K51" s="49">
        <f>Assumption_Hatchery!M53</f>
        <v>0</v>
      </c>
      <c r="L51" s="49">
        <f>Assumption_Hatchery!N53</f>
        <v>0</v>
      </c>
      <c r="M51" s="49">
        <f>Assumption_Hatchery!O53</f>
        <v>0</v>
      </c>
      <c r="N51" s="49">
        <f>Assumption_Hatchery!P53</f>
        <v>0</v>
      </c>
      <c r="O51" s="49">
        <f>Assumption_Hatchery!Q53</f>
        <v>0</v>
      </c>
      <c r="P51" s="49">
        <f>Assumption_Hatchery!R53</f>
        <v>0</v>
      </c>
      <c r="Q51" s="49">
        <f>Assumption_Hatchery!S53</f>
        <v>0</v>
      </c>
      <c r="R51" s="49">
        <f>Assumption_Hatchery!T53</f>
        <v>0</v>
      </c>
      <c r="S51" s="49">
        <f>Assumption_Hatchery!U53</f>
        <v>0</v>
      </c>
      <c r="T51" s="49">
        <f>Assumption_Hatchery!V53</f>
        <v>0</v>
      </c>
      <c r="U51" s="49">
        <f>Assumption_Hatchery!W53</f>
        <v>0</v>
      </c>
      <c r="V51" s="49">
        <f>Assumption_Hatchery!X53</f>
        <v>0</v>
      </c>
      <c r="W51" s="49">
        <f>Assumption_Hatchery!Y53</f>
        <v>0</v>
      </c>
      <c r="X51" s="49">
        <f>Assumption_Hatchery!Z53</f>
        <v>0</v>
      </c>
      <c r="Y51" s="49">
        <f>Assumption_Hatchery!AA53</f>
        <v>0</v>
      </c>
      <c r="Z51" s="49">
        <f>Assumption_Hatchery!AB53</f>
        <v>0</v>
      </c>
    </row>
    <row r="52" spans="1:27" x14ac:dyDescent="0.25">
      <c r="A52" s="117" t="s">
        <v>54</v>
      </c>
      <c r="B52" s="37">
        <f>SUM(B43:B51)</f>
        <v>0</v>
      </c>
      <c r="C52" s="37">
        <f t="shared" ref="C52:Z52" si="14">SUM(C43:C51)</f>
        <v>165338.78181818183</v>
      </c>
      <c r="D52" s="37">
        <f t="shared" si="14"/>
        <v>377649.46954545454</v>
      </c>
      <c r="E52" s="37">
        <f t="shared" si="14"/>
        <v>676266.95086090907</v>
      </c>
      <c r="F52" s="37">
        <f t="shared" si="14"/>
        <v>605115.17049390904</v>
      </c>
      <c r="G52" s="37">
        <f t="shared" si="14"/>
        <v>503826.41310793906</v>
      </c>
      <c r="H52" s="37">
        <f t="shared" si="14"/>
        <v>436789.38860265486</v>
      </c>
      <c r="I52" s="37">
        <f t="shared" si="14"/>
        <v>377955.25673868135</v>
      </c>
      <c r="J52" s="37">
        <f t="shared" si="14"/>
        <v>378172.90021515911</v>
      </c>
      <c r="K52" s="37">
        <f t="shared" si="14"/>
        <v>412642.34058094706</v>
      </c>
      <c r="L52" s="37">
        <f t="shared" si="14"/>
        <v>378614.73823675653</v>
      </c>
      <c r="M52" s="37">
        <f t="shared" si="14"/>
        <v>378838.97652821499</v>
      </c>
      <c r="N52" s="37">
        <f t="shared" si="14"/>
        <v>413315.07765713352</v>
      </c>
      <c r="O52" s="37">
        <f t="shared" si="14"/>
        <v>379294.20268370485</v>
      </c>
      <c r="P52" s="37">
        <f t="shared" si="14"/>
        <v>379525.23561963282</v>
      </c>
      <c r="Q52" s="37">
        <f t="shared" si="14"/>
        <v>414008.19933946553</v>
      </c>
      <c r="R52" s="37">
        <f t="shared" si="14"/>
        <v>379994.25558286015</v>
      </c>
      <c r="S52" s="37">
        <f t="shared" si="14"/>
        <v>380232.28904777963</v>
      </c>
      <c r="T52" s="37">
        <f t="shared" si="14"/>
        <v>414722.32330189383</v>
      </c>
      <c r="U52" s="37">
        <f t="shared" si="14"/>
        <v>380715.52078491275</v>
      </c>
      <c r="V52" s="37">
        <f t="shared" si="14"/>
        <v>380960.7669018528</v>
      </c>
      <c r="W52" s="37">
        <f t="shared" si="14"/>
        <v>343785.21874760615</v>
      </c>
      <c r="X52" s="37">
        <f t="shared" si="14"/>
        <v>215729.32052192639</v>
      </c>
      <c r="Y52" s="37">
        <f t="shared" si="14"/>
        <v>73171.131836338231</v>
      </c>
      <c r="Z52" s="37">
        <f t="shared" si="14"/>
        <v>28546.874999999996</v>
      </c>
    </row>
    <row r="53" spans="1:27" x14ac:dyDescent="0.25">
      <c r="B53" s="32"/>
      <c r="C53" s="32"/>
      <c r="D53" s="32"/>
      <c r="E53" s="32"/>
      <c r="F53" s="32"/>
      <c r="G53" s="32"/>
      <c r="H53" s="32"/>
      <c r="I53" s="32"/>
      <c r="J53" s="32"/>
      <c r="K53" s="32"/>
      <c r="L53" s="32"/>
    </row>
    <row r="54" spans="1:27" x14ac:dyDescent="0.25">
      <c r="A54" s="23" t="s">
        <v>55</v>
      </c>
      <c r="B54" s="34">
        <f>B40-B52</f>
        <v>0</v>
      </c>
      <c r="C54" s="34">
        <f t="shared" ref="C54:Z54" si="15">C40-C52</f>
        <v>-165338.78181818183</v>
      </c>
      <c r="D54" s="34">
        <f t="shared" si="15"/>
        <v>-156564.46954545451</v>
      </c>
      <c r="E54" s="34">
        <f t="shared" si="15"/>
        <v>-310185.01174840907</v>
      </c>
      <c r="F54" s="34">
        <f t="shared" si="15"/>
        <v>-145081.50249390898</v>
      </c>
      <c r="G54" s="34">
        <f t="shared" si="15"/>
        <v>-34592.071747938986</v>
      </c>
      <c r="H54" s="34">
        <f t="shared" si="15"/>
        <v>-5134.852556323749</v>
      </c>
      <c r="I54" s="34">
        <f t="shared" si="15"/>
        <v>110236.15201226267</v>
      </c>
      <c r="J54" s="34">
        <f t="shared" si="15"/>
        <v>119782.33671080379</v>
      </c>
      <c r="K54" s="34">
        <f t="shared" si="15"/>
        <v>45432.906307707774</v>
      </c>
      <c r="L54" s="34">
        <f t="shared" si="15"/>
        <v>139457.89026101533</v>
      </c>
      <c r="M54" s="34">
        <f t="shared" si="15"/>
        <v>149595.10453951219</v>
      </c>
      <c r="N54" s="34">
        <f t="shared" si="15"/>
        <v>72798.038943082152</v>
      </c>
      <c r="O54" s="34">
        <f t="shared" si="15"/>
        <v>170488.6152591586</v>
      </c>
      <c r="P54" s="34">
        <f t="shared" si="15"/>
        <v>181253.23868208792</v>
      </c>
      <c r="Q54" s="34">
        <f t="shared" si="15"/>
        <v>101858.92890161602</v>
      </c>
      <c r="R54" s="34">
        <f t="shared" si="15"/>
        <v>203439.66908065003</v>
      </c>
      <c r="S54" s="34">
        <f t="shared" si="15"/>
        <v>214870.31410900084</v>
      </c>
      <c r="T54" s="34">
        <f t="shared" si="15"/>
        <v>132720.00012456795</v>
      </c>
      <c r="U54" s="34">
        <f t="shared" si="15"/>
        <v>238429.2275394015</v>
      </c>
      <c r="V54" s="34">
        <f t="shared" si="15"/>
        <v>250566.87638894783</v>
      </c>
      <c r="W54" s="34">
        <f t="shared" si="15"/>
        <v>139974.91977939272</v>
      </c>
      <c r="X54" s="34">
        <f t="shared" si="15"/>
        <v>142791.35951794812</v>
      </c>
      <c r="Y54" s="34">
        <f t="shared" si="15"/>
        <v>33847.086891796149</v>
      </c>
      <c r="Z54" s="34">
        <f t="shared" si="15"/>
        <v>-19046.874999999996</v>
      </c>
    </row>
    <row r="55" spans="1:27" x14ac:dyDescent="0.25">
      <c r="B55" s="32"/>
      <c r="C55" s="32"/>
      <c r="D55" s="32"/>
      <c r="E55" s="32"/>
      <c r="F55" s="32"/>
      <c r="G55" s="32"/>
      <c r="H55" s="32"/>
      <c r="I55" s="32"/>
      <c r="J55" s="32"/>
      <c r="K55" s="32"/>
      <c r="L55" s="32"/>
    </row>
    <row r="56" spans="1:27" s="12" customFormat="1" x14ac:dyDescent="0.25">
      <c r="A56" s="10" t="s">
        <v>319</v>
      </c>
      <c r="B56" s="345">
        <f>B40/(1+Assumption_Hatchery!$C109)^B36</f>
        <v>0</v>
      </c>
      <c r="C56" s="345">
        <f>C40/(1+Assumption_Hatchery!$C109)^C36</f>
        <v>0</v>
      </c>
      <c r="D56" s="345">
        <f>D40/(1+Assumption_Hatchery!$C109)^D36</f>
        <v>221085.00000000003</v>
      </c>
      <c r="E56" s="345">
        <f>E40/(1+Assumption_Hatchery!$C109)^E36</f>
        <v>366081.9391125</v>
      </c>
      <c r="F56" s="345">
        <f>F40/(1+Assumption_Hatchery!$C109)^F36</f>
        <v>460033.66800000006</v>
      </c>
      <c r="G56" s="345">
        <f>G40/(1+Assumption_Hatchery!$C109)^G36</f>
        <v>469234.34136000008</v>
      </c>
      <c r="H56" s="345">
        <f>H40/(1+Assumption_Hatchery!$C109)^H36</f>
        <v>431654.53604633111</v>
      </c>
      <c r="I56" s="345">
        <f>I40/(1+Assumption_Hatchery!$C109)^I36</f>
        <v>488191.40875094401</v>
      </c>
      <c r="J56" s="345">
        <f>J40/(1+Assumption_Hatchery!$C109)^J36</f>
        <v>497955.2369259629</v>
      </c>
      <c r="K56" s="345">
        <f>K40/(1+Assumption_Hatchery!$C109)^K36</f>
        <v>458075.24688865483</v>
      </c>
      <c r="L56" s="345">
        <f>L40/(1+Assumption_Hatchery!$C109)^L36</f>
        <v>518072.62849777186</v>
      </c>
      <c r="M56" s="345">
        <f>M40/(1+Assumption_Hatchery!$C109)^M36</f>
        <v>528434.08106772718</v>
      </c>
      <c r="N56" s="345">
        <f>N40/(1+Assumption_Hatchery!$C109)^N36</f>
        <v>486113.11660021567</v>
      </c>
      <c r="O56" s="345">
        <f>O40/(1+Assumption_Hatchery!$C109)^O36</f>
        <v>549782.81794286345</v>
      </c>
      <c r="P56" s="345">
        <f>P40/(1+Assumption_Hatchery!$C109)^P36</f>
        <v>560778.47430172074</v>
      </c>
      <c r="Q56" s="345">
        <f>Q40/(1+Assumption_Hatchery!$C109)^Q36</f>
        <v>515867.12824108155</v>
      </c>
      <c r="R56" s="345">
        <f>R40/(1+Assumption_Hatchery!$C109)^R36</f>
        <v>583433.92466351017</v>
      </c>
      <c r="S56" s="345">
        <f>S40/(1+Assumption_Hatchery!$C109)^S36</f>
        <v>595102.60315678047</v>
      </c>
      <c r="T56" s="345">
        <f>T40/(1+Assumption_Hatchery!$C109)^T36</f>
        <v>547442.32342646178</v>
      </c>
      <c r="U56" s="345">
        <f>U40/(1+Assumption_Hatchery!$C109)^U36</f>
        <v>619144.74832431425</v>
      </c>
      <c r="V56" s="345">
        <f>V40/(1+Assumption_Hatchery!$C109)^V36</f>
        <v>631527.64329080062</v>
      </c>
      <c r="W56" s="345">
        <f>W40/(1+Assumption_Hatchery!$C109)^W36</f>
        <v>483760.13852699887</v>
      </c>
      <c r="X56" s="345">
        <f>X40/(1+Assumption_Hatchery!$C109)^X36</f>
        <v>358520.68003987451</v>
      </c>
      <c r="Y56" s="345">
        <f>Y40/(1+Assumption_Hatchery!$C109)^Y36</f>
        <v>107018.21872813438</v>
      </c>
      <c r="Z56" s="345">
        <f>Z40/(1+Assumption_Hatchery!$C109)^Z36</f>
        <v>9500</v>
      </c>
      <c r="AA56" s="343">
        <f>SUM(B56:Z56)</f>
        <v>10486809.903892649</v>
      </c>
    </row>
    <row r="57" spans="1:27" s="12" customFormat="1" x14ac:dyDescent="0.25">
      <c r="A57" s="10" t="s">
        <v>320</v>
      </c>
      <c r="B57" s="346">
        <f>B52/(1+Assumption_Hatchery!$C109)^BaU_Hatchery!B37</f>
        <v>0</v>
      </c>
      <c r="C57" s="346">
        <f>C52/(1+Assumption_Hatchery!$C109)^BaU_Hatchery!C37</f>
        <v>165338.78181818183</v>
      </c>
      <c r="D57" s="346">
        <f>D52/(1+Assumption_Hatchery!$C109)^BaU_Hatchery!D37</f>
        <v>377649.46954545454</v>
      </c>
      <c r="E57" s="346">
        <f>E52/(1+Assumption_Hatchery!$C109)^BaU_Hatchery!E37</f>
        <v>676266.95086090907</v>
      </c>
      <c r="F57" s="346">
        <f>F52/(1+Assumption_Hatchery!$C109)^BaU_Hatchery!F37</f>
        <v>605115.17049390904</v>
      </c>
      <c r="G57" s="346">
        <f>G52/(1+Assumption_Hatchery!$C109)^BaU_Hatchery!G37</f>
        <v>503826.41310793906</v>
      </c>
      <c r="H57" s="346">
        <f>H52/(1+Assumption_Hatchery!$C109)^BaU_Hatchery!H37</f>
        <v>436789.38860265486</v>
      </c>
      <c r="I57" s="346">
        <f>I52/(1+Assumption_Hatchery!$C109)^BaU_Hatchery!I37</f>
        <v>377955.25673868135</v>
      </c>
      <c r="J57" s="346">
        <f>J52/(1+Assumption_Hatchery!$C109)^BaU_Hatchery!J37</f>
        <v>378172.90021515911</v>
      </c>
      <c r="K57" s="346">
        <f>K52/(1+Assumption_Hatchery!$C109)^BaU_Hatchery!K37</f>
        <v>412642.34058094706</v>
      </c>
      <c r="L57" s="346">
        <f>L52/(1+Assumption_Hatchery!$C109)^BaU_Hatchery!L37</f>
        <v>378614.73823675653</v>
      </c>
      <c r="M57" s="346">
        <f>M52/(1+Assumption_Hatchery!$C109)^BaU_Hatchery!M37</f>
        <v>378838.97652821499</v>
      </c>
      <c r="N57" s="346">
        <f>N52/(1+Assumption_Hatchery!$C109)^BaU_Hatchery!N37</f>
        <v>413315.07765713352</v>
      </c>
      <c r="O57" s="346">
        <f>O52/(1+Assumption_Hatchery!$C109)^BaU_Hatchery!O37</f>
        <v>379294.20268370485</v>
      </c>
      <c r="P57" s="346">
        <f>P52/(1+Assumption_Hatchery!$C109)^BaU_Hatchery!P37</f>
        <v>379525.23561963282</v>
      </c>
      <c r="Q57" s="346">
        <f>Q52/(1+Assumption_Hatchery!$C109)^BaU_Hatchery!Q37</f>
        <v>414008.19933946553</v>
      </c>
      <c r="R57" s="346">
        <f>R52/(1+Assumption_Hatchery!$C109)^BaU_Hatchery!R37</f>
        <v>379994.25558286015</v>
      </c>
      <c r="S57" s="346">
        <f>S52/(1+Assumption_Hatchery!$C109)^BaU_Hatchery!S37</f>
        <v>380232.28904777963</v>
      </c>
      <c r="T57" s="346">
        <f>T52/(1+Assumption_Hatchery!$C109)^BaU_Hatchery!T37</f>
        <v>414722.32330189383</v>
      </c>
      <c r="U57" s="346">
        <f>U52/(1+Assumption_Hatchery!$C109)^BaU_Hatchery!U37</f>
        <v>380715.52078491275</v>
      </c>
      <c r="V57" s="346">
        <f>V52/(1+Assumption_Hatchery!$C109)^BaU_Hatchery!V37</f>
        <v>380960.7669018528</v>
      </c>
      <c r="W57" s="346">
        <f>W52/(1+Assumption_Hatchery!$C109)^BaU_Hatchery!W37</f>
        <v>343785.21874760615</v>
      </c>
      <c r="X57" s="346">
        <f>X52/(1+Assumption_Hatchery!$C109)^BaU_Hatchery!X37</f>
        <v>215729.32052192639</v>
      </c>
      <c r="Y57" s="346">
        <f>Y52/(1+Assumption_Hatchery!$C109)^BaU_Hatchery!Y37</f>
        <v>73171.131836338231</v>
      </c>
      <c r="Z57" s="346">
        <f>Z52/(1+Assumption_Hatchery!$C109)^BaU_Hatchery!Z37</f>
        <v>28546.874999999996</v>
      </c>
      <c r="AA57" s="343">
        <f>SUM(B57:Z57)</f>
        <v>8875210.8037539124</v>
      </c>
    </row>
    <row r="58" spans="1:27" x14ac:dyDescent="0.25">
      <c r="B58" s="32"/>
      <c r="C58" s="32"/>
      <c r="D58" s="32"/>
      <c r="E58" s="32"/>
      <c r="F58" s="32"/>
      <c r="G58" s="32"/>
      <c r="H58" s="32"/>
      <c r="I58" s="32"/>
      <c r="J58" s="32"/>
      <c r="K58" s="32"/>
      <c r="L58" s="32"/>
    </row>
    <row r="59" spans="1:27" s="12" customFormat="1" x14ac:dyDescent="0.25">
      <c r="A59" s="25" t="s">
        <v>318</v>
      </c>
      <c r="B59" s="35">
        <f>NPV(Assumption_Hatchery!C76,C54:Z54)+B54</f>
        <v>318934.34526440053</v>
      </c>
      <c r="C59" s="40"/>
      <c r="D59" s="40"/>
      <c r="E59" s="40"/>
      <c r="F59" s="40"/>
      <c r="G59" s="40"/>
      <c r="H59" s="40"/>
      <c r="I59" s="40"/>
      <c r="J59" s="40"/>
      <c r="K59" s="40"/>
      <c r="L59" s="40"/>
    </row>
    <row r="61" spans="1:27" s="12" customFormat="1" x14ac:dyDescent="0.25">
      <c r="A61" s="25" t="s">
        <v>238</v>
      </c>
      <c r="B61" s="36">
        <f>IRR(B54:Z54)</f>
        <v>9.5464309248442625E-2</v>
      </c>
      <c r="C61" s="4"/>
      <c r="D61" s="4"/>
      <c r="E61" s="4"/>
      <c r="F61" s="4"/>
      <c r="G61" s="4"/>
      <c r="H61" s="4"/>
      <c r="I61" s="4"/>
      <c r="J61" s="4"/>
      <c r="K61" s="4"/>
      <c r="L61" s="4"/>
    </row>
    <row r="63" spans="1:27" ht="38.25" customHeight="1" x14ac:dyDescent="0.25">
      <c r="A63" s="11"/>
      <c r="B63" s="30"/>
      <c r="C63" s="69"/>
      <c r="D63" s="70"/>
      <c r="E63" s="30"/>
      <c r="F63" s="116"/>
      <c r="G63" s="30"/>
      <c r="H63" s="30"/>
      <c r="I63" s="30"/>
      <c r="J63" s="30"/>
      <c r="K63" s="30"/>
      <c r="L63" s="30"/>
      <c r="M63" s="11"/>
    </row>
    <row r="64" spans="1:27" s="1" customFormat="1" x14ac:dyDescent="0.25">
      <c r="A64" s="24"/>
      <c r="B64" s="42"/>
      <c r="C64" s="42"/>
      <c r="D64" s="42"/>
      <c r="E64" s="42"/>
      <c r="F64" s="42"/>
      <c r="G64" s="42"/>
      <c r="H64" s="42"/>
      <c r="I64" s="42"/>
      <c r="J64" s="42"/>
      <c r="K64" s="42"/>
      <c r="L64" s="42"/>
    </row>
    <row r="66" spans="1:26" ht="26.25" x14ac:dyDescent="0.25">
      <c r="F66" s="19" t="s">
        <v>92</v>
      </c>
    </row>
    <row r="67" spans="1:26" ht="38.25" customHeight="1" x14ac:dyDescent="0.25">
      <c r="A67" s="11" t="s">
        <v>332</v>
      </c>
      <c r="B67" s="30"/>
      <c r="C67" s="69"/>
      <c r="D67" s="70"/>
      <c r="E67" s="30"/>
      <c r="F67" s="30"/>
      <c r="G67" s="30"/>
      <c r="H67" s="30"/>
      <c r="I67" s="30"/>
      <c r="J67" s="30"/>
      <c r="K67" s="30"/>
      <c r="L67" s="30"/>
      <c r="M67" s="11"/>
    </row>
    <row r="69" spans="1:26" x14ac:dyDescent="0.25">
      <c r="A69" s="10" t="s">
        <v>19</v>
      </c>
      <c r="B69" s="26">
        <v>0</v>
      </c>
      <c r="C69" s="26">
        <v>1</v>
      </c>
      <c r="D69" s="26">
        <v>2</v>
      </c>
      <c r="E69" s="26">
        <v>3</v>
      </c>
      <c r="F69" s="26">
        <v>4</v>
      </c>
      <c r="G69" s="26">
        <v>5</v>
      </c>
      <c r="H69" s="26">
        <v>6</v>
      </c>
      <c r="I69" s="26">
        <v>7</v>
      </c>
      <c r="J69" s="26">
        <v>8</v>
      </c>
      <c r="K69" s="26">
        <v>9</v>
      </c>
      <c r="L69" s="26">
        <v>10</v>
      </c>
      <c r="M69" s="26">
        <v>11</v>
      </c>
      <c r="N69" s="26">
        <v>12</v>
      </c>
      <c r="O69" s="26">
        <v>13</v>
      </c>
      <c r="P69" s="26">
        <v>14</v>
      </c>
      <c r="Q69" s="26">
        <v>15</v>
      </c>
      <c r="R69" s="26">
        <v>16</v>
      </c>
      <c r="S69" s="26">
        <v>17</v>
      </c>
      <c r="T69" s="26">
        <v>18</v>
      </c>
      <c r="U69" s="26">
        <v>19</v>
      </c>
      <c r="V69" s="26">
        <v>20</v>
      </c>
      <c r="W69" s="26">
        <v>21</v>
      </c>
      <c r="X69" s="26">
        <v>22</v>
      </c>
      <c r="Y69" s="26">
        <v>23</v>
      </c>
      <c r="Z69" s="26">
        <v>24</v>
      </c>
    </row>
    <row r="70" spans="1:26" x14ac:dyDescent="0.25">
      <c r="A70" s="23" t="s">
        <v>3</v>
      </c>
    </row>
    <row r="71" spans="1:26" x14ac:dyDescent="0.25">
      <c r="A71" s="10" t="s">
        <v>51</v>
      </c>
      <c r="B71" s="31">
        <f t="shared" ref="B71:Z71" si="16">B6</f>
        <v>0</v>
      </c>
      <c r="C71" s="31">
        <f t="shared" si="16"/>
        <v>0</v>
      </c>
      <c r="D71" s="31">
        <f t="shared" si="16"/>
        <v>221085.00000000003</v>
      </c>
      <c r="E71" s="31">
        <f t="shared" si="16"/>
        <v>366081.9391125</v>
      </c>
      <c r="F71" s="31">
        <f t="shared" si="16"/>
        <v>460033.66800000006</v>
      </c>
      <c r="G71" s="31">
        <f t="shared" si="16"/>
        <v>469234.34136000008</v>
      </c>
      <c r="H71" s="31">
        <f t="shared" si="16"/>
        <v>431654.53604633111</v>
      </c>
      <c r="I71" s="31">
        <f t="shared" si="16"/>
        <v>488191.40875094401</v>
      </c>
      <c r="J71" s="31">
        <f t="shared" si="16"/>
        <v>497955.2369259629</v>
      </c>
      <c r="K71" s="31">
        <f t="shared" si="16"/>
        <v>458075.24688865483</v>
      </c>
      <c r="L71" s="31">
        <f t="shared" si="16"/>
        <v>518072.62849777186</v>
      </c>
      <c r="M71" s="31">
        <f t="shared" si="16"/>
        <v>528434.08106772718</v>
      </c>
      <c r="N71" s="31">
        <f t="shared" si="16"/>
        <v>486113.11660021567</v>
      </c>
      <c r="O71" s="31">
        <f t="shared" si="16"/>
        <v>549782.81794286345</v>
      </c>
      <c r="P71" s="31">
        <f t="shared" si="16"/>
        <v>560778.47430172074</v>
      </c>
      <c r="Q71" s="31">
        <f t="shared" si="16"/>
        <v>515867.12824108155</v>
      </c>
      <c r="R71" s="31">
        <f t="shared" si="16"/>
        <v>583433.92466351017</v>
      </c>
      <c r="S71" s="31">
        <f t="shared" si="16"/>
        <v>595102.60315678047</v>
      </c>
      <c r="T71" s="31">
        <f t="shared" si="16"/>
        <v>547442.32342646178</v>
      </c>
      <c r="U71" s="31">
        <f t="shared" si="16"/>
        <v>619144.74832431425</v>
      </c>
      <c r="V71" s="31">
        <f t="shared" si="16"/>
        <v>631527.64329080062</v>
      </c>
      <c r="W71" s="31">
        <f t="shared" si="16"/>
        <v>464760.13852699887</v>
      </c>
      <c r="X71" s="31">
        <f t="shared" si="16"/>
        <v>328520.68003987451</v>
      </c>
      <c r="Y71" s="31">
        <f t="shared" si="16"/>
        <v>67018.218728134379</v>
      </c>
      <c r="Z71" s="31">
        <f t="shared" si="16"/>
        <v>0</v>
      </c>
    </row>
    <row r="72" spans="1:26" x14ac:dyDescent="0.25">
      <c r="A72" s="10" t="s">
        <v>52</v>
      </c>
      <c r="B72" s="31">
        <f t="shared" ref="B72:Z72" si="17">B7</f>
        <v>0</v>
      </c>
      <c r="C72" s="31">
        <f t="shared" si="17"/>
        <v>0</v>
      </c>
      <c r="D72" s="31">
        <f t="shared" si="17"/>
        <v>0</v>
      </c>
      <c r="E72" s="31">
        <f t="shared" si="17"/>
        <v>0</v>
      </c>
      <c r="F72" s="31">
        <f t="shared" si="17"/>
        <v>0</v>
      </c>
      <c r="G72" s="31">
        <f t="shared" si="17"/>
        <v>0</v>
      </c>
      <c r="H72" s="31">
        <f t="shared" si="17"/>
        <v>0</v>
      </c>
      <c r="I72" s="31">
        <f t="shared" si="17"/>
        <v>0</v>
      </c>
      <c r="J72" s="31">
        <f t="shared" si="17"/>
        <v>0</v>
      </c>
      <c r="K72" s="31">
        <f t="shared" si="17"/>
        <v>0</v>
      </c>
      <c r="L72" s="31">
        <f t="shared" si="17"/>
        <v>0</v>
      </c>
      <c r="M72" s="31">
        <f t="shared" si="17"/>
        <v>0</v>
      </c>
      <c r="N72" s="31">
        <f t="shared" si="17"/>
        <v>0</v>
      </c>
      <c r="O72" s="31">
        <f t="shared" si="17"/>
        <v>0</v>
      </c>
      <c r="P72" s="31">
        <f t="shared" si="17"/>
        <v>0</v>
      </c>
      <c r="Q72" s="31">
        <f t="shared" si="17"/>
        <v>0</v>
      </c>
      <c r="R72" s="31">
        <f t="shared" si="17"/>
        <v>0</v>
      </c>
      <c r="S72" s="31">
        <f t="shared" si="17"/>
        <v>0</v>
      </c>
      <c r="T72" s="31">
        <f t="shared" si="17"/>
        <v>0</v>
      </c>
      <c r="U72" s="31">
        <f t="shared" si="17"/>
        <v>0</v>
      </c>
      <c r="V72" s="31">
        <f t="shared" si="17"/>
        <v>0</v>
      </c>
      <c r="W72" s="31">
        <f t="shared" si="17"/>
        <v>19000</v>
      </c>
      <c r="X72" s="31">
        <f t="shared" si="17"/>
        <v>30000</v>
      </c>
      <c r="Y72" s="31">
        <f t="shared" si="17"/>
        <v>40000</v>
      </c>
      <c r="Z72" s="31">
        <f t="shared" si="17"/>
        <v>9500</v>
      </c>
    </row>
    <row r="73" spans="1:26" s="12" customFormat="1" x14ac:dyDescent="0.25">
      <c r="A73" s="23" t="s">
        <v>53</v>
      </c>
      <c r="B73" s="38">
        <f t="shared" ref="B73:Z73" si="18">(B71+B72)</f>
        <v>0</v>
      </c>
      <c r="C73" s="38">
        <f t="shared" si="18"/>
        <v>0</v>
      </c>
      <c r="D73" s="38">
        <f t="shared" si="18"/>
        <v>221085.00000000003</v>
      </c>
      <c r="E73" s="38">
        <f t="shared" si="18"/>
        <v>366081.9391125</v>
      </c>
      <c r="F73" s="38">
        <f t="shared" si="18"/>
        <v>460033.66800000006</v>
      </c>
      <c r="G73" s="38">
        <f t="shared" si="18"/>
        <v>469234.34136000008</v>
      </c>
      <c r="H73" s="38">
        <f t="shared" si="18"/>
        <v>431654.53604633111</v>
      </c>
      <c r="I73" s="38">
        <f t="shared" si="18"/>
        <v>488191.40875094401</v>
      </c>
      <c r="J73" s="38">
        <f t="shared" si="18"/>
        <v>497955.2369259629</v>
      </c>
      <c r="K73" s="38">
        <f t="shared" si="18"/>
        <v>458075.24688865483</v>
      </c>
      <c r="L73" s="38">
        <f t="shared" si="18"/>
        <v>518072.62849777186</v>
      </c>
      <c r="M73" s="38">
        <f t="shared" si="18"/>
        <v>528434.08106772718</v>
      </c>
      <c r="N73" s="38">
        <f t="shared" si="18"/>
        <v>486113.11660021567</v>
      </c>
      <c r="O73" s="38">
        <f t="shared" si="18"/>
        <v>549782.81794286345</v>
      </c>
      <c r="P73" s="38">
        <f t="shared" si="18"/>
        <v>560778.47430172074</v>
      </c>
      <c r="Q73" s="38">
        <f t="shared" si="18"/>
        <v>515867.12824108155</v>
      </c>
      <c r="R73" s="38">
        <f t="shared" si="18"/>
        <v>583433.92466351017</v>
      </c>
      <c r="S73" s="38">
        <f t="shared" si="18"/>
        <v>595102.60315678047</v>
      </c>
      <c r="T73" s="38">
        <f t="shared" si="18"/>
        <v>547442.32342646178</v>
      </c>
      <c r="U73" s="38">
        <f t="shared" si="18"/>
        <v>619144.74832431425</v>
      </c>
      <c r="V73" s="38">
        <f t="shared" si="18"/>
        <v>631527.64329080062</v>
      </c>
      <c r="W73" s="38">
        <f t="shared" si="18"/>
        <v>483760.13852699887</v>
      </c>
      <c r="X73" s="38">
        <f t="shared" si="18"/>
        <v>358520.68003987451</v>
      </c>
      <c r="Y73" s="38">
        <f t="shared" si="18"/>
        <v>107018.21872813438</v>
      </c>
      <c r="Z73" s="38">
        <f t="shared" si="18"/>
        <v>9500</v>
      </c>
    </row>
    <row r="74" spans="1:26" x14ac:dyDescent="0.25">
      <c r="A74" s="23"/>
      <c r="B74" s="41"/>
      <c r="C74" s="41"/>
      <c r="D74" s="41"/>
      <c r="E74" s="41"/>
      <c r="F74" s="41"/>
      <c r="G74" s="41"/>
      <c r="H74" s="41"/>
      <c r="I74" s="41"/>
      <c r="J74" s="41"/>
      <c r="K74" s="41"/>
    </row>
    <row r="75" spans="1:26" x14ac:dyDescent="0.25">
      <c r="A75" s="23" t="s">
        <v>20</v>
      </c>
    </row>
    <row r="76" spans="1:26" x14ac:dyDescent="0.25">
      <c r="A76" s="9" t="s">
        <v>44</v>
      </c>
      <c r="B76" s="33">
        <f t="shared" ref="B76:Z76" si="19">B11</f>
        <v>0</v>
      </c>
      <c r="C76" s="33">
        <f t="shared" si="19"/>
        <v>100000</v>
      </c>
      <c r="D76" s="33">
        <f t="shared" si="19"/>
        <v>150000</v>
      </c>
      <c r="E76" s="33">
        <f t="shared" si="19"/>
        <v>200000</v>
      </c>
      <c r="F76" s="33">
        <f t="shared" si="19"/>
        <v>50000</v>
      </c>
      <c r="G76" s="33">
        <f t="shared" si="19"/>
        <v>0</v>
      </c>
      <c r="H76" s="33">
        <f t="shared" si="19"/>
        <v>0</v>
      </c>
      <c r="I76" s="33">
        <f t="shared" si="19"/>
        <v>0</v>
      </c>
      <c r="J76" s="33">
        <f t="shared" si="19"/>
        <v>0</v>
      </c>
      <c r="K76" s="33">
        <f t="shared" si="19"/>
        <v>0</v>
      </c>
      <c r="L76" s="33">
        <f t="shared" si="19"/>
        <v>0</v>
      </c>
      <c r="M76" s="33">
        <f t="shared" si="19"/>
        <v>0</v>
      </c>
      <c r="N76" s="33">
        <f t="shared" si="19"/>
        <v>0</v>
      </c>
      <c r="O76" s="33">
        <f t="shared" si="19"/>
        <v>0</v>
      </c>
      <c r="P76" s="33">
        <f t="shared" si="19"/>
        <v>0</v>
      </c>
      <c r="Q76" s="33">
        <f t="shared" si="19"/>
        <v>0</v>
      </c>
      <c r="R76" s="33">
        <f t="shared" si="19"/>
        <v>0</v>
      </c>
      <c r="S76" s="33">
        <f t="shared" si="19"/>
        <v>0</v>
      </c>
      <c r="T76" s="33">
        <f t="shared" si="19"/>
        <v>0</v>
      </c>
      <c r="U76" s="33">
        <f t="shared" si="19"/>
        <v>0</v>
      </c>
      <c r="V76" s="33">
        <f t="shared" si="19"/>
        <v>0</v>
      </c>
      <c r="W76" s="33">
        <f t="shared" si="19"/>
        <v>0</v>
      </c>
      <c r="X76" s="33">
        <f t="shared" si="19"/>
        <v>0</v>
      </c>
      <c r="Y76" s="33">
        <f t="shared" si="19"/>
        <v>0</v>
      </c>
      <c r="Z76" s="33">
        <f t="shared" si="19"/>
        <v>0</v>
      </c>
    </row>
    <row r="77" spans="1:26" x14ac:dyDescent="0.25">
      <c r="A77" s="9" t="s">
        <v>104</v>
      </c>
      <c r="B77" s="33">
        <f t="shared" ref="B77:Z77" si="20">B12</f>
        <v>0</v>
      </c>
      <c r="C77" s="33">
        <f t="shared" si="20"/>
        <v>0</v>
      </c>
      <c r="D77" s="33">
        <f t="shared" si="20"/>
        <v>5000</v>
      </c>
      <c r="E77" s="33">
        <f t="shared" si="20"/>
        <v>19031.249999999996</v>
      </c>
      <c r="F77" s="33">
        <f t="shared" si="20"/>
        <v>35000</v>
      </c>
      <c r="G77" s="33">
        <f t="shared" si="20"/>
        <v>47500</v>
      </c>
      <c r="H77" s="33">
        <f t="shared" si="20"/>
        <v>57093.749999999993</v>
      </c>
      <c r="I77" s="33">
        <f t="shared" si="20"/>
        <v>50000</v>
      </c>
      <c r="J77" s="33">
        <f t="shared" si="20"/>
        <v>50000</v>
      </c>
      <c r="K77" s="33">
        <f t="shared" si="20"/>
        <v>57093.749999999993</v>
      </c>
      <c r="L77" s="33">
        <f t="shared" si="20"/>
        <v>50000</v>
      </c>
      <c r="M77" s="33">
        <f t="shared" si="20"/>
        <v>50000</v>
      </c>
      <c r="N77" s="33">
        <f t="shared" si="20"/>
        <v>57093.749999999993</v>
      </c>
      <c r="O77" s="33">
        <f t="shared" si="20"/>
        <v>50000</v>
      </c>
      <c r="P77" s="33">
        <f t="shared" si="20"/>
        <v>50000</v>
      </c>
      <c r="Q77" s="33">
        <f t="shared" si="20"/>
        <v>57093.749999999993</v>
      </c>
      <c r="R77" s="33">
        <f t="shared" si="20"/>
        <v>50000</v>
      </c>
      <c r="S77" s="33">
        <f t="shared" si="20"/>
        <v>50000</v>
      </c>
      <c r="T77" s="33">
        <f t="shared" si="20"/>
        <v>57093.749999999993</v>
      </c>
      <c r="U77" s="33">
        <f t="shared" si="20"/>
        <v>50000</v>
      </c>
      <c r="V77" s="33">
        <f t="shared" si="20"/>
        <v>50000</v>
      </c>
      <c r="W77" s="33">
        <f t="shared" si="20"/>
        <v>57093.749999999993</v>
      </c>
      <c r="X77" s="33">
        <f t="shared" si="20"/>
        <v>50000</v>
      </c>
      <c r="Y77" s="33">
        <f t="shared" si="20"/>
        <v>40000</v>
      </c>
      <c r="Z77" s="33">
        <f t="shared" si="20"/>
        <v>28546.874999999996</v>
      </c>
    </row>
    <row r="78" spans="1:26" x14ac:dyDescent="0.25">
      <c r="A78" s="9" t="s">
        <v>48</v>
      </c>
      <c r="B78" s="33">
        <f t="shared" ref="B78:Z78" si="21">B13</f>
        <v>0</v>
      </c>
      <c r="C78" s="33">
        <f t="shared" si="21"/>
        <v>10000</v>
      </c>
      <c r="D78" s="33">
        <f t="shared" si="21"/>
        <v>25000</v>
      </c>
      <c r="E78" s="33">
        <f t="shared" si="21"/>
        <v>45000</v>
      </c>
      <c r="F78" s="33">
        <f t="shared" si="21"/>
        <v>50000</v>
      </c>
      <c r="G78" s="33">
        <f t="shared" si="21"/>
        <v>50000</v>
      </c>
      <c r="H78" s="33">
        <f t="shared" si="21"/>
        <v>50000</v>
      </c>
      <c r="I78" s="33">
        <f t="shared" si="21"/>
        <v>50000</v>
      </c>
      <c r="J78" s="33">
        <f t="shared" si="21"/>
        <v>50000</v>
      </c>
      <c r="K78" s="33">
        <f t="shared" si="21"/>
        <v>50000</v>
      </c>
      <c r="L78" s="33">
        <f t="shared" si="21"/>
        <v>50000</v>
      </c>
      <c r="M78" s="33">
        <f t="shared" si="21"/>
        <v>50000</v>
      </c>
      <c r="N78" s="33">
        <f t="shared" si="21"/>
        <v>50000</v>
      </c>
      <c r="O78" s="33">
        <f t="shared" si="21"/>
        <v>50000</v>
      </c>
      <c r="P78" s="33">
        <f t="shared" si="21"/>
        <v>50000</v>
      </c>
      <c r="Q78" s="33">
        <f t="shared" si="21"/>
        <v>50000</v>
      </c>
      <c r="R78" s="33">
        <f t="shared" si="21"/>
        <v>50000</v>
      </c>
      <c r="S78" s="33">
        <f t="shared" si="21"/>
        <v>50000</v>
      </c>
      <c r="T78" s="33">
        <f t="shared" si="21"/>
        <v>50000</v>
      </c>
      <c r="U78" s="33">
        <f t="shared" si="21"/>
        <v>50000</v>
      </c>
      <c r="V78" s="33">
        <f t="shared" si="21"/>
        <v>50000</v>
      </c>
      <c r="W78" s="33">
        <f t="shared" si="21"/>
        <v>40000</v>
      </c>
      <c r="X78" s="33">
        <f t="shared" si="21"/>
        <v>25000</v>
      </c>
      <c r="Y78" s="33">
        <f t="shared" si="21"/>
        <v>5000</v>
      </c>
      <c r="Z78" s="33">
        <f t="shared" si="21"/>
        <v>0</v>
      </c>
    </row>
    <row r="79" spans="1:26" x14ac:dyDescent="0.25">
      <c r="A79" s="9" t="s">
        <v>50</v>
      </c>
      <c r="B79" s="33">
        <f t="shared" ref="B79:Z79" si="22">B14</f>
        <v>0</v>
      </c>
      <c r="C79" s="33">
        <f t="shared" si="22"/>
        <v>10000</v>
      </c>
      <c r="D79" s="33">
        <f t="shared" si="22"/>
        <v>25000</v>
      </c>
      <c r="E79" s="33">
        <f t="shared" si="22"/>
        <v>53043.749999999993</v>
      </c>
      <c r="F79" s="33">
        <f t="shared" si="22"/>
        <v>50000</v>
      </c>
      <c r="G79" s="33">
        <f t="shared" si="22"/>
        <v>50000</v>
      </c>
      <c r="H79" s="33">
        <f t="shared" si="22"/>
        <v>58937.499999999993</v>
      </c>
      <c r="I79" s="33">
        <f t="shared" si="22"/>
        <v>50000</v>
      </c>
      <c r="J79" s="33">
        <f t="shared" si="22"/>
        <v>50000</v>
      </c>
      <c r="K79" s="33">
        <f t="shared" si="22"/>
        <v>58937.499999999993</v>
      </c>
      <c r="L79" s="33">
        <f t="shared" si="22"/>
        <v>50000</v>
      </c>
      <c r="M79" s="33">
        <f t="shared" si="22"/>
        <v>50000</v>
      </c>
      <c r="N79" s="33">
        <f t="shared" si="22"/>
        <v>58937.499999999993</v>
      </c>
      <c r="O79" s="33">
        <f t="shared" si="22"/>
        <v>50000</v>
      </c>
      <c r="P79" s="33">
        <f t="shared" si="22"/>
        <v>50000</v>
      </c>
      <c r="Q79" s="33">
        <f t="shared" si="22"/>
        <v>58937.499999999993</v>
      </c>
      <c r="R79" s="33">
        <f t="shared" si="22"/>
        <v>50000</v>
      </c>
      <c r="S79" s="33">
        <f t="shared" si="22"/>
        <v>50000</v>
      </c>
      <c r="T79" s="33">
        <f t="shared" si="22"/>
        <v>58937.499999999993</v>
      </c>
      <c r="U79" s="33">
        <f t="shared" si="22"/>
        <v>50000</v>
      </c>
      <c r="V79" s="33">
        <f t="shared" si="22"/>
        <v>50000</v>
      </c>
      <c r="W79" s="33">
        <f t="shared" si="22"/>
        <v>47149.999999999993</v>
      </c>
      <c r="X79" s="33">
        <f t="shared" si="22"/>
        <v>25000</v>
      </c>
      <c r="Y79" s="33">
        <f t="shared" si="22"/>
        <v>5000</v>
      </c>
      <c r="Z79" s="33">
        <f t="shared" si="22"/>
        <v>0</v>
      </c>
    </row>
    <row r="80" spans="1:26" x14ac:dyDescent="0.25">
      <c r="A80" s="109" t="s">
        <v>102</v>
      </c>
      <c r="B80" s="33">
        <f t="shared" ref="B80:Z80" si="23">B15</f>
        <v>0</v>
      </c>
      <c r="C80" s="33">
        <f t="shared" si="23"/>
        <v>1000</v>
      </c>
      <c r="D80" s="33">
        <f t="shared" si="23"/>
        <v>2500</v>
      </c>
      <c r="E80" s="33">
        <f t="shared" si="23"/>
        <v>4885.875</v>
      </c>
      <c r="F80" s="33">
        <f t="shared" si="23"/>
        <v>5000</v>
      </c>
      <c r="G80" s="33">
        <f t="shared" si="23"/>
        <v>5000</v>
      </c>
      <c r="H80" s="33">
        <f t="shared" si="23"/>
        <v>5428.75</v>
      </c>
      <c r="I80" s="33">
        <f t="shared" si="23"/>
        <v>5000</v>
      </c>
      <c r="J80" s="33">
        <f t="shared" si="23"/>
        <v>5000</v>
      </c>
      <c r="K80" s="33">
        <f t="shared" si="23"/>
        <v>5428.75</v>
      </c>
      <c r="L80" s="33">
        <f t="shared" si="23"/>
        <v>5000</v>
      </c>
      <c r="M80" s="33">
        <f t="shared" si="23"/>
        <v>5000</v>
      </c>
      <c r="N80" s="33">
        <f t="shared" si="23"/>
        <v>5428.75</v>
      </c>
      <c r="O80" s="33">
        <f t="shared" si="23"/>
        <v>5000</v>
      </c>
      <c r="P80" s="33">
        <f t="shared" si="23"/>
        <v>5000</v>
      </c>
      <c r="Q80" s="33">
        <f t="shared" si="23"/>
        <v>5428.75</v>
      </c>
      <c r="R80" s="33">
        <f t="shared" si="23"/>
        <v>5000</v>
      </c>
      <c r="S80" s="33">
        <f t="shared" si="23"/>
        <v>5000</v>
      </c>
      <c r="T80" s="33">
        <f t="shared" si="23"/>
        <v>5428.75</v>
      </c>
      <c r="U80" s="33">
        <f t="shared" si="23"/>
        <v>5000</v>
      </c>
      <c r="V80" s="33">
        <f t="shared" si="23"/>
        <v>5000</v>
      </c>
      <c r="W80" s="33">
        <f t="shared" si="23"/>
        <v>4343</v>
      </c>
      <c r="X80" s="33">
        <f t="shared" si="23"/>
        <v>2500</v>
      </c>
      <c r="Y80" s="33">
        <f t="shared" si="23"/>
        <v>500</v>
      </c>
      <c r="Z80" s="33">
        <f t="shared" si="23"/>
        <v>0</v>
      </c>
    </row>
    <row r="81" spans="1:27" x14ac:dyDescent="0.25">
      <c r="A81" s="109" t="s">
        <v>103</v>
      </c>
      <c r="B81" s="33">
        <f t="shared" ref="B81:Z81" si="24">B16</f>
        <v>0</v>
      </c>
      <c r="C81" s="33">
        <f t="shared" si="24"/>
        <v>20238.181818181816</v>
      </c>
      <c r="D81" s="33">
        <f t="shared" si="24"/>
        <v>50595.454545454544</v>
      </c>
      <c r="E81" s="33">
        <f t="shared" si="24"/>
        <v>98881.226590909078</v>
      </c>
      <c r="F81" s="33">
        <f t="shared" si="24"/>
        <v>101190.90909090909</v>
      </c>
      <c r="G81" s="33">
        <f t="shared" si="24"/>
        <v>101190.90909090909</v>
      </c>
      <c r="H81" s="33">
        <f t="shared" si="24"/>
        <v>109868.02954545454</v>
      </c>
      <c r="I81" s="33">
        <f t="shared" si="24"/>
        <v>101190.90909090909</v>
      </c>
      <c r="J81" s="33">
        <f t="shared" si="24"/>
        <v>101190.90909090909</v>
      </c>
      <c r="K81" s="33">
        <f t="shared" si="24"/>
        <v>109868.02954545454</v>
      </c>
      <c r="L81" s="33">
        <f t="shared" si="24"/>
        <v>101190.90909090909</v>
      </c>
      <c r="M81" s="33">
        <f t="shared" si="24"/>
        <v>101190.90909090909</v>
      </c>
      <c r="N81" s="33">
        <f t="shared" si="24"/>
        <v>109868.02954545454</v>
      </c>
      <c r="O81" s="33">
        <f t="shared" si="24"/>
        <v>101190.90909090909</v>
      </c>
      <c r="P81" s="33">
        <f t="shared" si="24"/>
        <v>101190.90909090909</v>
      </c>
      <c r="Q81" s="33">
        <f t="shared" si="24"/>
        <v>109868.02954545454</v>
      </c>
      <c r="R81" s="33">
        <f t="shared" si="24"/>
        <v>101190.90909090909</v>
      </c>
      <c r="S81" s="33">
        <f t="shared" si="24"/>
        <v>101190.90909090909</v>
      </c>
      <c r="T81" s="33">
        <f t="shared" si="24"/>
        <v>109868.02954545454</v>
      </c>
      <c r="U81" s="33">
        <f t="shared" si="24"/>
        <v>101190.90909090909</v>
      </c>
      <c r="V81" s="33">
        <f t="shared" si="24"/>
        <v>101190.90909090909</v>
      </c>
      <c r="W81" s="33">
        <f t="shared" si="24"/>
        <v>87894.42363636363</v>
      </c>
      <c r="X81" s="33">
        <f t="shared" si="24"/>
        <v>50595.454545454544</v>
      </c>
      <c r="Y81" s="33">
        <f t="shared" si="24"/>
        <v>10119.090909090908</v>
      </c>
      <c r="Z81" s="33">
        <f t="shared" si="24"/>
        <v>0</v>
      </c>
    </row>
    <row r="82" spans="1:27" x14ac:dyDescent="0.25">
      <c r="A82" s="9" t="s">
        <v>35</v>
      </c>
      <c r="B82" s="33">
        <f t="shared" ref="B82:Z82" si="25">B17</f>
        <v>0</v>
      </c>
      <c r="C82" s="33">
        <f t="shared" si="25"/>
        <v>20000</v>
      </c>
      <c r="D82" s="33">
        <f t="shared" si="25"/>
        <v>50000</v>
      </c>
      <c r="E82" s="33">
        <f t="shared" si="25"/>
        <v>98201.249999999985</v>
      </c>
      <c r="F82" s="33">
        <f t="shared" si="25"/>
        <v>100000</v>
      </c>
      <c r="G82" s="33">
        <f t="shared" si="25"/>
        <v>100000</v>
      </c>
      <c r="H82" s="33">
        <f t="shared" si="25"/>
        <v>109112.49999999999</v>
      </c>
      <c r="I82" s="33">
        <f t="shared" si="25"/>
        <v>100000</v>
      </c>
      <c r="J82" s="33">
        <f t="shared" si="25"/>
        <v>100000</v>
      </c>
      <c r="K82" s="33">
        <f t="shared" si="25"/>
        <v>109112.49999999999</v>
      </c>
      <c r="L82" s="33">
        <f t="shared" si="25"/>
        <v>100000</v>
      </c>
      <c r="M82" s="33">
        <f t="shared" si="25"/>
        <v>100000</v>
      </c>
      <c r="N82" s="33">
        <f t="shared" si="25"/>
        <v>109112.49999999999</v>
      </c>
      <c r="O82" s="33">
        <f t="shared" si="25"/>
        <v>100000</v>
      </c>
      <c r="P82" s="33">
        <f t="shared" si="25"/>
        <v>100000</v>
      </c>
      <c r="Q82" s="33">
        <f t="shared" si="25"/>
        <v>109112.49999999999</v>
      </c>
      <c r="R82" s="33">
        <f t="shared" si="25"/>
        <v>100000</v>
      </c>
      <c r="S82" s="33">
        <f t="shared" si="25"/>
        <v>100000</v>
      </c>
      <c r="T82" s="33">
        <f t="shared" si="25"/>
        <v>109112.49999999999</v>
      </c>
      <c r="U82" s="33">
        <f t="shared" si="25"/>
        <v>100000</v>
      </c>
      <c r="V82" s="33">
        <f t="shared" si="25"/>
        <v>100000</v>
      </c>
      <c r="W82" s="33">
        <f t="shared" si="25"/>
        <v>87289.999999999985</v>
      </c>
      <c r="X82" s="33">
        <f t="shared" si="25"/>
        <v>50000</v>
      </c>
      <c r="Y82" s="33">
        <f t="shared" si="25"/>
        <v>10000</v>
      </c>
      <c r="Z82" s="33">
        <f t="shared" si="25"/>
        <v>0</v>
      </c>
    </row>
    <row r="83" spans="1:27" x14ac:dyDescent="0.25">
      <c r="A83" s="9" t="s">
        <v>12</v>
      </c>
      <c r="B83" s="33">
        <f t="shared" ref="B83:Z83" si="26">B18</f>
        <v>0</v>
      </c>
      <c r="C83" s="33">
        <f t="shared" si="26"/>
        <v>4100.6000000000004</v>
      </c>
      <c r="D83" s="33">
        <f t="shared" si="26"/>
        <v>10354.014999999999</v>
      </c>
      <c r="E83" s="33">
        <f t="shared" si="26"/>
        <v>18823.599269999999</v>
      </c>
      <c r="F83" s="33">
        <f t="shared" si="26"/>
        <v>21124.261403</v>
      </c>
      <c r="G83" s="33">
        <f t="shared" si="26"/>
        <v>21335.504017029998</v>
      </c>
      <c r="H83" s="33">
        <f t="shared" si="26"/>
        <v>21548.859057200301</v>
      </c>
      <c r="I83" s="33">
        <f t="shared" si="26"/>
        <v>21764.347647772298</v>
      </c>
      <c r="J83" s="33">
        <f t="shared" si="26"/>
        <v>21981.991124250027</v>
      </c>
      <c r="K83" s="33">
        <f t="shared" si="26"/>
        <v>22201.81103549253</v>
      </c>
      <c r="L83" s="33">
        <f t="shared" si="26"/>
        <v>22423.829145847456</v>
      </c>
      <c r="M83" s="33">
        <f t="shared" si="26"/>
        <v>22648.067437305926</v>
      </c>
      <c r="N83" s="33">
        <f t="shared" si="26"/>
        <v>22874.548111678985</v>
      </c>
      <c r="O83" s="33">
        <f t="shared" si="26"/>
        <v>23103.293592795777</v>
      </c>
      <c r="P83" s="33">
        <f t="shared" si="26"/>
        <v>23334.326528723737</v>
      </c>
      <c r="Q83" s="33">
        <f t="shared" si="26"/>
        <v>23567.66979401097</v>
      </c>
      <c r="R83" s="33">
        <f t="shared" si="26"/>
        <v>23803.346491951084</v>
      </c>
      <c r="S83" s="33">
        <f t="shared" si="26"/>
        <v>24041.379956870598</v>
      </c>
      <c r="T83" s="33">
        <f t="shared" si="26"/>
        <v>24281.793756439303</v>
      </c>
      <c r="U83" s="33">
        <f t="shared" si="26"/>
        <v>24524.611694003692</v>
      </c>
      <c r="V83" s="33">
        <f t="shared" si="26"/>
        <v>24769.857810943729</v>
      </c>
      <c r="W83" s="33">
        <f t="shared" si="26"/>
        <v>20014.045111242533</v>
      </c>
      <c r="X83" s="33">
        <f t="shared" si="26"/>
        <v>12633.865976471852</v>
      </c>
      <c r="Y83" s="33">
        <f t="shared" si="26"/>
        <v>2552.0409272473134</v>
      </c>
      <c r="Z83" s="33">
        <f t="shared" si="26"/>
        <v>0</v>
      </c>
    </row>
    <row r="84" spans="1:27" s="50" customFormat="1" x14ac:dyDescent="0.25">
      <c r="A84" s="52" t="s">
        <v>131</v>
      </c>
      <c r="B84" s="49">
        <f>B51*Assumption_Hatchery!$C33</f>
        <v>0</v>
      </c>
      <c r="C84" s="49">
        <f>C51*Assumption_Hatchery!$C33</f>
        <v>0</v>
      </c>
      <c r="D84" s="49">
        <f>D51*Assumption_Hatchery!$C33</f>
        <v>0</v>
      </c>
      <c r="E84" s="49">
        <f>E51*Assumption_Hatchery!$C33</f>
        <v>0</v>
      </c>
      <c r="F84" s="49">
        <f>F51*Assumption_Hatchery!$C33</f>
        <v>0</v>
      </c>
      <c r="G84" s="49">
        <f>G51*Assumption_Hatchery!$C33</f>
        <v>0</v>
      </c>
      <c r="H84" s="49">
        <f>H51*Assumption_Hatchery!$C33</f>
        <v>0</v>
      </c>
      <c r="I84" s="49">
        <f>I51*Assumption_Hatchery!$C33</f>
        <v>0</v>
      </c>
      <c r="J84" s="49">
        <f>J51*Assumption_Hatchery!$C33</f>
        <v>0</v>
      </c>
      <c r="K84" s="49">
        <f>K51*Assumption_Hatchery!$C33</f>
        <v>0</v>
      </c>
      <c r="L84" s="49">
        <f>L51*Assumption_Hatchery!$C33</f>
        <v>0</v>
      </c>
      <c r="M84" s="49">
        <f>M51*Assumption_Hatchery!$C33</f>
        <v>0</v>
      </c>
      <c r="N84" s="49">
        <f>N51*Assumption_Hatchery!$C33</f>
        <v>0</v>
      </c>
      <c r="O84" s="49">
        <f>O51*Assumption_Hatchery!$C33</f>
        <v>0</v>
      </c>
      <c r="P84" s="49">
        <f>P51*Assumption_Hatchery!$C33</f>
        <v>0</v>
      </c>
      <c r="Q84" s="49">
        <f>Q51*Assumption_Hatchery!$C33</f>
        <v>0</v>
      </c>
      <c r="R84" s="49">
        <f>R51*Assumption_Hatchery!$C33</f>
        <v>0</v>
      </c>
      <c r="S84" s="49">
        <f>S51*Assumption_Hatchery!$C33</f>
        <v>0</v>
      </c>
      <c r="T84" s="49">
        <f>T51*Assumption_Hatchery!$C33</f>
        <v>0</v>
      </c>
      <c r="U84" s="49">
        <f>U51*Assumption_Hatchery!$C33</f>
        <v>0</v>
      </c>
      <c r="V84" s="49">
        <f>V51*Assumption_Hatchery!$C33</f>
        <v>0</v>
      </c>
      <c r="W84" s="49">
        <f>W51*Assumption_Hatchery!$C33</f>
        <v>0</v>
      </c>
      <c r="X84" s="49">
        <f>X51*Assumption_Hatchery!$C33</f>
        <v>0</v>
      </c>
      <c r="Y84" s="49">
        <f>Y51*Assumption_Hatchery!$C33</f>
        <v>0</v>
      </c>
      <c r="Z84" s="49">
        <f>Z51*Assumption_Hatchery!$C33</f>
        <v>0</v>
      </c>
    </row>
    <row r="85" spans="1:27" x14ac:dyDescent="0.25">
      <c r="A85" s="117" t="s">
        <v>54</v>
      </c>
      <c r="B85" s="37">
        <f>SUM(B76:B84)</f>
        <v>0</v>
      </c>
      <c r="C85" s="37">
        <f t="shared" ref="C85:Z85" si="27">SUM(C76:C84)</f>
        <v>165338.78181818183</v>
      </c>
      <c r="D85" s="37">
        <f t="shared" si="27"/>
        <v>318449.46954545454</v>
      </c>
      <c r="E85" s="37">
        <f t="shared" si="27"/>
        <v>537866.95086090907</v>
      </c>
      <c r="F85" s="37">
        <f t="shared" si="27"/>
        <v>412315.17049390904</v>
      </c>
      <c r="G85" s="37">
        <f t="shared" si="27"/>
        <v>375026.41310793906</v>
      </c>
      <c r="H85" s="37">
        <f t="shared" si="27"/>
        <v>411989.38860265486</v>
      </c>
      <c r="I85" s="37">
        <f t="shared" si="27"/>
        <v>377955.25673868135</v>
      </c>
      <c r="J85" s="37">
        <f t="shared" si="27"/>
        <v>378172.90021515911</v>
      </c>
      <c r="K85" s="37">
        <f t="shared" si="27"/>
        <v>412642.34058094706</v>
      </c>
      <c r="L85" s="37">
        <f t="shared" si="27"/>
        <v>378614.73823675653</v>
      </c>
      <c r="M85" s="37">
        <f t="shared" si="27"/>
        <v>378838.97652821499</v>
      </c>
      <c r="N85" s="37">
        <f t="shared" si="27"/>
        <v>413315.07765713352</v>
      </c>
      <c r="O85" s="37">
        <f t="shared" si="27"/>
        <v>379294.20268370485</v>
      </c>
      <c r="P85" s="37">
        <f t="shared" si="27"/>
        <v>379525.23561963282</v>
      </c>
      <c r="Q85" s="37">
        <f t="shared" si="27"/>
        <v>414008.19933946553</v>
      </c>
      <c r="R85" s="37">
        <f t="shared" si="27"/>
        <v>379994.25558286015</v>
      </c>
      <c r="S85" s="37">
        <f t="shared" si="27"/>
        <v>380232.28904777963</v>
      </c>
      <c r="T85" s="37">
        <f t="shared" si="27"/>
        <v>414722.32330189383</v>
      </c>
      <c r="U85" s="37">
        <f t="shared" si="27"/>
        <v>380715.52078491275</v>
      </c>
      <c r="V85" s="37">
        <f t="shared" si="27"/>
        <v>380960.7669018528</v>
      </c>
      <c r="W85" s="37">
        <f t="shared" si="27"/>
        <v>343785.21874760615</v>
      </c>
      <c r="X85" s="37">
        <f t="shared" si="27"/>
        <v>215729.32052192639</v>
      </c>
      <c r="Y85" s="37">
        <f t="shared" si="27"/>
        <v>73171.131836338231</v>
      </c>
      <c r="Z85" s="37">
        <f t="shared" si="27"/>
        <v>28546.874999999996</v>
      </c>
    </row>
    <row r="86" spans="1:27" x14ac:dyDescent="0.25">
      <c r="B86" s="32"/>
      <c r="C86" s="32"/>
      <c r="D86" s="32"/>
      <c r="E86" s="32"/>
      <c r="F86" s="32"/>
      <c r="G86" s="32"/>
      <c r="H86" s="32"/>
      <c r="I86" s="32"/>
      <c r="J86" s="32"/>
      <c r="K86" s="32"/>
      <c r="L86" s="32"/>
    </row>
    <row r="87" spans="1:27" x14ac:dyDescent="0.25">
      <c r="A87" s="23" t="s">
        <v>55</v>
      </c>
      <c r="B87" s="34">
        <f>B73-B85</f>
        <v>0</v>
      </c>
      <c r="C87" s="34">
        <f t="shared" ref="C87:Z87" si="28">C73-C85</f>
        <v>-165338.78181818183</v>
      </c>
      <c r="D87" s="34">
        <f t="shared" si="28"/>
        <v>-97364.469545454514</v>
      </c>
      <c r="E87" s="34">
        <f t="shared" si="28"/>
        <v>-171785.01174840907</v>
      </c>
      <c r="F87" s="34">
        <f t="shared" si="28"/>
        <v>47718.497506091022</v>
      </c>
      <c r="G87" s="34">
        <f t="shared" si="28"/>
        <v>94207.928252061014</v>
      </c>
      <c r="H87" s="34">
        <f t="shared" si="28"/>
        <v>19665.147443676251</v>
      </c>
      <c r="I87" s="34">
        <f t="shared" si="28"/>
        <v>110236.15201226267</v>
      </c>
      <c r="J87" s="34">
        <f t="shared" si="28"/>
        <v>119782.33671080379</v>
      </c>
      <c r="K87" s="34">
        <f t="shared" si="28"/>
        <v>45432.906307707774</v>
      </c>
      <c r="L87" s="34">
        <f t="shared" si="28"/>
        <v>139457.89026101533</v>
      </c>
      <c r="M87" s="34">
        <f t="shared" si="28"/>
        <v>149595.10453951219</v>
      </c>
      <c r="N87" s="34">
        <f t="shared" si="28"/>
        <v>72798.038943082152</v>
      </c>
      <c r="O87" s="34">
        <f t="shared" si="28"/>
        <v>170488.6152591586</v>
      </c>
      <c r="P87" s="34">
        <f t="shared" si="28"/>
        <v>181253.23868208792</v>
      </c>
      <c r="Q87" s="34">
        <f t="shared" si="28"/>
        <v>101858.92890161602</v>
      </c>
      <c r="R87" s="34">
        <f t="shared" si="28"/>
        <v>203439.66908065003</v>
      </c>
      <c r="S87" s="34">
        <f t="shared" si="28"/>
        <v>214870.31410900084</v>
      </c>
      <c r="T87" s="34">
        <f t="shared" si="28"/>
        <v>132720.00012456795</v>
      </c>
      <c r="U87" s="34">
        <f t="shared" si="28"/>
        <v>238429.2275394015</v>
      </c>
      <c r="V87" s="34">
        <f t="shared" si="28"/>
        <v>250566.87638894783</v>
      </c>
      <c r="W87" s="34">
        <f t="shared" si="28"/>
        <v>139974.91977939272</v>
      </c>
      <c r="X87" s="34">
        <f t="shared" si="28"/>
        <v>142791.35951794812</v>
      </c>
      <c r="Y87" s="34">
        <f t="shared" si="28"/>
        <v>33847.086891796149</v>
      </c>
      <c r="Z87" s="34">
        <f t="shared" si="28"/>
        <v>-19046.874999999996</v>
      </c>
    </row>
    <row r="88" spans="1:27" x14ac:dyDescent="0.25">
      <c r="B88" s="32"/>
      <c r="C88" s="32"/>
      <c r="D88" s="32"/>
      <c r="E88" s="32"/>
      <c r="F88" s="32"/>
      <c r="G88" s="32"/>
      <c r="H88" s="32"/>
      <c r="I88" s="32"/>
      <c r="J88" s="32"/>
      <c r="K88" s="32"/>
      <c r="L88" s="32"/>
    </row>
    <row r="89" spans="1:27" s="12" customFormat="1" x14ac:dyDescent="0.25">
      <c r="A89" s="10" t="s">
        <v>319</v>
      </c>
      <c r="B89" s="345">
        <f>B73/(1+Assumption_Hatchery!$C174)^B69</f>
        <v>0</v>
      </c>
      <c r="C89" s="345">
        <f>C73/(1+Assumption_Hatchery!$C174)^C69</f>
        <v>0</v>
      </c>
      <c r="D89" s="345">
        <f>D73/(1+Assumption_Hatchery!$C174)^D69</f>
        <v>221085.00000000003</v>
      </c>
      <c r="E89" s="345">
        <f>E73/(1+Assumption_Hatchery!$C174)^E69</f>
        <v>366081.9391125</v>
      </c>
      <c r="F89" s="345">
        <f>F73/(1+Assumption_Hatchery!$C174)^F69</f>
        <v>460033.66800000006</v>
      </c>
      <c r="G89" s="345">
        <f>G73/(1+Assumption_Hatchery!$C174)^G69</f>
        <v>469234.34136000008</v>
      </c>
      <c r="H89" s="345">
        <f>H73/(1+Assumption_Hatchery!$C174)^H69</f>
        <v>431654.53604633111</v>
      </c>
      <c r="I89" s="345">
        <f>I73/(1+Assumption_Hatchery!$C174)^I69</f>
        <v>488191.40875094401</v>
      </c>
      <c r="J89" s="345">
        <f>J73/(1+Assumption_Hatchery!$C174)^J69</f>
        <v>497955.2369259629</v>
      </c>
      <c r="K89" s="345">
        <f>K73/(1+Assumption_Hatchery!$C174)^K69</f>
        <v>458075.24688865483</v>
      </c>
      <c r="L89" s="345">
        <f>L73/(1+Assumption_Hatchery!$C174)^L69</f>
        <v>518072.62849777186</v>
      </c>
      <c r="M89" s="345">
        <f>M73/(1+Assumption_Hatchery!$C174)^M69</f>
        <v>528434.08106772718</v>
      </c>
      <c r="N89" s="345">
        <f>N73/(1+Assumption_Hatchery!$C174)^N69</f>
        <v>486113.11660021567</v>
      </c>
      <c r="O89" s="345">
        <f>O73/(1+Assumption_Hatchery!$C174)^O69</f>
        <v>549782.81794286345</v>
      </c>
      <c r="P89" s="345">
        <f>P73/(1+Assumption_Hatchery!$C174)^P69</f>
        <v>560778.47430172074</v>
      </c>
      <c r="Q89" s="345">
        <f>Q73/(1+Assumption_Hatchery!$C174)^Q69</f>
        <v>515867.12824108155</v>
      </c>
      <c r="R89" s="345">
        <f>R73/(1+Assumption_Hatchery!$C174)^R69</f>
        <v>583433.92466351017</v>
      </c>
      <c r="S89" s="345">
        <f>S73/(1+Assumption_Hatchery!$C174)^S69</f>
        <v>595102.60315678047</v>
      </c>
      <c r="T89" s="345">
        <f>T73/(1+Assumption_Hatchery!$C174)^T69</f>
        <v>547442.32342646178</v>
      </c>
      <c r="U89" s="345">
        <f>U73/(1+Assumption_Hatchery!$C174)^U69</f>
        <v>619144.74832431425</v>
      </c>
      <c r="V89" s="345">
        <f>V73/(1+Assumption_Hatchery!$C174)^V69</f>
        <v>631527.64329080062</v>
      </c>
      <c r="W89" s="345">
        <f>W73/(1+Assumption_Hatchery!$C174)^W69</f>
        <v>483760.13852699887</v>
      </c>
      <c r="X89" s="345">
        <f>X73/(1+Assumption_Hatchery!$C174)^X69</f>
        <v>358520.68003987451</v>
      </c>
      <c r="Y89" s="345">
        <f>Y73/(1+Assumption_Hatchery!$C174)^Y69</f>
        <v>107018.21872813438</v>
      </c>
      <c r="Z89" s="345">
        <f>Z73/(1+Assumption_Hatchery!$C174)^Z69</f>
        <v>9500</v>
      </c>
      <c r="AA89" s="343">
        <f>SUM(B89:Z89)</f>
        <v>10486809.903892649</v>
      </c>
    </row>
    <row r="90" spans="1:27" s="12" customFormat="1" x14ac:dyDescent="0.25">
      <c r="A90" s="10" t="s">
        <v>320</v>
      </c>
      <c r="B90" s="346">
        <f>B85/(1+Assumption_Hatchery!$C174)^BaU_Hatchery!B70</f>
        <v>0</v>
      </c>
      <c r="C90" s="346">
        <f>C85/(1+Assumption_Hatchery!$C174)^BaU_Hatchery!C70</f>
        <v>165338.78181818183</v>
      </c>
      <c r="D90" s="346">
        <f>D85/(1+Assumption_Hatchery!$C174)^BaU_Hatchery!D70</f>
        <v>318449.46954545454</v>
      </c>
      <c r="E90" s="346">
        <f>E85/(1+Assumption_Hatchery!$C174)^BaU_Hatchery!E70</f>
        <v>537866.95086090907</v>
      </c>
      <c r="F90" s="346">
        <f>F85/(1+Assumption_Hatchery!$C174)^BaU_Hatchery!F70</f>
        <v>412315.17049390904</v>
      </c>
      <c r="G90" s="346">
        <f>G85/(1+Assumption_Hatchery!$C174)^BaU_Hatchery!G70</f>
        <v>375026.41310793906</v>
      </c>
      <c r="H90" s="346">
        <f>H85/(1+Assumption_Hatchery!$C174)^BaU_Hatchery!H70</f>
        <v>411989.38860265486</v>
      </c>
      <c r="I90" s="346">
        <f>I85/(1+Assumption_Hatchery!$C174)^BaU_Hatchery!I70</f>
        <v>377955.25673868135</v>
      </c>
      <c r="J90" s="346">
        <f>J85/(1+Assumption_Hatchery!$C174)^BaU_Hatchery!J70</f>
        <v>378172.90021515911</v>
      </c>
      <c r="K90" s="346">
        <f>K85/(1+Assumption_Hatchery!$C174)^BaU_Hatchery!K70</f>
        <v>412642.34058094706</v>
      </c>
      <c r="L90" s="346">
        <f>L85/(1+Assumption_Hatchery!$C174)^BaU_Hatchery!L70</f>
        <v>378614.73823675653</v>
      </c>
      <c r="M90" s="346">
        <f>M85/(1+Assumption_Hatchery!$C174)^BaU_Hatchery!M70</f>
        <v>378838.97652821499</v>
      </c>
      <c r="N90" s="346">
        <f>N85/(1+Assumption_Hatchery!$C174)^BaU_Hatchery!N70</f>
        <v>413315.07765713352</v>
      </c>
      <c r="O90" s="346">
        <f>O85/(1+Assumption_Hatchery!$C174)^BaU_Hatchery!O70</f>
        <v>379294.20268370485</v>
      </c>
      <c r="P90" s="346">
        <f>P85/(1+Assumption_Hatchery!$C174)^BaU_Hatchery!P70</f>
        <v>379525.23561963282</v>
      </c>
      <c r="Q90" s="346">
        <f>Q85/(1+Assumption_Hatchery!$C174)^BaU_Hatchery!Q70</f>
        <v>414008.19933946553</v>
      </c>
      <c r="R90" s="346">
        <f>R85/(1+Assumption_Hatchery!$C174)^BaU_Hatchery!R70</f>
        <v>379994.25558286015</v>
      </c>
      <c r="S90" s="346">
        <f>S85/(1+Assumption_Hatchery!$C174)^BaU_Hatchery!S70</f>
        <v>380232.28904777963</v>
      </c>
      <c r="T90" s="346">
        <f>T85/(1+Assumption_Hatchery!$C174)^BaU_Hatchery!T70</f>
        <v>414722.32330189383</v>
      </c>
      <c r="U90" s="346">
        <f>U85/(1+Assumption_Hatchery!$C174)^BaU_Hatchery!U70</f>
        <v>380715.52078491275</v>
      </c>
      <c r="V90" s="346">
        <f>V85/(1+Assumption_Hatchery!$C174)^BaU_Hatchery!V70</f>
        <v>380960.7669018528</v>
      </c>
      <c r="W90" s="346">
        <f>W85/(1+Assumption_Hatchery!$C174)^BaU_Hatchery!W70</f>
        <v>343785.21874760615</v>
      </c>
      <c r="X90" s="346">
        <f>X85/(1+Assumption_Hatchery!$C174)^BaU_Hatchery!X70</f>
        <v>215729.32052192639</v>
      </c>
      <c r="Y90" s="346">
        <f>Y85/(1+Assumption_Hatchery!$C174)^BaU_Hatchery!Y70</f>
        <v>73171.131836338231</v>
      </c>
      <c r="Z90" s="346">
        <f>Z85/(1+Assumption_Hatchery!$C174)^BaU_Hatchery!Z70</f>
        <v>28546.874999999996</v>
      </c>
      <c r="AA90" s="343">
        <f>SUM(B90:Z90)</f>
        <v>8331210.8037539124</v>
      </c>
    </row>
    <row r="91" spans="1:27" x14ac:dyDescent="0.25">
      <c r="B91" s="32"/>
      <c r="C91" s="32"/>
      <c r="D91" s="32"/>
      <c r="E91" s="32"/>
      <c r="F91" s="32"/>
      <c r="G91" s="32"/>
      <c r="H91" s="32"/>
      <c r="I91" s="32"/>
      <c r="J91" s="32"/>
      <c r="K91" s="32"/>
      <c r="L91" s="32"/>
    </row>
    <row r="92" spans="1:27" s="12" customFormat="1" x14ac:dyDescent="0.25">
      <c r="A92" s="25" t="s">
        <v>318</v>
      </c>
      <c r="B92" s="35">
        <f>NPV(Assumption_Hatchery!C76,C87:Z87)+B87</f>
        <v>754270.97562525666</v>
      </c>
      <c r="C92" s="40"/>
      <c r="D92" s="40"/>
      <c r="E92" s="40"/>
      <c r="F92" s="40"/>
      <c r="G92" s="40"/>
      <c r="H92" s="40"/>
      <c r="I92" s="40"/>
      <c r="J92" s="40"/>
      <c r="K92" s="40"/>
      <c r="L92" s="40"/>
    </row>
    <row r="94" spans="1:27" s="12" customFormat="1" x14ac:dyDescent="0.25">
      <c r="A94" s="25" t="s">
        <v>238</v>
      </c>
      <c r="B94" s="36">
        <f>IRR(B87:Z87)</f>
        <v>0.18180075490686964</v>
      </c>
      <c r="C94" s="4"/>
      <c r="D94" s="4"/>
      <c r="E94" s="4"/>
      <c r="F94" s="4"/>
      <c r="G94" s="4"/>
      <c r="H94" s="4"/>
      <c r="I94" s="4"/>
      <c r="J94" s="4"/>
      <c r="K94" s="4"/>
      <c r="L94" s="4"/>
    </row>
  </sheetData>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7"/>
  </sheetPr>
  <dimension ref="A3:AD201"/>
  <sheetViews>
    <sheetView showGridLines="0" topLeftCell="A134" zoomScale="70" zoomScaleNormal="70" workbookViewId="0">
      <selection activeCell="D142" sqref="D142:D147"/>
    </sheetView>
  </sheetViews>
  <sheetFormatPr defaultRowHeight="15" x14ac:dyDescent="0.25"/>
  <cols>
    <col min="2" max="2" width="50" customWidth="1"/>
    <col min="3" max="3" width="11.85546875" customWidth="1"/>
    <col min="4" max="4" width="19.5703125" customWidth="1"/>
    <col min="5" max="5" width="14.14062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8" width="15.28515625" customWidth="1"/>
    <col min="29" max="29" width="15.7109375" customWidth="1"/>
  </cols>
  <sheetData>
    <row r="3" spans="1:29" x14ac:dyDescent="0.25">
      <c r="A3" s="63">
        <v>1</v>
      </c>
      <c r="B3" s="550" t="s">
        <v>105</v>
      </c>
      <c r="C3" s="551"/>
      <c r="D3" s="551"/>
      <c r="E3" s="551"/>
    </row>
    <row r="5" spans="1:29" x14ac:dyDescent="0.25">
      <c r="C5" s="8" t="s">
        <v>19</v>
      </c>
      <c r="D5" s="15">
        <v>0</v>
      </c>
      <c r="E5" s="15">
        <v>1</v>
      </c>
      <c r="F5" s="15">
        <v>2</v>
      </c>
      <c r="G5" s="15">
        <v>3</v>
      </c>
      <c r="H5" s="15">
        <v>4</v>
      </c>
      <c r="I5" s="15">
        <v>5</v>
      </c>
      <c r="J5" s="15">
        <v>6</v>
      </c>
      <c r="K5" s="15">
        <v>7</v>
      </c>
      <c r="L5" s="15">
        <v>8</v>
      </c>
      <c r="M5" s="15">
        <v>9</v>
      </c>
      <c r="N5" s="15">
        <v>10</v>
      </c>
      <c r="O5" s="15">
        <v>11</v>
      </c>
      <c r="P5" s="15">
        <v>12</v>
      </c>
      <c r="Q5" s="15">
        <v>13</v>
      </c>
      <c r="R5" s="15">
        <v>14</v>
      </c>
      <c r="S5" s="15">
        <v>15</v>
      </c>
      <c r="T5" s="15">
        <v>16</v>
      </c>
      <c r="U5" s="15">
        <v>17</v>
      </c>
      <c r="V5" s="15">
        <v>18</v>
      </c>
      <c r="W5" s="15">
        <v>19</v>
      </c>
      <c r="X5" s="15">
        <v>20</v>
      </c>
      <c r="Y5" s="15">
        <v>21</v>
      </c>
      <c r="Z5" s="15">
        <v>22</v>
      </c>
      <c r="AA5" s="15">
        <v>23</v>
      </c>
      <c r="AB5" s="15">
        <v>24</v>
      </c>
      <c r="AC5" s="53" t="s">
        <v>109</v>
      </c>
    </row>
    <row r="6" spans="1:29" x14ac:dyDescent="0.25">
      <c r="B6" s="66" t="s">
        <v>108</v>
      </c>
      <c r="C6" s="47"/>
      <c r="D6" s="68">
        <f>Assumption_Hatchery!D6</f>
        <v>0</v>
      </c>
      <c r="E6" s="68">
        <f>Assumption_Hatchery!E6</f>
        <v>10</v>
      </c>
      <c r="F6" s="68">
        <f>Assumption_Hatchery!F6</f>
        <v>15</v>
      </c>
      <c r="G6" s="68">
        <f>Assumption_Hatchery!G6</f>
        <v>20</v>
      </c>
      <c r="H6" s="68">
        <f>Assumption_Hatchery!H6</f>
        <v>5</v>
      </c>
      <c r="I6" s="68">
        <f>Assumption_Hatchery!I6</f>
        <v>0</v>
      </c>
      <c r="J6" s="68">
        <f>Assumption_Hatchery!J6</f>
        <v>0</v>
      </c>
      <c r="K6" s="68">
        <f>Assumption_Hatchery!K6</f>
        <v>0</v>
      </c>
      <c r="L6" s="68">
        <f>Assumption_Hatchery!L6</f>
        <v>0</v>
      </c>
      <c r="M6" s="68">
        <f>Assumption_Hatchery!M6</f>
        <v>0</v>
      </c>
      <c r="N6" s="68">
        <f>Assumption_Hatchery!N6</f>
        <v>0</v>
      </c>
      <c r="O6" s="68">
        <f>Assumption_Hatchery!O6</f>
        <v>0</v>
      </c>
      <c r="P6" s="68">
        <f>Assumption_Hatchery!P6</f>
        <v>0</v>
      </c>
      <c r="Q6" s="68">
        <f>Assumption_Hatchery!Q6</f>
        <v>0</v>
      </c>
      <c r="R6" s="68">
        <f>Assumption_Hatchery!R6</f>
        <v>0</v>
      </c>
      <c r="S6" s="68">
        <f>Assumption_Hatchery!S6</f>
        <v>0</v>
      </c>
      <c r="T6" s="68">
        <f>Assumption_Hatchery!T6</f>
        <v>0</v>
      </c>
      <c r="U6" s="68">
        <f>Assumption_Hatchery!U6</f>
        <v>0</v>
      </c>
      <c r="V6" s="68">
        <f>Assumption_Hatchery!V6</f>
        <v>0</v>
      </c>
      <c r="W6" s="68">
        <f>Assumption_Hatchery!W6</f>
        <v>0</v>
      </c>
      <c r="X6" s="68">
        <f>Assumption_Hatchery!X6</f>
        <v>0</v>
      </c>
      <c r="Y6" s="68">
        <f>Assumption_Hatchery!Y6</f>
        <v>0</v>
      </c>
      <c r="Z6" s="68">
        <f>Assumption_Hatchery!Z6</f>
        <v>0</v>
      </c>
      <c r="AA6" s="68">
        <f>Assumption_Hatchery!AA6</f>
        <v>0</v>
      </c>
      <c r="AB6" s="68">
        <f>Assumption_Hatchery!AB6</f>
        <v>0</v>
      </c>
      <c r="AC6" s="53">
        <f>SUM(D6:AB6)</f>
        <v>50</v>
      </c>
    </row>
    <row r="7" spans="1:29" x14ac:dyDescent="0.25">
      <c r="B7" s="66" t="s">
        <v>107</v>
      </c>
      <c r="C7" s="47"/>
      <c r="D7" s="68">
        <f>Assumption_Hatchery!D7</f>
        <v>0</v>
      </c>
      <c r="E7" s="68">
        <f>Assumption_Hatchery!E7</f>
        <v>100</v>
      </c>
      <c r="F7" s="68">
        <f>Assumption_Hatchery!F7</f>
        <v>150</v>
      </c>
      <c r="G7" s="68">
        <f>Assumption_Hatchery!G7</f>
        <v>150</v>
      </c>
      <c r="H7" s="68">
        <f>Assumption_Hatchery!H7</f>
        <v>100</v>
      </c>
      <c r="I7" s="68">
        <f>Assumption_Hatchery!I7</f>
        <v>0</v>
      </c>
      <c r="J7" s="68">
        <f>Assumption_Hatchery!J7</f>
        <v>0</v>
      </c>
      <c r="K7" s="68">
        <f>Assumption_Hatchery!K7</f>
        <v>0</v>
      </c>
      <c r="L7" s="68">
        <f>Assumption_Hatchery!L7</f>
        <v>0</v>
      </c>
      <c r="M7" s="68">
        <f>Assumption_Hatchery!M7</f>
        <v>0</v>
      </c>
      <c r="N7" s="68">
        <f>Assumption_Hatchery!N7</f>
        <v>0</v>
      </c>
      <c r="O7" s="68">
        <f>Assumption_Hatchery!O7</f>
        <v>0</v>
      </c>
      <c r="P7" s="68">
        <f>Assumption_Hatchery!P7</f>
        <v>0</v>
      </c>
      <c r="Q7" s="68">
        <f>Assumption_Hatchery!Q7</f>
        <v>0</v>
      </c>
      <c r="R7" s="68">
        <f>Assumption_Hatchery!R7</f>
        <v>0</v>
      </c>
      <c r="S7" s="68">
        <f>Assumption_Hatchery!S7</f>
        <v>0</v>
      </c>
      <c r="T7" s="68">
        <f>Assumption_Hatchery!T7</f>
        <v>0</v>
      </c>
      <c r="U7" s="68">
        <f>Assumption_Hatchery!U7</f>
        <v>0</v>
      </c>
      <c r="V7" s="68">
        <f>Assumption_Hatchery!V7</f>
        <v>0</v>
      </c>
      <c r="W7" s="68">
        <f>Assumption_Hatchery!W7</f>
        <v>0</v>
      </c>
      <c r="X7" s="68">
        <f>Assumption_Hatchery!X7</f>
        <v>0</v>
      </c>
      <c r="Y7" s="68">
        <f>Assumption_Hatchery!Y7</f>
        <v>0</v>
      </c>
      <c r="Z7" s="68">
        <f>Assumption_Hatchery!Z7</f>
        <v>0</v>
      </c>
      <c r="AA7" s="68">
        <f>Assumption_Hatchery!AA7</f>
        <v>0</v>
      </c>
      <c r="AB7" s="68">
        <f>Assumption_Hatchery!AB7</f>
        <v>0</v>
      </c>
      <c r="AC7" s="53">
        <f>SUM(D7:AB7)</f>
        <v>500</v>
      </c>
    </row>
    <row r="8" spans="1:29" x14ac:dyDescent="0.25">
      <c r="B8" s="66" t="s">
        <v>106</v>
      </c>
      <c r="C8" s="47"/>
      <c r="D8" s="68">
        <f>Assumption_Hatchery!D8</f>
        <v>0</v>
      </c>
      <c r="E8" s="68">
        <f>Assumption_Hatchery!E8</f>
        <v>3000</v>
      </c>
      <c r="F8" s="68">
        <f>Assumption_Hatchery!F8</f>
        <v>7000</v>
      </c>
      <c r="G8" s="68">
        <f>Assumption_Hatchery!G8</f>
        <v>7000</v>
      </c>
      <c r="H8" s="68">
        <f>Assumption_Hatchery!H8</f>
        <v>2000</v>
      </c>
      <c r="I8" s="68">
        <f>Assumption_Hatchery!I8</f>
        <v>1000</v>
      </c>
      <c r="J8" s="68">
        <f>Assumption_Hatchery!J8</f>
        <v>0</v>
      </c>
      <c r="K8" s="68">
        <f>Assumption_Hatchery!K8</f>
        <v>0</v>
      </c>
      <c r="L8" s="68">
        <f>Assumption_Hatchery!L8</f>
        <v>0</v>
      </c>
      <c r="M8" s="68">
        <f>Assumption_Hatchery!M8</f>
        <v>0</v>
      </c>
      <c r="N8" s="68">
        <f>Assumption_Hatchery!N8</f>
        <v>0</v>
      </c>
      <c r="O8" s="68">
        <f>Assumption_Hatchery!O8</f>
        <v>0</v>
      </c>
      <c r="P8" s="68">
        <f>Assumption_Hatchery!P8</f>
        <v>0</v>
      </c>
      <c r="Q8" s="68">
        <f>Assumption_Hatchery!Q8</f>
        <v>0</v>
      </c>
      <c r="R8" s="68">
        <f>Assumption_Hatchery!R8</f>
        <v>0</v>
      </c>
      <c r="S8" s="68">
        <f>Assumption_Hatchery!S8</f>
        <v>0</v>
      </c>
      <c r="T8" s="68">
        <f>Assumption_Hatchery!T8</f>
        <v>0</v>
      </c>
      <c r="U8" s="68">
        <f>Assumption_Hatchery!U8</f>
        <v>0</v>
      </c>
      <c r="V8" s="68">
        <f>Assumption_Hatchery!V8</f>
        <v>0</v>
      </c>
      <c r="W8" s="68">
        <f>Assumption_Hatchery!W8</f>
        <v>0</v>
      </c>
      <c r="X8" s="68">
        <f>Assumption_Hatchery!X8</f>
        <v>0</v>
      </c>
      <c r="Y8" s="68">
        <f>Assumption_Hatchery!Y8</f>
        <v>0</v>
      </c>
      <c r="Z8" s="68">
        <f>Assumption_Hatchery!Z8</f>
        <v>0</v>
      </c>
      <c r="AA8" s="68">
        <f>Assumption_Hatchery!AA8</f>
        <v>0</v>
      </c>
      <c r="AB8" s="68">
        <f>Assumption_Hatchery!AB8</f>
        <v>0</v>
      </c>
      <c r="AC8" s="53">
        <f>SUM(D8:AB8)</f>
        <v>20000</v>
      </c>
    </row>
    <row r="9" spans="1:29" x14ac:dyDescent="0.25">
      <c r="D9" s="105"/>
      <c r="E9" s="105"/>
      <c r="F9" s="105"/>
      <c r="G9" s="105"/>
      <c r="H9" s="105"/>
      <c r="I9" s="105"/>
      <c r="J9" s="105"/>
      <c r="K9" s="105"/>
      <c r="L9" s="105"/>
      <c r="M9" s="105"/>
      <c r="N9" s="105"/>
      <c r="O9" s="105"/>
      <c r="P9" s="105"/>
      <c r="Q9" s="105"/>
      <c r="R9" s="105"/>
      <c r="S9" s="105"/>
      <c r="T9" s="105"/>
      <c r="U9" s="105"/>
      <c r="V9" s="105"/>
      <c r="W9" s="105"/>
      <c r="X9" s="105"/>
      <c r="Y9" s="105"/>
      <c r="Z9" s="105"/>
      <c r="AA9" s="105"/>
      <c r="AB9" s="105"/>
    </row>
    <row r="10" spans="1:29" x14ac:dyDescent="0.2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row>
    <row r="11" spans="1:29" x14ac:dyDescent="0.25">
      <c r="A11" s="63">
        <v>2</v>
      </c>
      <c r="B11" s="44" t="s">
        <v>193</v>
      </c>
    </row>
    <row r="13" spans="1:29" x14ac:dyDescent="0.25">
      <c r="B13" s="66" t="s">
        <v>107</v>
      </c>
      <c r="C13" s="68">
        <f>SUM(D16:S16)</f>
        <v>500</v>
      </c>
      <c r="D13" t="s">
        <v>101</v>
      </c>
    </row>
    <row r="15" spans="1:29" x14ac:dyDescent="0.25">
      <c r="C15" s="8" t="s">
        <v>19</v>
      </c>
      <c r="D15" s="15">
        <v>0</v>
      </c>
      <c r="E15" s="15">
        <v>1</v>
      </c>
      <c r="F15" s="15">
        <v>2</v>
      </c>
      <c r="G15" s="15">
        <v>3</v>
      </c>
      <c r="H15" s="15">
        <v>4</v>
      </c>
      <c r="I15" s="15">
        <v>5</v>
      </c>
      <c r="J15" s="15">
        <v>6</v>
      </c>
      <c r="K15" s="15">
        <v>7</v>
      </c>
      <c r="L15" s="15">
        <v>8</v>
      </c>
      <c r="M15" s="15">
        <v>9</v>
      </c>
      <c r="N15" s="15">
        <v>10</v>
      </c>
      <c r="O15" s="15">
        <v>11</v>
      </c>
      <c r="P15" s="15">
        <v>12</v>
      </c>
      <c r="Q15" s="15">
        <v>13</v>
      </c>
      <c r="R15" s="15">
        <v>14</v>
      </c>
      <c r="S15" s="15">
        <v>15</v>
      </c>
      <c r="T15" s="15">
        <v>16</v>
      </c>
      <c r="U15" s="15">
        <v>17</v>
      </c>
      <c r="V15" s="15">
        <v>18</v>
      </c>
      <c r="W15" s="15">
        <v>19</v>
      </c>
      <c r="X15" s="15">
        <v>20</v>
      </c>
      <c r="Y15" s="15">
        <v>21</v>
      </c>
      <c r="Z15" s="15">
        <v>22</v>
      </c>
      <c r="AA15" s="15">
        <v>23</v>
      </c>
      <c r="AB15" s="15">
        <v>24</v>
      </c>
      <c r="AC15" s="95" t="s">
        <v>109</v>
      </c>
    </row>
    <row r="16" spans="1:29" x14ac:dyDescent="0.25">
      <c r="B16" s="66" t="s">
        <v>135</v>
      </c>
      <c r="C16" s="47"/>
      <c r="D16" s="94">
        <f>D7</f>
        <v>0</v>
      </c>
      <c r="E16" s="94">
        <f t="shared" ref="E16:AB16" si="0">E7</f>
        <v>100</v>
      </c>
      <c r="F16" s="94">
        <f t="shared" si="0"/>
        <v>150</v>
      </c>
      <c r="G16" s="94">
        <f t="shared" si="0"/>
        <v>150</v>
      </c>
      <c r="H16" s="94">
        <f t="shared" si="0"/>
        <v>100</v>
      </c>
      <c r="I16" s="94">
        <f t="shared" si="0"/>
        <v>0</v>
      </c>
      <c r="J16" s="94">
        <f t="shared" si="0"/>
        <v>0</v>
      </c>
      <c r="K16" s="94">
        <f t="shared" si="0"/>
        <v>0</v>
      </c>
      <c r="L16" s="94">
        <f t="shared" si="0"/>
        <v>0</v>
      </c>
      <c r="M16" s="94">
        <f t="shared" si="0"/>
        <v>0</v>
      </c>
      <c r="N16" s="94">
        <f t="shared" si="0"/>
        <v>0</v>
      </c>
      <c r="O16" s="94">
        <f t="shared" si="0"/>
        <v>0</v>
      </c>
      <c r="P16" s="94">
        <f t="shared" si="0"/>
        <v>0</v>
      </c>
      <c r="Q16" s="94">
        <f t="shared" si="0"/>
        <v>0</v>
      </c>
      <c r="R16" s="94">
        <f t="shared" si="0"/>
        <v>0</v>
      </c>
      <c r="S16" s="94">
        <f t="shared" si="0"/>
        <v>0</v>
      </c>
      <c r="T16" s="94">
        <f t="shared" si="0"/>
        <v>0</v>
      </c>
      <c r="U16" s="94">
        <f t="shared" si="0"/>
        <v>0</v>
      </c>
      <c r="V16" s="94">
        <f t="shared" si="0"/>
        <v>0</v>
      </c>
      <c r="W16" s="94">
        <f t="shared" si="0"/>
        <v>0</v>
      </c>
      <c r="X16" s="94">
        <f t="shared" si="0"/>
        <v>0</v>
      </c>
      <c r="Y16" s="94">
        <f t="shared" si="0"/>
        <v>0</v>
      </c>
      <c r="Z16" s="94">
        <f t="shared" si="0"/>
        <v>0</v>
      </c>
      <c r="AA16" s="94">
        <f t="shared" si="0"/>
        <v>0</v>
      </c>
      <c r="AB16" s="94">
        <f t="shared" si="0"/>
        <v>0</v>
      </c>
      <c r="AC16" s="53">
        <f>SUM(D16:AB16)</f>
        <v>500</v>
      </c>
    </row>
    <row r="17" spans="1:29" x14ac:dyDescent="0.25">
      <c r="B17" s="66" t="s">
        <v>136</v>
      </c>
      <c r="C17" s="47"/>
      <c r="D17" s="94"/>
      <c r="E17" s="94"/>
      <c r="F17" s="94"/>
      <c r="G17" s="94"/>
      <c r="H17" s="94"/>
      <c r="I17" s="94"/>
      <c r="J17" s="94"/>
      <c r="K17" s="94"/>
      <c r="L17" s="94"/>
      <c r="M17" s="94"/>
      <c r="N17" s="94"/>
      <c r="O17" s="94"/>
      <c r="P17" s="94"/>
      <c r="Q17" s="94"/>
      <c r="R17" s="94"/>
      <c r="S17" s="94"/>
      <c r="T17" s="94"/>
      <c r="U17" s="94"/>
      <c r="V17" s="94"/>
      <c r="W17" s="94"/>
      <c r="X17" s="94"/>
      <c r="Y17" s="94">
        <f>E16</f>
        <v>100</v>
      </c>
      <c r="Z17" s="94">
        <f t="shared" ref="Z17:AB17" si="1">F16</f>
        <v>150</v>
      </c>
      <c r="AA17" s="94">
        <f t="shared" si="1"/>
        <v>150</v>
      </c>
      <c r="AB17" s="94">
        <f t="shared" si="1"/>
        <v>100</v>
      </c>
      <c r="AC17" s="53">
        <f>SUM(D17:AB17)</f>
        <v>500</v>
      </c>
    </row>
    <row r="18" spans="1:29" ht="19.149999999999999" customHeight="1" x14ac:dyDescent="0.25">
      <c r="B18" s="66" t="s">
        <v>137</v>
      </c>
      <c r="C18" s="47"/>
      <c r="D18" s="63"/>
      <c r="E18" s="63">
        <f>E16</f>
        <v>100</v>
      </c>
      <c r="F18" s="63">
        <f t="shared" ref="F18:AB18" si="2">F16+E18-F17</f>
        <v>250</v>
      </c>
      <c r="G18" s="63">
        <f t="shared" si="2"/>
        <v>400</v>
      </c>
      <c r="H18" s="63">
        <f t="shared" si="2"/>
        <v>500</v>
      </c>
      <c r="I18" s="63">
        <f t="shared" si="2"/>
        <v>500</v>
      </c>
      <c r="J18" s="63">
        <f t="shared" si="2"/>
        <v>500</v>
      </c>
      <c r="K18" s="63">
        <f t="shared" si="2"/>
        <v>500</v>
      </c>
      <c r="L18" s="63">
        <f t="shared" si="2"/>
        <v>500</v>
      </c>
      <c r="M18" s="63">
        <f t="shared" si="2"/>
        <v>500</v>
      </c>
      <c r="N18" s="63">
        <f t="shared" si="2"/>
        <v>500</v>
      </c>
      <c r="O18" s="63">
        <f t="shared" si="2"/>
        <v>500</v>
      </c>
      <c r="P18" s="63">
        <f t="shared" si="2"/>
        <v>500</v>
      </c>
      <c r="Q18" s="63">
        <f t="shared" si="2"/>
        <v>500</v>
      </c>
      <c r="R18" s="63">
        <f t="shared" si="2"/>
        <v>500</v>
      </c>
      <c r="S18" s="63">
        <f t="shared" si="2"/>
        <v>500</v>
      </c>
      <c r="T18" s="63">
        <f t="shared" si="2"/>
        <v>500</v>
      </c>
      <c r="U18" s="63">
        <f t="shared" si="2"/>
        <v>500</v>
      </c>
      <c r="V18" s="63">
        <f t="shared" si="2"/>
        <v>500</v>
      </c>
      <c r="W18" s="63">
        <f t="shared" si="2"/>
        <v>500</v>
      </c>
      <c r="X18" s="63">
        <f t="shared" si="2"/>
        <v>500</v>
      </c>
      <c r="Y18" s="63">
        <f t="shared" si="2"/>
        <v>400</v>
      </c>
      <c r="Z18" s="63">
        <f t="shared" si="2"/>
        <v>250</v>
      </c>
      <c r="AA18" s="63">
        <f t="shared" si="2"/>
        <v>100</v>
      </c>
      <c r="AB18" s="63">
        <f t="shared" si="2"/>
        <v>0</v>
      </c>
      <c r="AC18" s="53"/>
    </row>
    <row r="19" spans="1:29" ht="19.149999999999999" customHeight="1" x14ac:dyDescent="0.25">
      <c r="B19" s="61"/>
      <c r="AC19" s="83"/>
    </row>
    <row r="20" spans="1:29" ht="19.149999999999999" customHeight="1" x14ac:dyDescent="0.25">
      <c r="B20" s="96" t="s">
        <v>113</v>
      </c>
      <c r="AC20" s="83"/>
    </row>
    <row r="21" spans="1:29" ht="19.149999999999999" customHeight="1" x14ac:dyDescent="0.25">
      <c r="B21" t="s">
        <v>115</v>
      </c>
      <c r="AC21" s="83"/>
    </row>
    <row r="22" spans="1:29" ht="19.149999999999999" customHeight="1" x14ac:dyDescent="0.25">
      <c r="B22" s="486" t="s">
        <v>144</v>
      </c>
      <c r="C22" s="486"/>
      <c r="D22" s="486"/>
      <c r="E22" s="486"/>
      <c r="F22" s="486"/>
      <c r="G22" s="486"/>
      <c r="H22" s="486"/>
      <c r="AC22" s="83"/>
    </row>
    <row r="23" spans="1:29" ht="19.149999999999999" customHeight="1" x14ac:dyDescent="0.25">
      <c r="B23" s="486" t="s">
        <v>138</v>
      </c>
      <c r="C23" s="486"/>
      <c r="D23" s="486"/>
      <c r="E23" s="486"/>
      <c r="F23" s="486"/>
      <c r="G23" s="486"/>
      <c r="H23" s="486"/>
      <c r="I23" s="486"/>
      <c r="J23" s="486"/>
      <c r="AC23" s="83"/>
    </row>
    <row r="25" spans="1:29" x14ac:dyDescent="0.25">
      <c r="A25" s="63">
        <v>3</v>
      </c>
      <c r="B25" t="s">
        <v>121</v>
      </c>
      <c r="C25" s="98">
        <v>1</v>
      </c>
      <c r="D25" t="s">
        <v>78</v>
      </c>
    </row>
    <row r="26" spans="1:29" x14ac:dyDescent="0.25">
      <c r="B26" t="s">
        <v>79</v>
      </c>
      <c r="C26" s="98">
        <v>0</v>
      </c>
      <c r="D26" t="s">
        <v>78</v>
      </c>
    </row>
    <row r="27" spans="1:29" x14ac:dyDescent="0.25">
      <c r="B27" t="s">
        <v>122</v>
      </c>
      <c r="C27" s="68">
        <f>C25-C26</f>
        <v>1</v>
      </c>
    </row>
    <row r="28" spans="1:29" x14ac:dyDescent="0.25">
      <c r="C28" s="77"/>
    </row>
    <row r="29" spans="1:29" x14ac:dyDescent="0.25">
      <c r="B29" t="s">
        <v>139</v>
      </c>
      <c r="C29" s="98">
        <v>200</v>
      </c>
      <c r="D29" t="s">
        <v>9</v>
      </c>
      <c r="E29" t="s">
        <v>200</v>
      </c>
    </row>
    <row r="30" spans="1:29" x14ac:dyDescent="0.25">
      <c r="B30" t="s">
        <v>140</v>
      </c>
      <c r="C30" s="98">
        <v>400</v>
      </c>
      <c r="D30" t="s">
        <v>9</v>
      </c>
      <c r="E30" t="s">
        <v>189</v>
      </c>
    </row>
    <row r="31" spans="1:29" x14ac:dyDescent="0.25">
      <c r="C31" s="77"/>
    </row>
    <row r="32" spans="1:29" ht="17.45" customHeight="1" x14ac:dyDescent="0.25">
      <c r="C32" s="120" t="s">
        <v>18</v>
      </c>
      <c r="E32" s="62"/>
      <c r="F32" s="62"/>
      <c r="G32" s="62"/>
      <c r="H32" s="62"/>
      <c r="I32" s="62"/>
      <c r="J32" s="62"/>
      <c r="K32" s="62"/>
      <c r="L32" s="62"/>
    </row>
    <row r="33" spans="2:29" ht="17.45" customHeight="1" x14ac:dyDescent="0.25">
      <c r="B33" s="6" t="s">
        <v>92</v>
      </c>
      <c r="C33" s="102">
        <v>0</v>
      </c>
      <c r="E33" s="92"/>
      <c r="F33" s="92"/>
      <c r="G33" s="92"/>
      <c r="H33" s="92"/>
      <c r="I33" s="92"/>
      <c r="J33" s="92"/>
      <c r="K33" s="92"/>
      <c r="L33" s="92"/>
    </row>
    <row r="35" spans="2:29" x14ac:dyDescent="0.25">
      <c r="C35" s="71"/>
    </row>
    <row r="36" spans="2:29" x14ac:dyDescent="0.25">
      <c r="C36" s="71"/>
    </row>
    <row r="37" spans="2:29" x14ac:dyDescent="0.25">
      <c r="C37" s="71"/>
    </row>
    <row r="38" spans="2:29" x14ac:dyDescent="0.25">
      <c r="B38" s="99" t="s">
        <v>91</v>
      </c>
      <c r="C38" s="8" t="s">
        <v>19</v>
      </c>
      <c r="D38" s="15">
        <v>0</v>
      </c>
      <c r="E38" s="15">
        <v>1</v>
      </c>
      <c r="F38" s="15">
        <v>2</v>
      </c>
      <c r="G38" s="15">
        <v>3</v>
      </c>
      <c r="H38" s="15">
        <v>4</v>
      </c>
      <c r="I38" s="15">
        <v>5</v>
      </c>
      <c r="J38" s="15">
        <v>6</v>
      </c>
      <c r="K38" s="15">
        <v>7</v>
      </c>
      <c r="L38" s="15">
        <v>8</v>
      </c>
      <c r="M38" s="15">
        <v>9</v>
      </c>
      <c r="N38" s="15">
        <v>10</v>
      </c>
      <c r="O38" s="15">
        <v>11</v>
      </c>
      <c r="P38" s="15">
        <v>12</v>
      </c>
      <c r="Q38" s="15">
        <v>13</v>
      </c>
      <c r="R38" s="15">
        <v>14</v>
      </c>
      <c r="S38" s="15">
        <v>15</v>
      </c>
      <c r="T38" s="15">
        <v>16</v>
      </c>
      <c r="U38" s="15">
        <v>17</v>
      </c>
      <c r="V38" s="15">
        <v>18</v>
      </c>
      <c r="W38" s="15">
        <v>19</v>
      </c>
      <c r="X38" s="15">
        <v>20</v>
      </c>
      <c r="Y38" s="15">
        <v>21</v>
      </c>
      <c r="Z38" s="15">
        <v>22</v>
      </c>
      <c r="AA38" s="15">
        <v>23</v>
      </c>
      <c r="AB38" s="15">
        <v>24</v>
      </c>
      <c r="AC38" t="s">
        <v>109</v>
      </c>
    </row>
    <row r="39" spans="2:29" x14ac:dyDescent="0.25">
      <c r="B39" s="47" t="s">
        <v>83</v>
      </c>
      <c r="C39" s="47"/>
      <c r="D39" s="75"/>
      <c r="E39" s="75">
        <f>D44</f>
        <v>0</v>
      </c>
      <c r="F39" s="75">
        <f t="shared" ref="F39:AB39" si="3">E44</f>
        <v>0</v>
      </c>
      <c r="G39" s="75">
        <f t="shared" si="3"/>
        <v>0</v>
      </c>
      <c r="H39" s="75">
        <f t="shared" si="3"/>
        <v>0</v>
      </c>
      <c r="I39" s="75">
        <f t="shared" si="3"/>
        <v>0</v>
      </c>
      <c r="J39" s="103">
        <f t="shared" si="3"/>
        <v>0</v>
      </c>
      <c r="K39" s="75">
        <f t="shared" si="3"/>
        <v>0</v>
      </c>
      <c r="L39" s="75">
        <f t="shared" si="3"/>
        <v>0</v>
      </c>
      <c r="M39" s="75">
        <f t="shared" si="3"/>
        <v>0</v>
      </c>
      <c r="N39" s="75">
        <f t="shared" si="3"/>
        <v>0</v>
      </c>
      <c r="O39" s="75">
        <f t="shared" si="3"/>
        <v>0</v>
      </c>
      <c r="P39" s="75">
        <f t="shared" si="3"/>
        <v>0</v>
      </c>
      <c r="Q39" s="75">
        <f t="shared" si="3"/>
        <v>0</v>
      </c>
      <c r="R39" s="75">
        <f t="shared" si="3"/>
        <v>0</v>
      </c>
      <c r="S39" s="75">
        <f t="shared" si="3"/>
        <v>0</v>
      </c>
      <c r="T39" s="75">
        <f t="shared" si="3"/>
        <v>0</v>
      </c>
      <c r="U39" s="75">
        <f t="shared" si="3"/>
        <v>0</v>
      </c>
      <c r="V39" s="75">
        <f t="shared" si="3"/>
        <v>0</v>
      </c>
      <c r="W39" s="75">
        <f t="shared" si="3"/>
        <v>0</v>
      </c>
      <c r="X39" s="75">
        <f t="shared" si="3"/>
        <v>0</v>
      </c>
      <c r="Y39" s="75">
        <f t="shared" si="3"/>
        <v>0</v>
      </c>
      <c r="Z39" s="75">
        <f t="shared" si="3"/>
        <v>0</v>
      </c>
      <c r="AA39" s="75">
        <f t="shared" si="3"/>
        <v>0</v>
      </c>
      <c r="AB39" s="75">
        <f t="shared" si="3"/>
        <v>0</v>
      </c>
      <c r="AC39" s="89"/>
    </row>
    <row r="40" spans="2:29" x14ac:dyDescent="0.25">
      <c r="B40" s="67" t="s">
        <v>84</v>
      </c>
      <c r="C40" s="47"/>
      <c r="D40" s="74">
        <f t="shared" ref="D40:AB40" si="4">($C29+$C30)*D16</f>
        <v>0</v>
      </c>
      <c r="E40" s="74">
        <f t="shared" si="4"/>
        <v>60000</v>
      </c>
      <c r="F40" s="74">
        <f t="shared" si="4"/>
        <v>90000</v>
      </c>
      <c r="G40" s="74">
        <f t="shared" si="4"/>
        <v>90000</v>
      </c>
      <c r="H40" s="74">
        <f t="shared" si="4"/>
        <v>60000</v>
      </c>
      <c r="I40" s="74">
        <f t="shared" si="4"/>
        <v>0</v>
      </c>
      <c r="J40" s="74">
        <f t="shared" si="4"/>
        <v>0</v>
      </c>
      <c r="K40" s="74">
        <f t="shared" si="4"/>
        <v>0</v>
      </c>
      <c r="L40" s="74">
        <f t="shared" si="4"/>
        <v>0</v>
      </c>
      <c r="M40" s="74">
        <f t="shared" si="4"/>
        <v>0</v>
      </c>
      <c r="N40" s="74">
        <f t="shared" si="4"/>
        <v>0</v>
      </c>
      <c r="O40" s="74">
        <f t="shared" si="4"/>
        <v>0</v>
      </c>
      <c r="P40" s="74">
        <f t="shared" si="4"/>
        <v>0</v>
      </c>
      <c r="Q40" s="74">
        <f t="shared" si="4"/>
        <v>0</v>
      </c>
      <c r="R40" s="74">
        <f t="shared" si="4"/>
        <v>0</v>
      </c>
      <c r="S40" s="74">
        <f t="shared" si="4"/>
        <v>0</v>
      </c>
      <c r="T40" s="74">
        <f t="shared" si="4"/>
        <v>0</v>
      </c>
      <c r="U40" s="74">
        <f t="shared" si="4"/>
        <v>0</v>
      </c>
      <c r="V40" s="74">
        <f t="shared" si="4"/>
        <v>0</v>
      </c>
      <c r="W40" s="74">
        <f t="shared" si="4"/>
        <v>0</v>
      </c>
      <c r="X40" s="74">
        <f t="shared" si="4"/>
        <v>0</v>
      </c>
      <c r="Y40" s="74">
        <f t="shared" si="4"/>
        <v>0</v>
      </c>
      <c r="Z40" s="74">
        <f t="shared" si="4"/>
        <v>0</v>
      </c>
      <c r="AA40" s="74">
        <f t="shared" si="4"/>
        <v>0</v>
      </c>
      <c r="AB40" s="74">
        <f t="shared" si="4"/>
        <v>0</v>
      </c>
      <c r="AC40" s="89">
        <f>SUM(D40:AB40)</f>
        <v>300000</v>
      </c>
    </row>
    <row r="41" spans="2:29" x14ac:dyDescent="0.25">
      <c r="B41" s="47" t="s">
        <v>85</v>
      </c>
      <c r="C41" s="47"/>
      <c r="D41" s="75">
        <f>D39*$D164</f>
        <v>0</v>
      </c>
      <c r="E41" s="75">
        <f t="shared" ref="E41:AB41" si="5">(E39+E40)*$D164</f>
        <v>14400</v>
      </c>
      <c r="F41" s="75">
        <f t="shared" si="5"/>
        <v>21600</v>
      </c>
      <c r="G41" s="75">
        <f t="shared" si="5"/>
        <v>21600</v>
      </c>
      <c r="H41" s="75">
        <f t="shared" si="5"/>
        <v>14400</v>
      </c>
      <c r="I41" s="75">
        <f t="shared" si="5"/>
        <v>0</v>
      </c>
      <c r="J41" s="75">
        <f t="shared" si="5"/>
        <v>0</v>
      </c>
      <c r="K41" s="75">
        <f t="shared" si="5"/>
        <v>0</v>
      </c>
      <c r="L41" s="75">
        <f t="shared" si="5"/>
        <v>0</v>
      </c>
      <c r="M41" s="75">
        <f t="shared" si="5"/>
        <v>0</v>
      </c>
      <c r="N41" s="75">
        <f t="shared" si="5"/>
        <v>0</v>
      </c>
      <c r="O41" s="75">
        <f t="shared" si="5"/>
        <v>0</v>
      </c>
      <c r="P41" s="75">
        <f t="shared" si="5"/>
        <v>0</v>
      </c>
      <c r="Q41" s="75">
        <f t="shared" si="5"/>
        <v>0</v>
      </c>
      <c r="R41" s="75">
        <f t="shared" si="5"/>
        <v>0</v>
      </c>
      <c r="S41" s="75">
        <f t="shared" si="5"/>
        <v>0</v>
      </c>
      <c r="T41" s="75">
        <f t="shared" si="5"/>
        <v>0</v>
      </c>
      <c r="U41" s="75">
        <f t="shared" si="5"/>
        <v>0</v>
      </c>
      <c r="V41" s="75">
        <f t="shared" si="5"/>
        <v>0</v>
      </c>
      <c r="W41" s="75">
        <f t="shared" si="5"/>
        <v>0</v>
      </c>
      <c r="X41" s="75">
        <f t="shared" si="5"/>
        <v>0</v>
      </c>
      <c r="Y41" s="75">
        <f t="shared" si="5"/>
        <v>0</v>
      </c>
      <c r="Z41" s="75">
        <f t="shared" si="5"/>
        <v>0</v>
      </c>
      <c r="AA41" s="75">
        <f t="shared" si="5"/>
        <v>0</v>
      </c>
      <c r="AB41" s="75">
        <f t="shared" si="5"/>
        <v>0</v>
      </c>
      <c r="AC41" s="89">
        <f>SUM(D41:AB41)</f>
        <v>72000</v>
      </c>
    </row>
    <row r="42" spans="2:29" x14ac:dyDescent="0.25">
      <c r="B42" s="47" t="s">
        <v>87</v>
      </c>
      <c r="C42" s="47"/>
      <c r="D42" s="75">
        <v>0</v>
      </c>
      <c r="E42" s="75">
        <f>E40*$C27</f>
        <v>60000</v>
      </c>
      <c r="F42" s="75">
        <f t="shared" ref="F42:AB42" si="6">F40*$C27</f>
        <v>90000</v>
      </c>
      <c r="G42" s="75">
        <f t="shared" si="6"/>
        <v>90000</v>
      </c>
      <c r="H42" s="75">
        <f t="shared" si="6"/>
        <v>60000</v>
      </c>
      <c r="I42" s="75">
        <f t="shared" si="6"/>
        <v>0</v>
      </c>
      <c r="J42" s="75">
        <f t="shared" si="6"/>
        <v>0</v>
      </c>
      <c r="K42" s="75">
        <f t="shared" si="6"/>
        <v>0</v>
      </c>
      <c r="L42" s="75">
        <f t="shared" si="6"/>
        <v>0</v>
      </c>
      <c r="M42" s="75">
        <f t="shared" si="6"/>
        <v>0</v>
      </c>
      <c r="N42" s="75">
        <f t="shared" si="6"/>
        <v>0</v>
      </c>
      <c r="O42" s="75">
        <f t="shared" si="6"/>
        <v>0</v>
      </c>
      <c r="P42" s="75">
        <f t="shared" si="6"/>
        <v>0</v>
      </c>
      <c r="Q42" s="75">
        <f t="shared" si="6"/>
        <v>0</v>
      </c>
      <c r="R42" s="75">
        <f t="shared" si="6"/>
        <v>0</v>
      </c>
      <c r="S42" s="75">
        <f t="shared" si="6"/>
        <v>0</v>
      </c>
      <c r="T42" s="75">
        <f t="shared" si="6"/>
        <v>0</v>
      </c>
      <c r="U42" s="75">
        <f t="shared" si="6"/>
        <v>0</v>
      </c>
      <c r="V42" s="75">
        <f t="shared" si="6"/>
        <v>0</v>
      </c>
      <c r="W42" s="75">
        <f t="shared" si="6"/>
        <v>0</v>
      </c>
      <c r="X42" s="75">
        <f t="shared" si="6"/>
        <v>0</v>
      </c>
      <c r="Y42" s="75">
        <f t="shared" si="6"/>
        <v>0</v>
      </c>
      <c r="Z42" s="75">
        <f t="shared" si="6"/>
        <v>0</v>
      </c>
      <c r="AA42" s="75">
        <f t="shared" si="6"/>
        <v>0</v>
      </c>
      <c r="AB42" s="75">
        <f t="shared" si="6"/>
        <v>0</v>
      </c>
      <c r="AC42" s="89">
        <f>SUM(D42:AB42)</f>
        <v>300000</v>
      </c>
    </row>
    <row r="43" spans="2:29" x14ac:dyDescent="0.25">
      <c r="B43" s="47" t="s">
        <v>120</v>
      </c>
      <c r="C43" s="47"/>
      <c r="D43" s="75">
        <f>D41+D42</f>
        <v>0</v>
      </c>
      <c r="E43" s="75">
        <f>E41+E42</f>
        <v>74400</v>
      </c>
      <c r="F43" s="75">
        <f t="shared" ref="F43:AB43" si="7">F41+F42</f>
        <v>111600</v>
      </c>
      <c r="G43" s="75">
        <f t="shared" si="7"/>
        <v>111600</v>
      </c>
      <c r="H43" s="75">
        <f t="shared" si="7"/>
        <v>74400</v>
      </c>
      <c r="I43" s="75">
        <f t="shared" si="7"/>
        <v>0</v>
      </c>
      <c r="J43" s="103">
        <f t="shared" si="7"/>
        <v>0</v>
      </c>
      <c r="K43" s="75">
        <f t="shared" si="7"/>
        <v>0</v>
      </c>
      <c r="L43" s="75">
        <f t="shared" si="7"/>
        <v>0</v>
      </c>
      <c r="M43" s="75">
        <f t="shared" si="7"/>
        <v>0</v>
      </c>
      <c r="N43" s="75">
        <f t="shared" si="7"/>
        <v>0</v>
      </c>
      <c r="O43" s="75">
        <f t="shared" si="7"/>
        <v>0</v>
      </c>
      <c r="P43" s="75">
        <f t="shared" si="7"/>
        <v>0</v>
      </c>
      <c r="Q43" s="75">
        <f t="shared" si="7"/>
        <v>0</v>
      </c>
      <c r="R43" s="75">
        <f t="shared" si="7"/>
        <v>0</v>
      </c>
      <c r="S43" s="75">
        <f t="shared" si="7"/>
        <v>0</v>
      </c>
      <c r="T43" s="75">
        <f t="shared" si="7"/>
        <v>0</v>
      </c>
      <c r="U43" s="75">
        <f t="shared" si="7"/>
        <v>0</v>
      </c>
      <c r="V43" s="75">
        <f t="shared" si="7"/>
        <v>0</v>
      </c>
      <c r="W43" s="75">
        <f t="shared" si="7"/>
        <v>0</v>
      </c>
      <c r="X43" s="75">
        <f t="shared" si="7"/>
        <v>0</v>
      </c>
      <c r="Y43" s="75">
        <f t="shared" si="7"/>
        <v>0</v>
      </c>
      <c r="Z43" s="75">
        <f t="shared" si="7"/>
        <v>0</v>
      </c>
      <c r="AA43" s="75">
        <f t="shared" si="7"/>
        <v>0</v>
      </c>
      <c r="AB43" s="75">
        <f t="shared" si="7"/>
        <v>0</v>
      </c>
      <c r="AC43" s="89">
        <f>SUM(D43:AB43)</f>
        <v>372000</v>
      </c>
    </row>
    <row r="44" spans="2:29" x14ac:dyDescent="0.25">
      <c r="B44" s="47" t="s">
        <v>86</v>
      </c>
      <c r="C44" s="47"/>
      <c r="D44" s="75">
        <f>D39+D40-D43</f>
        <v>0</v>
      </c>
      <c r="E44" s="75">
        <f>E39+E40-E43+E41</f>
        <v>0</v>
      </c>
      <c r="F44" s="75">
        <f t="shared" ref="F44:AB44" si="8">F39+F40-F43+F41</f>
        <v>0</v>
      </c>
      <c r="G44" s="75">
        <f t="shared" si="8"/>
        <v>0</v>
      </c>
      <c r="H44" s="75">
        <f t="shared" si="8"/>
        <v>0</v>
      </c>
      <c r="I44" s="75">
        <f t="shared" si="8"/>
        <v>0</v>
      </c>
      <c r="J44" s="103">
        <f t="shared" si="8"/>
        <v>0</v>
      </c>
      <c r="K44" s="75">
        <f t="shared" si="8"/>
        <v>0</v>
      </c>
      <c r="L44" s="75">
        <f t="shared" si="8"/>
        <v>0</v>
      </c>
      <c r="M44" s="75">
        <f t="shared" si="8"/>
        <v>0</v>
      </c>
      <c r="N44" s="75">
        <f t="shared" si="8"/>
        <v>0</v>
      </c>
      <c r="O44" s="75">
        <f t="shared" si="8"/>
        <v>0</v>
      </c>
      <c r="P44" s="75">
        <f t="shared" si="8"/>
        <v>0</v>
      </c>
      <c r="Q44" s="75">
        <f t="shared" si="8"/>
        <v>0</v>
      </c>
      <c r="R44" s="75">
        <f t="shared" si="8"/>
        <v>0</v>
      </c>
      <c r="S44" s="75">
        <f t="shared" si="8"/>
        <v>0</v>
      </c>
      <c r="T44" s="75">
        <f t="shared" si="8"/>
        <v>0</v>
      </c>
      <c r="U44" s="75">
        <f t="shared" si="8"/>
        <v>0</v>
      </c>
      <c r="V44" s="75">
        <f t="shared" si="8"/>
        <v>0</v>
      </c>
      <c r="W44" s="75">
        <f t="shared" si="8"/>
        <v>0</v>
      </c>
      <c r="X44" s="75">
        <f t="shared" si="8"/>
        <v>0</v>
      </c>
      <c r="Y44" s="75">
        <f t="shared" si="8"/>
        <v>0</v>
      </c>
      <c r="Z44" s="75">
        <f t="shared" si="8"/>
        <v>0</v>
      </c>
      <c r="AA44" s="75">
        <f t="shared" si="8"/>
        <v>0</v>
      </c>
      <c r="AB44" s="75">
        <f t="shared" si="8"/>
        <v>0</v>
      </c>
      <c r="AC44" s="89"/>
    </row>
    <row r="45" spans="2:29" x14ac:dyDescent="0.25">
      <c r="C45" s="71"/>
    </row>
    <row r="46" spans="2:29" x14ac:dyDescent="0.25">
      <c r="B46" s="44"/>
      <c r="C46" s="71"/>
    </row>
    <row r="47" spans="2:29" x14ac:dyDescent="0.25">
      <c r="B47" s="44"/>
      <c r="C47" s="71"/>
    </row>
    <row r="48" spans="2:29" x14ac:dyDescent="0.25">
      <c r="B48" s="99" t="s">
        <v>90</v>
      </c>
      <c r="C48" s="8" t="s">
        <v>19</v>
      </c>
      <c r="D48" s="15">
        <v>0</v>
      </c>
      <c r="E48" s="15">
        <v>1</v>
      </c>
      <c r="F48" s="15">
        <v>2</v>
      </c>
      <c r="G48" s="15">
        <v>3</v>
      </c>
      <c r="H48" s="15">
        <v>4</v>
      </c>
      <c r="I48" s="15">
        <v>5</v>
      </c>
      <c r="J48" s="15">
        <v>6</v>
      </c>
      <c r="K48" s="15">
        <v>7</v>
      </c>
      <c r="L48" s="15">
        <v>8</v>
      </c>
      <c r="M48" s="15">
        <v>9</v>
      </c>
      <c r="N48" s="15">
        <v>10</v>
      </c>
      <c r="O48" s="15">
        <v>11</v>
      </c>
      <c r="P48" s="15">
        <v>12</v>
      </c>
      <c r="Q48" s="15">
        <v>13</v>
      </c>
      <c r="R48" s="15">
        <v>14</v>
      </c>
      <c r="S48" s="15">
        <v>15</v>
      </c>
      <c r="T48" s="15">
        <v>16</v>
      </c>
      <c r="U48" s="15">
        <v>17</v>
      </c>
      <c r="V48" s="15">
        <v>18</v>
      </c>
      <c r="W48" s="15">
        <v>19</v>
      </c>
      <c r="X48" s="15">
        <v>20</v>
      </c>
      <c r="Y48" s="15">
        <v>21</v>
      </c>
      <c r="Z48" s="15">
        <v>22</v>
      </c>
      <c r="AA48" s="15">
        <v>23</v>
      </c>
      <c r="AB48" s="15">
        <v>24</v>
      </c>
      <c r="AC48" t="s">
        <v>109</v>
      </c>
    </row>
    <row r="49" spans="2:29" x14ac:dyDescent="0.25">
      <c r="B49" s="47" t="s">
        <v>83</v>
      </c>
      <c r="C49" s="47"/>
      <c r="D49" s="75"/>
      <c r="E49" s="75">
        <f>D54</f>
        <v>0</v>
      </c>
      <c r="F49" s="75">
        <f t="shared" ref="F49:AB49" si="9">E54</f>
        <v>0</v>
      </c>
      <c r="G49" s="75">
        <f t="shared" si="9"/>
        <v>0</v>
      </c>
      <c r="H49" s="75">
        <f t="shared" si="9"/>
        <v>0</v>
      </c>
      <c r="I49" s="75">
        <f t="shared" si="9"/>
        <v>0</v>
      </c>
      <c r="J49" s="103">
        <f t="shared" si="9"/>
        <v>0</v>
      </c>
      <c r="K49" s="75">
        <f t="shared" si="9"/>
        <v>0</v>
      </c>
      <c r="L49" s="75">
        <f t="shared" si="9"/>
        <v>0</v>
      </c>
      <c r="M49" s="75">
        <f t="shared" si="9"/>
        <v>0</v>
      </c>
      <c r="N49" s="75">
        <f t="shared" si="9"/>
        <v>0</v>
      </c>
      <c r="O49" s="75">
        <f t="shared" si="9"/>
        <v>0</v>
      </c>
      <c r="P49" s="75">
        <f t="shared" si="9"/>
        <v>0</v>
      </c>
      <c r="Q49" s="75">
        <f t="shared" si="9"/>
        <v>0</v>
      </c>
      <c r="R49" s="75">
        <f t="shared" si="9"/>
        <v>0</v>
      </c>
      <c r="S49" s="75">
        <f t="shared" si="9"/>
        <v>0</v>
      </c>
      <c r="T49" s="75">
        <f t="shared" si="9"/>
        <v>0</v>
      </c>
      <c r="U49" s="75">
        <f t="shared" si="9"/>
        <v>0</v>
      </c>
      <c r="V49" s="75">
        <f t="shared" si="9"/>
        <v>0</v>
      </c>
      <c r="W49" s="75">
        <f t="shared" si="9"/>
        <v>0</v>
      </c>
      <c r="X49" s="75">
        <f t="shared" si="9"/>
        <v>0</v>
      </c>
      <c r="Y49" s="75">
        <f t="shared" si="9"/>
        <v>0</v>
      </c>
      <c r="Z49" s="75">
        <f t="shared" si="9"/>
        <v>0</v>
      </c>
      <c r="AA49" s="75">
        <f t="shared" si="9"/>
        <v>0</v>
      </c>
      <c r="AB49" s="75">
        <f t="shared" si="9"/>
        <v>0</v>
      </c>
      <c r="AC49" s="89"/>
    </row>
    <row r="50" spans="2:29" x14ac:dyDescent="0.25">
      <c r="B50" s="67" t="s">
        <v>84</v>
      </c>
      <c r="C50" s="47"/>
      <c r="D50" s="74">
        <f t="shared" ref="D50:AB50" si="10">$C29*D16</f>
        <v>0</v>
      </c>
      <c r="E50" s="74">
        <f t="shared" si="10"/>
        <v>20000</v>
      </c>
      <c r="F50" s="74">
        <f t="shared" si="10"/>
        <v>30000</v>
      </c>
      <c r="G50" s="74">
        <f t="shared" si="10"/>
        <v>30000</v>
      </c>
      <c r="H50" s="74">
        <f t="shared" si="10"/>
        <v>20000</v>
      </c>
      <c r="I50" s="74">
        <f t="shared" si="10"/>
        <v>0</v>
      </c>
      <c r="J50" s="74">
        <f t="shared" si="10"/>
        <v>0</v>
      </c>
      <c r="K50" s="74">
        <f t="shared" si="10"/>
        <v>0</v>
      </c>
      <c r="L50" s="74">
        <f t="shared" si="10"/>
        <v>0</v>
      </c>
      <c r="M50" s="74">
        <f t="shared" si="10"/>
        <v>0</v>
      </c>
      <c r="N50" s="74">
        <f t="shared" si="10"/>
        <v>0</v>
      </c>
      <c r="O50" s="74">
        <f t="shared" si="10"/>
        <v>0</v>
      </c>
      <c r="P50" s="74">
        <f t="shared" si="10"/>
        <v>0</v>
      </c>
      <c r="Q50" s="74">
        <f t="shared" si="10"/>
        <v>0</v>
      </c>
      <c r="R50" s="74">
        <f t="shared" si="10"/>
        <v>0</v>
      </c>
      <c r="S50" s="74">
        <f t="shared" si="10"/>
        <v>0</v>
      </c>
      <c r="T50" s="74">
        <f t="shared" si="10"/>
        <v>0</v>
      </c>
      <c r="U50" s="74">
        <f t="shared" si="10"/>
        <v>0</v>
      </c>
      <c r="V50" s="74">
        <f t="shared" si="10"/>
        <v>0</v>
      </c>
      <c r="W50" s="74">
        <f t="shared" si="10"/>
        <v>0</v>
      </c>
      <c r="X50" s="74">
        <f t="shared" si="10"/>
        <v>0</v>
      </c>
      <c r="Y50" s="74">
        <f t="shared" si="10"/>
        <v>0</v>
      </c>
      <c r="Z50" s="74">
        <f t="shared" si="10"/>
        <v>0</v>
      </c>
      <c r="AA50" s="74">
        <f t="shared" si="10"/>
        <v>0</v>
      </c>
      <c r="AB50" s="74">
        <f t="shared" si="10"/>
        <v>0</v>
      </c>
      <c r="AC50" s="89">
        <f>SUM(D50:AB50)</f>
        <v>100000</v>
      </c>
    </row>
    <row r="51" spans="2:29" x14ac:dyDescent="0.25">
      <c r="B51" s="47" t="s">
        <v>85</v>
      </c>
      <c r="C51" s="47"/>
      <c r="D51" s="75">
        <v>0</v>
      </c>
      <c r="E51" s="75">
        <f t="shared" ref="E51:AB51" si="11">(E49+E50)*$D164</f>
        <v>4800</v>
      </c>
      <c r="F51" s="75">
        <f t="shared" si="11"/>
        <v>7200</v>
      </c>
      <c r="G51" s="75">
        <f t="shared" si="11"/>
        <v>7200</v>
      </c>
      <c r="H51" s="75">
        <f t="shared" si="11"/>
        <v>4800</v>
      </c>
      <c r="I51" s="75">
        <f t="shared" si="11"/>
        <v>0</v>
      </c>
      <c r="J51" s="75">
        <f t="shared" si="11"/>
        <v>0</v>
      </c>
      <c r="K51" s="75">
        <f t="shared" si="11"/>
        <v>0</v>
      </c>
      <c r="L51" s="75">
        <f t="shared" si="11"/>
        <v>0</v>
      </c>
      <c r="M51" s="75">
        <f t="shared" si="11"/>
        <v>0</v>
      </c>
      <c r="N51" s="75">
        <f t="shared" si="11"/>
        <v>0</v>
      </c>
      <c r="O51" s="75">
        <f t="shared" si="11"/>
        <v>0</v>
      </c>
      <c r="P51" s="75">
        <f t="shared" si="11"/>
        <v>0</v>
      </c>
      <c r="Q51" s="75">
        <f t="shared" si="11"/>
        <v>0</v>
      </c>
      <c r="R51" s="75">
        <f t="shared" si="11"/>
        <v>0</v>
      </c>
      <c r="S51" s="75">
        <f t="shared" si="11"/>
        <v>0</v>
      </c>
      <c r="T51" s="75">
        <f t="shared" si="11"/>
        <v>0</v>
      </c>
      <c r="U51" s="75">
        <f t="shared" si="11"/>
        <v>0</v>
      </c>
      <c r="V51" s="75">
        <f t="shared" si="11"/>
        <v>0</v>
      </c>
      <c r="W51" s="75">
        <f t="shared" si="11"/>
        <v>0</v>
      </c>
      <c r="X51" s="75">
        <f t="shared" si="11"/>
        <v>0</v>
      </c>
      <c r="Y51" s="75">
        <f t="shared" si="11"/>
        <v>0</v>
      </c>
      <c r="Z51" s="75">
        <f t="shared" si="11"/>
        <v>0</v>
      </c>
      <c r="AA51" s="75">
        <f t="shared" si="11"/>
        <v>0</v>
      </c>
      <c r="AB51" s="75">
        <f t="shared" si="11"/>
        <v>0</v>
      </c>
      <c r="AC51" s="89">
        <f>SUM(D51:AB51)</f>
        <v>24000</v>
      </c>
    </row>
    <row r="52" spans="2:29" x14ac:dyDescent="0.25">
      <c r="B52" s="47" t="s">
        <v>87</v>
      </c>
      <c r="C52" s="47"/>
      <c r="D52" s="75">
        <v>0</v>
      </c>
      <c r="E52" s="75">
        <f>E50*$C27</f>
        <v>20000</v>
      </c>
      <c r="F52" s="75">
        <f t="shared" ref="F52:AB52" si="12">F50*$C27</f>
        <v>30000</v>
      </c>
      <c r="G52" s="75">
        <f t="shared" si="12"/>
        <v>30000</v>
      </c>
      <c r="H52" s="75">
        <f t="shared" si="12"/>
        <v>20000</v>
      </c>
      <c r="I52" s="75">
        <f t="shared" si="12"/>
        <v>0</v>
      </c>
      <c r="J52" s="75">
        <f t="shared" si="12"/>
        <v>0</v>
      </c>
      <c r="K52" s="75">
        <f t="shared" si="12"/>
        <v>0</v>
      </c>
      <c r="L52" s="75">
        <f t="shared" si="12"/>
        <v>0</v>
      </c>
      <c r="M52" s="75">
        <f t="shared" si="12"/>
        <v>0</v>
      </c>
      <c r="N52" s="75">
        <f t="shared" si="12"/>
        <v>0</v>
      </c>
      <c r="O52" s="75">
        <f t="shared" si="12"/>
        <v>0</v>
      </c>
      <c r="P52" s="75">
        <f t="shared" si="12"/>
        <v>0</v>
      </c>
      <c r="Q52" s="75">
        <f t="shared" si="12"/>
        <v>0</v>
      </c>
      <c r="R52" s="75">
        <f t="shared" si="12"/>
        <v>0</v>
      </c>
      <c r="S52" s="75">
        <f t="shared" si="12"/>
        <v>0</v>
      </c>
      <c r="T52" s="75">
        <f t="shared" si="12"/>
        <v>0</v>
      </c>
      <c r="U52" s="75">
        <f t="shared" si="12"/>
        <v>0</v>
      </c>
      <c r="V52" s="75">
        <f t="shared" si="12"/>
        <v>0</v>
      </c>
      <c r="W52" s="75">
        <f t="shared" si="12"/>
        <v>0</v>
      </c>
      <c r="X52" s="75">
        <f t="shared" si="12"/>
        <v>0</v>
      </c>
      <c r="Y52" s="75">
        <f t="shared" si="12"/>
        <v>0</v>
      </c>
      <c r="Z52" s="75">
        <f t="shared" si="12"/>
        <v>0</v>
      </c>
      <c r="AA52" s="75">
        <f t="shared" si="12"/>
        <v>0</v>
      </c>
      <c r="AB52" s="75">
        <f t="shared" si="12"/>
        <v>0</v>
      </c>
      <c r="AC52" s="89">
        <f>SUM(D52:AB52)</f>
        <v>100000</v>
      </c>
    </row>
    <row r="53" spans="2:29" x14ac:dyDescent="0.25">
      <c r="B53" s="47" t="s">
        <v>120</v>
      </c>
      <c r="C53" s="47"/>
      <c r="D53" s="75">
        <f>D51+D52</f>
        <v>0</v>
      </c>
      <c r="E53" s="75">
        <f t="shared" ref="E53:AB53" si="13">E51+E52</f>
        <v>24800</v>
      </c>
      <c r="F53" s="75">
        <f t="shared" si="13"/>
        <v>37200</v>
      </c>
      <c r="G53" s="75">
        <f t="shared" si="13"/>
        <v>37200</v>
      </c>
      <c r="H53" s="75">
        <f t="shared" si="13"/>
        <v>24800</v>
      </c>
      <c r="I53" s="75">
        <f t="shared" si="13"/>
        <v>0</v>
      </c>
      <c r="J53" s="103">
        <f t="shared" si="13"/>
        <v>0</v>
      </c>
      <c r="K53" s="75">
        <f t="shared" si="13"/>
        <v>0</v>
      </c>
      <c r="L53" s="75">
        <f t="shared" si="13"/>
        <v>0</v>
      </c>
      <c r="M53" s="75">
        <f t="shared" si="13"/>
        <v>0</v>
      </c>
      <c r="N53" s="75">
        <f t="shared" si="13"/>
        <v>0</v>
      </c>
      <c r="O53" s="75">
        <f t="shared" si="13"/>
        <v>0</v>
      </c>
      <c r="P53" s="75">
        <f t="shared" si="13"/>
        <v>0</v>
      </c>
      <c r="Q53" s="75">
        <f t="shared" si="13"/>
        <v>0</v>
      </c>
      <c r="R53" s="75">
        <f t="shared" si="13"/>
        <v>0</v>
      </c>
      <c r="S53" s="75">
        <f t="shared" si="13"/>
        <v>0</v>
      </c>
      <c r="T53" s="75">
        <f t="shared" si="13"/>
        <v>0</v>
      </c>
      <c r="U53" s="75">
        <f t="shared" si="13"/>
        <v>0</v>
      </c>
      <c r="V53" s="75">
        <f t="shared" si="13"/>
        <v>0</v>
      </c>
      <c r="W53" s="75">
        <f t="shared" si="13"/>
        <v>0</v>
      </c>
      <c r="X53" s="75">
        <f t="shared" si="13"/>
        <v>0</v>
      </c>
      <c r="Y53" s="75">
        <f t="shared" si="13"/>
        <v>0</v>
      </c>
      <c r="Z53" s="75">
        <f t="shared" si="13"/>
        <v>0</v>
      </c>
      <c r="AA53" s="75">
        <f t="shared" si="13"/>
        <v>0</v>
      </c>
      <c r="AB53" s="75">
        <f t="shared" si="13"/>
        <v>0</v>
      </c>
      <c r="AC53" s="89">
        <f>SUM(D53:AB53)</f>
        <v>124000</v>
      </c>
    </row>
    <row r="54" spans="2:29" x14ac:dyDescent="0.25">
      <c r="B54" s="47" t="s">
        <v>86</v>
      </c>
      <c r="C54" s="47"/>
      <c r="D54" s="75">
        <f>D49+D50-D53</f>
        <v>0</v>
      </c>
      <c r="E54" s="75">
        <f>E49+E50-E53+E51</f>
        <v>0</v>
      </c>
      <c r="F54" s="75">
        <f t="shared" ref="F54:AB54" si="14">F49+F50-F53+F51</f>
        <v>0</v>
      </c>
      <c r="G54" s="75">
        <f t="shared" si="14"/>
        <v>0</v>
      </c>
      <c r="H54" s="75">
        <f t="shared" si="14"/>
        <v>0</v>
      </c>
      <c r="I54" s="75">
        <f t="shared" si="14"/>
        <v>0</v>
      </c>
      <c r="J54" s="103">
        <f t="shared" si="14"/>
        <v>0</v>
      </c>
      <c r="K54" s="75">
        <f t="shared" si="14"/>
        <v>0</v>
      </c>
      <c r="L54" s="75">
        <f t="shared" si="14"/>
        <v>0</v>
      </c>
      <c r="M54" s="75">
        <f t="shared" si="14"/>
        <v>0</v>
      </c>
      <c r="N54" s="75">
        <f t="shared" si="14"/>
        <v>0</v>
      </c>
      <c r="O54" s="75">
        <f t="shared" si="14"/>
        <v>0</v>
      </c>
      <c r="P54" s="75">
        <f t="shared" si="14"/>
        <v>0</v>
      </c>
      <c r="Q54" s="75">
        <f t="shared" si="14"/>
        <v>0</v>
      </c>
      <c r="R54" s="75">
        <f t="shared" si="14"/>
        <v>0</v>
      </c>
      <c r="S54" s="75">
        <f t="shared" si="14"/>
        <v>0</v>
      </c>
      <c r="T54" s="75">
        <f t="shared" si="14"/>
        <v>0</v>
      </c>
      <c r="U54" s="75">
        <f t="shared" si="14"/>
        <v>0</v>
      </c>
      <c r="V54" s="75">
        <f t="shared" si="14"/>
        <v>0</v>
      </c>
      <c r="W54" s="75">
        <f t="shared" si="14"/>
        <v>0</v>
      </c>
      <c r="X54" s="75">
        <f t="shared" si="14"/>
        <v>0</v>
      </c>
      <c r="Y54" s="75">
        <f t="shared" si="14"/>
        <v>0</v>
      </c>
      <c r="Z54" s="75">
        <f t="shared" si="14"/>
        <v>0</v>
      </c>
      <c r="AA54" s="75">
        <f t="shared" si="14"/>
        <v>0</v>
      </c>
      <c r="AB54" s="75">
        <f t="shared" si="14"/>
        <v>0</v>
      </c>
      <c r="AC54" s="89"/>
    </row>
    <row r="55" spans="2:29" x14ac:dyDescent="0.25">
      <c r="C55" s="72"/>
      <c r="D55" s="73"/>
      <c r="E55" s="73"/>
      <c r="F55" s="73"/>
      <c r="G55" s="73"/>
      <c r="H55" s="73"/>
      <c r="I55" s="73"/>
      <c r="J55" s="73"/>
      <c r="K55" s="73"/>
      <c r="L55" s="73"/>
      <c r="M55" s="73"/>
      <c r="N55" s="73"/>
      <c r="O55" s="73"/>
      <c r="P55" s="73"/>
      <c r="Q55" s="73"/>
      <c r="R55" s="73"/>
      <c r="S55" s="73"/>
      <c r="T55" s="73"/>
      <c r="U55" s="73"/>
      <c r="V55" s="73"/>
      <c r="W55" s="73"/>
    </row>
    <row r="56" spans="2:29" hidden="1" x14ac:dyDescent="0.25">
      <c r="B56" s="44" t="s">
        <v>88</v>
      </c>
      <c r="C56" s="71"/>
      <c r="T56" s="73"/>
      <c r="U56" s="73"/>
      <c r="V56" s="73"/>
      <c r="W56" s="73"/>
    </row>
    <row r="57" spans="2:29" hidden="1" x14ac:dyDescent="0.25">
      <c r="B57" s="44"/>
      <c r="C57" s="71"/>
      <c r="T57" s="73"/>
      <c r="U57" s="73"/>
      <c r="V57" s="73"/>
      <c r="W57" s="73"/>
    </row>
    <row r="58" spans="2:29" hidden="1" x14ac:dyDescent="0.25">
      <c r="B58" s="99" t="s">
        <v>90</v>
      </c>
      <c r="C58" s="8" t="s">
        <v>19</v>
      </c>
      <c r="D58" s="15">
        <v>0</v>
      </c>
      <c r="E58" s="15">
        <v>1</v>
      </c>
      <c r="F58" s="15">
        <v>2</v>
      </c>
      <c r="G58" s="15">
        <v>3</v>
      </c>
      <c r="H58" s="15">
        <v>4</v>
      </c>
      <c r="I58" s="15">
        <v>5</v>
      </c>
      <c r="J58" s="15">
        <v>6</v>
      </c>
      <c r="K58" s="15">
        <v>7</v>
      </c>
      <c r="L58" s="15">
        <v>8</v>
      </c>
      <c r="M58" s="15">
        <v>9</v>
      </c>
      <c r="N58" s="15">
        <v>10</v>
      </c>
      <c r="O58" s="15">
        <v>11</v>
      </c>
      <c r="P58" s="15">
        <v>12</v>
      </c>
      <c r="Q58" s="15">
        <v>13</v>
      </c>
      <c r="R58" s="15">
        <v>14</v>
      </c>
      <c r="S58" s="15">
        <v>15</v>
      </c>
      <c r="T58" s="15">
        <v>16</v>
      </c>
      <c r="U58" s="15">
        <v>17</v>
      </c>
      <c r="V58" s="15">
        <v>18</v>
      </c>
      <c r="W58" s="15">
        <v>19</v>
      </c>
      <c r="X58" s="15">
        <v>20</v>
      </c>
      <c r="Y58" s="15">
        <v>21</v>
      </c>
      <c r="Z58" s="15">
        <v>22</v>
      </c>
      <c r="AA58" s="15">
        <v>23</v>
      </c>
      <c r="AB58" s="15">
        <v>24</v>
      </c>
    </row>
    <row r="59" spans="2:29" hidden="1" x14ac:dyDescent="0.25">
      <c r="B59" s="47" t="s">
        <v>83</v>
      </c>
      <c r="C59" s="47"/>
      <c r="D59" s="75"/>
      <c r="E59" s="75">
        <f>D64</f>
        <v>0</v>
      </c>
      <c r="F59" s="75">
        <f t="shared" ref="F59:AB59" si="15">E64</f>
        <v>-18000</v>
      </c>
      <c r="G59" s="75">
        <f t="shared" si="15"/>
        <v>-45000</v>
      </c>
      <c r="H59" s="75">
        <f t="shared" si="15"/>
        <v>-71000</v>
      </c>
      <c r="I59" s="75">
        <f t="shared" si="15"/>
        <v>-90000</v>
      </c>
      <c r="J59" s="103">
        <f t="shared" si="15"/>
        <v>-90000</v>
      </c>
      <c r="K59" s="75">
        <f t="shared" si="15"/>
        <v>-90000</v>
      </c>
      <c r="L59" s="75">
        <f t="shared" si="15"/>
        <v>-90000</v>
      </c>
      <c r="M59" s="75">
        <f t="shared" si="15"/>
        <v>-90000</v>
      </c>
      <c r="N59" s="75">
        <f t="shared" si="15"/>
        <v>-90000</v>
      </c>
      <c r="O59" s="75">
        <f t="shared" si="15"/>
        <v>-90000</v>
      </c>
      <c r="P59" s="75">
        <f t="shared" si="15"/>
        <v>-90000</v>
      </c>
      <c r="Q59" s="75">
        <f t="shared" si="15"/>
        <v>-90000</v>
      </c>
      <c r="R59" s="75">
        <f t="shared" si="15"/>
        <v>-90000</v>
      </c>
      <c r="S59" s="75">
        <f t="shared" si="15"/>
        <v>-90000</v>
      </c>
      <c r="T59" s="75">
        <f t="shared" si="15"/>
        <v>-90000</v>
      </c>
      <c r="U59" s="75">
        <f t="shared" si="15"/>
        <v>-90000</v>
      </c>
      <c r="V59" s="75">
        <f t="shared" si="15"/>
        <v>-90000</v>
      </c>
      <c r="W59" s="75">
        <f t="shared" si="15"/>
        <v>-90000</v>
      </c>
      <c r="X59" s="75">
        <f t="shared" si="15"/>
        <v>-90000</v>
      </c>
      <c r="Y59" s="75">
        <f t="shared" si="15"/>
        <v>-90000</v>
      </c>
      <c r="Z59" s="75">
        <f t="shared" si="15"/>
        <v>-90000</v>
      </c>
      <c r="AA59" s="75">
        <f t="shared" si="15"/>
        <v>-90000</v>
      </c>
      <c r="AB59" s="75">
        <f t="shared" si="15"/>
        <v>-90000</v>
      </c>
      <c r="AC59" s="89"/>
    </row>
    <row r="60" spans="2:29" hidden="1" x14ac:dyDescent="0.25">
      <c r="B60" s="67" t="s">
        <v>84</v>
      </c>
      <c r="C60" s="47"/>
      <c r="D60" s="74">
        <f t="shared" ref="D60:AB60" si="16">$C29*D6</f>
        <v>0</v>
      </c>
      <c r="E60" s="74">
        <f t="shared" si="16"/>
        <v>2000</v>
      </c>
      <c r="F60" s="74">
        <f t="shared" si="16"/>
        <v>3000</v>
      </c>
      <c r="G60" s="74">
        <f t="shared" si="16"/>
        <v>4000</v>
      </c>
      <c r="H60" s="74">
        <f t="shared" si="16"/>
        <v>1000</v>
      </c>
      <c r="I60" s="74">
        <f t="shared" si="16"/>
        <v>0</v>
      </c>
      <c r="J60" s="74">
        <f t="shared" si="16"/>
        <v>0</v>
      </c>
      <c r="K60" s="74">
        <f t="shared" si="16"/>
        <v>0</v>
      </c>
      <c r="L60" s="74">
        <f t="shared" si="16"/>
        <v>0</v>
      </c>
      <c r="M60" s="74">
        <f t="shared" si="16"/>
        <v>0</v>
      </c>
      <c r="N60" s="74">
        <f t="shared" si="16"/>
        <v>0</v>
      </c>
      <c r="O60" s="74">
        <f t="shared" si="16"/>
        <v>0</v>
      </c>
      <c r="P60" s="74">
        <f t="shared" si="16"/>
        <v>0</v>
      </c>
      <c r="Q60" s="74">
        <f t="shared" si="16"/>
        <v>0</v>
      </c>
      <c r="R60" s="74">
        <f t="shared" si="16"/>
        <v>0</v>
      </c>
      <c r="S60" s="74">
        <f t="shared" si="16"/>
        <v>0</v>
      </c>
      <c r="T60" s="74">
        <f t="shared" si="16"/>
        <v>0</v>
      </c>
      <c r="U60" s="74">
        <f t="shared" si="16"/>
        <v>0</v>
      </c>
      <c r="V60" s="74">
        <f t="shared" si="16"/>
        <v>0</v>
      </c>
      <c r="W60" s="74">
        <f t="shared" si="16"/>
        <v>0</v>
      </c>
      <c r="X60" s="74">
        <f t="shared" si="16"/>
        <v>0</v>
      </c>
      <c r="Y60" s="74">
        <f t="shared" si="16"/>
        <v>0</v>
      </c>
      <c r="Z60" s="74">
        <f t="shared" si="16"/>
        <v>0</v>
      </c>
      <c r="AA60" s="74">
        <f t="shared" si="16"/>
        <v>0</v>
      </c>
      <c r="AB60" s="74">
        <f t="shared" si="16"/>
        <v>0</v>
      </c>
      <c r="AC60" s="89">
        <f>SUM(D60:AB60)</f>
        <v>10000</v>
      </c>
    </row>
    <row r="61" spans="2:29" hidden="1" x14ac:dyDescent="0.25">
      <c r="B61" s="47" t="s">
        <v>85</v>
      </c>
      <c r="C61" s="47"/>
      <c r="D61" s="75">
        <v>0</v>
      </c>
      <c r="E61" s="75">
        <f t="shared" ref="E61:AB61" si="17">E59*$D164</f>
        <v>0</v>
      </c>
      <c r="F61" s="75">
        <f t="shared" si="17"/>
        <v>-4320</v>
      </c>
      <c r="G61" s="75">
        <f t="shared" si="17"/>
        <v>-10800</v>
      </c>
      <c r="H61" s="75">
        <f t="shared" si="17"/>
        <v>-17040</v>
      </c>
      <c r="I61" s="75">
        <f t="shared" si="17"/>
        <v>-21600</v>
      </c>
      <c r="J61" s="75">
        <f t="shared" si="17"/>
        <v>-21600</v>
      </c>
      <c r="K61" s="75">
        <f t="shared" si="17"/>
        <v>-21600</v>
      </c>
      <c r="L61" s="75">
        <f t="shared" si="17"/>
        <v>-21600</v>
      </c>
      <c r="M61" s="75">
        <f t="shared" si="17"/>
        <v>-21600</v>
      </c>
      <c r="N61" s="75">
        <f t="shared" si="17"/>
        <v>-21600</v>
      </c>
      <c r="O61" s="75">
        <f t="shared" si="17"/>
        <v>-21600</v>
      </c>
      <c r="P61" s="75">
        <f t="shared" si="17"/>
        <v>-21600</v>
      </c>
      <c r="Q61" s="75">
        <f t="shared" si="17"/>
        <v>-21600</v>
      </c>
      <c r="R61" s="75">
        <f t="shared" si="17"/>
        <v>-21600</v>
      </c>
      <c r="S61" s="75">
        <f t="shared" si="17"/>
        <v>-21600</v>
      </c>
      <c r="T61" s="75">
        <f t="shared" si="17"/>
        <v>-21600</v>
      </c>
      <c r="U61" s="75">
        <f t="shared" si="17"/>
        <v>-21600</v>
      </c>
      <c r="V61" s="75">
        <f t="shared" si="17"/>
        <v>-21600</v>
      </c>
      <c r="W61" s="75">
        <f t="shared" si="17"/>
        <v>-21600</v>
      </c>
      <c r="X61" s="75">
        <f t="shared" si="17"/>
        <v>-21600</v>
      </c>
      <c r="Y61" s="75">
        <f t="shared" si="17"/>
        <v>-21600</v>
      </c>
      <c r="Z61" s="75">
        <f t="shared" si="17"/>
        <v>-21600</v>
      </c>
      <c r="AA61" s="75">
        <f t="shared" si="17"/>
        <v>-21600</v>
      </c>
      <c r="AB61" s="75">
        <f t="shared" si="17"/>
        <v>-21600</v>
      </c>
      <c r="AC61" s="89">
        <f>SUM(D61:AB61)</f>
        <v>-464160</v>
      </c>
    </row>
    <row r="62" spans="2:29" hidden="1" x14ac:dyDescent="0.25">
      <c r="B62" s="47" t="s">
        <v>87</v>
      </c>
      <c r="C62" s="47"/>
      <c r="D62" s="75">
        <f>D52</f>
        <v>0</v>
      </c>
      <c r="E62" s="75">
        <f t="shared" ref="E62:AB62" si="18">E52</f>
        <v>20000</v>
      </c>
      <c r="F62" s="75">
        <f t="shared" si="18"/>
        <v>30000</v>
      </c>
      <c r="G62" s="75">
        <f t="shared" si="18"/>
        <v>30000</v>
      </c>
      <c r="H62" s="75">
        <f t="shared" si="18"/>
        <v>20000</v>
      </c>
      <c r="I62" s="75">
        <f t="shared" si="18"/>
        <v>0</v>
      </c>
      <c r="J62" s="75">
        <f t="shared" si="18"/>
        <v>0</v>
      </c>
      <c r="K62" s="75">
        <f t="shared" si="18"/>
        <v>0</v>
      </c>
      <c r="L62" s="75">
        <f t="shared" si="18"/>
        <v>0</v>
      </c>
      <c r="M62" s="75">
        <f t="shared" si="18"/>
        <v>0</v>
      </c>
      <c r="N62" s="75">
        <f t="shared" si="18"/>
        <v>0</v>
      </c>
      <c r="O62" s="75">
        <f t="shared" si="18"/>
        <v>0</v>
      </c>
      <c r="P62" s="75">
        <f t="shared" si="18"/>
        <v>0</v>
      </c>
      <c r="Q62" s="75">
        <f t="shared" si="18"/>
        <v>0</v>
      </c>
      <c r="R62" s="75">
        <f t="shared" si="18"/>
        <v>0</v>
      </c>
      <c r="S62" s="75">
        <f t="shared" si="18"/>
        <v>0</v>
      </c>
      <c r="T62" s="75">
        <f t="shared" si="18"/>
        <v>0</v>
      </c>
      <c r="U62" s="75">
        <f t="shared" si="18"/>
        <v>0</v>
      </c>
      <c r="V62" s="75">
        <f t="shared" si="18"/>
        <v>0</v>
      </c>
      <c r="W62" s="75">
        <f t="shared" si="18"/>
        <v>0</v>
      </c>
      <c r="X62" s="75">
        <f t="shared" si="18"/>
        <v>0</v>
      </c>
      <c r="Y62" s="75">
        <f t="shared" si="18"/>
        <v>0</v>
      </c>
      <c r="Z62" s="75">
        <f t="shared" si="18"/>
        <v>0</v>
      </c>
      <c r="AA62" s="75">
        <f t="shared" si="18"/>
        <v>0</v>
      </c>
      <c r="AB62" s="75">
        <f t="shared" si="18"/>
        <v>0</v>
      </c>
      <c r="AC62" s="89">
        <f>SUM(D62:AB62)</f>
        <v>100000</v>
      </c>
    </row>
    <row r="63" spans="2:29" hidden="1" x14ac:dyDescent="0.25">
      <c r="B63" s="47" t="s">
        <v>120</v>
      </c>
      <c r="C63" s="47"/>
      <c r="D63" s="75">
        <f>D61+D62</f>
        <v>0</v>
      </c>
      <c r="E63" s="75">
        <f t="shared" ref="E63:AB63" si="19">E61+E62</f>
        <v>20000</v>
      </c>
      <c r="F63" s="75">
        <f t="shared" si="19"/>
        <v>25680</v>
      </c>
      <c r="G63" s="75">
        <f t="shared" si="19"/>
        <v>19200</v>
      </c>
      <c r="H63" s="75">
        <f t="shared" si="19"/>
        <v>2960</v>
      </c>
      <c r="I63" s="75">
        <f t="shared" si="19"/>
        <v>-21600</v>
      </c>
      <c r="J63" s="103">
        <f t="shared" si="19"/>
        <v>-21600</v>
      </c>
      <c r="K63" s="75">
        <f t="shared" si="19"/>
        <v>-21600</v>
      </c>
      <c r="L63" s="75">
        <f t="shared" si="19"/>
        <v>-21600</v>
      </c>
      <c r="M63" s="75">
        <f t="shared" si="19"/>
        <v>-21600</v>
      </c>
      <c r="N63" s="75">
        <f t="shared" si="19"/>
        <v>-21600</v>
      </c>
      <c r="O63" s="75">
        <f t="shared" si="19"/>
        <v>-21600</v>
      </c>
      <c r="P63" s="75">
        <f t="shared" si="19"/>
        <v>-21600</v>
      </c>
      <c r="Q63" s="75">
        <f t="shared" si="19"/>
        <v>-21600</v>
      </c>
      <c r="R63" s="75">
        <f t="shared" si="19"/>
        <v>-21600</v>
      </c>
      <c r="S63" s="75">
        <f t="shared" si="19"/>
        <v>-21600</v>
      </c>
      <c r="T63" s="75">
        <f t="shared" si="19"/>
        <v>-21600</v>
      </c>
      <c r="U63" s="75">
        <f t="shared" si="19"/>
        <v>-21600</v>
      </c>
      <c r="V63" s="75">
        <f t="shared" si="19"/>
        <v>-21600</v>
      </c>
      <c r="W63" s="75">
        <f t="shared" si="19"/>
        <v>-21600</v>
      </c>
      <c r="X63" s="75">
        <f t="shared" si="19"/>
        <v>-21600</v>
      </c>
      <c r="Y63" s="75">
        <f t="shared" si="19"/>
        <v>-21600</v>
      </c>
      <c r="Z63" s="75">
        <f t="shared" si="19"/>
        <v>-21600</v>
      </c>
      <c r="AA63" s="75">
        <f t="shared" si="19"/>
        <v>-21600</v>
      </c>
      <c r="AB63" s="75">
        <f t="shared" si="19"/>
        <v>-21600</v>
      </c>
      <c r="AC63" s="89">
        <f>SUM(D63:AB63)</f>
        <v>-364160</v>
      </c>
    </row>
    <row r="64" spans="2:29" hidden="1" x14ac:dyDescent="0.25">
      <c r="B64" s="47" t="s">
        <v>86</v>
      </c>
      <c r="C64" s="47"/>
      <c r="D64" s="75">
        <f>D59+D60-D63</f>
        <v>0</v>
      </c>
      <c r="E64" s="75">
        <f>E59+E60-E63+E61</f>
        <v>-18000</v>
      </c>
      <c r="F64" s="75">
        <f t="shared" ref="F64:AB64" si="20">F59+F60-F63+F61</f>
        <v>-45000</v>
      </c>
      <c r="G64" s="75">
        <f t="shared" si="20"/>
        <v>-71000</v>
      </c>
      <c r="H64" s="75">
        <f t="shared" si="20"/>
        <v>-90000</v>
      </c>
      <c r="I64" s="75">
        <f t="shared" si="20"/>
        <v>-90000</v>
      </c>
      <c r="J64" s="103">
        <f t="shared" si="20"/>
        <v>-90000</v>
      </c>
      <c r="K64" s="75">
        <f t="shared" si="20"/>
        <v>-90000</v>
      </c>
      <c r="L64" s="75">
        <f t="shared" si="20"/>
        <v>-90000</v>
      </c>
      <c r="M64" s="75">
        <f t="shared" si="20"/>
        <v>-90000</v>
      </c>
      <c r="N64" s="75">
        <f t="shared" si="20"/>
        <v>-90000</v>
      </c>
      <c r="O64" s="75">
        <f t="shared" si="20"/>
        <v>-90000</v>
      </c>
      <c r="P64" s="75">
        <f t="shared" si="20"/>
        <v>-90000</v>
      </c>
      <c r="Q64" s="75">
        <f t="shared" si="20"/>
        <v>-90000</v>
      </c>
      <c r="R64" s="75">
        <f t="shared" si="20"/>
        <v>-90000</v>
      </c>
      <c r="S64" s="75">
        <f t="shared" si="20"/>
        <v>-90000</v>
      </c>
      <c r="T64" s="75">
        <f t="shared" si="20"/>
        <v>-90000</v>
      </c>
      <c r="U64" s="75">
        <f t="shared" si="20"/>
        <v>-90000</v>
      </c>
      <c r="V64" s="75">
        <f t="shared" si="20"/>
        <v>-90000</v>
      </c>
      <c r="W64" s="75">
        <f t="shared" si="20"/>
        <v>-90000</v>
      </c>
      <c r="X64" s="75">
        <f t="shared" si="20"/>
        <v>-90000</v>
      </c>
      <c r="Y64" s="75">
        <f t="shared" si="20"/>
        <v>-90000</v>
      </c>
      <c r="Z64" s="75">
        <f t="shared" si="20"/>
        <v>-90000</v>
      </c>
      <c r="AA64" s="75">
        <f t="shared" si="20"/>
        <v>-90000</v>
      </c>
      <c r="AB64" s="75">
        <f t="shared" si="20"/>
        <v>-90000</v>
      </c>
      <c r="AC64" s="89"/>
    </row>
    <row r="65" spans="1:29" hidden="1" x14ac:dyDescent="0.25">
      <c r="B65" s="99"/>
      <c r="C65" s="8"/>
      <c r="D65" s="15"/>
      <c r="E65" s="15"/>
      <c r="F65" s="15"/>
      <c r="G65" s="15"/>
      <c r="H65" s="15"/>
      <c r="I65" s="15"/>
      <c r="J65" s="15"/>
      <c r="K65" s="15"/>
      <c r="L65" s="15"/>
      <c r="M65" s="15"/>
      <c r="N65" s="15"/>
      <c r="O65" s="15"/>
      <c r="P65" s="15"/>
      <c r="Q65" s="15"/>
      <c r="R65" s="15"/>
      <c r="S65" s="15"/>
      <c r="T65" s="15"/>
      <c r="U65" s="15"/>
      <c r="V65" s="15"/>
      <c r="W65" s="15"/>
      <c r="X65" s="15"/>
      <c r="Y65" s="15"/>
      <c r="Z65" s="15"/>
      <c r="AA65" s="15"/>
      <c r="AB65" s="15"/>
    </row>
    <row r="66" spans="1:29" hidden="1" x14ac:dyDescent="0.25">
      <c r="B66" s="44" t="s">
        <v>89</v>
      </c>
      <c r="C66" s="71"/>
      <c r="T66" s="73"/>
      <c r="U66" s="73"/>
      <c r="V66" s="73"/>
      <c r="W66" s="73"/>
    </row>
    <row r="67" spans="1:29" hidden="1" x14ac:dyDescent="0.25">
      <c r="B67" s="99" t="s">
        <v>90</v>
      </c>
      <c r="C67" s="71"/>
      <c r="T67" s="73"/>
      <c r="U67" s="73"/>
      <c r="V67" s="73"/>
      <c r="W67" s="73"/>
    </row>
    <row r="68" spans="1:29" hidden="1" x14ac:dyDescent="0.25">
      <c r="B68" s="47" t="s">
        <v>83</v>
      </c>
      <c r="C68" s="47"/>
      <c r="D68" s="75"/>
      <c r="E68" s="75">
        <f>D73</f>
        <v>0</v>
      </c>
      <c r="F68" s="75">
        <f t="shared" ref="F68:AB68" si="21">E73</f>
        <v>-18000</v>
      </c>
      <c r="G68" s="75">
        <f t="shared" si="21"/>
        <v>-45000</v>
      </c>
      <c r="H68" s="75">
        <f t="shared" si="21"/>
        <v>-71000</v>
      </c>
      <c r="I68" s="75">
        <f t="shared" si="21"/>
        <v>-90000</v>
      </c>
      <c r="J68" s="103">
        <f t="shared" si="21"/>
        <v>-90000</v>
      </c>
      <c r="K68" s="75">
        <f t="shared" si="21"/>
        <v>-90000</v>
      </c>
      <c r="L68" s="75">
        <f t="shared" si="21"/>
        <v>-90000</v>
      </c>
      <c r="M68" s="75">
        <f t="shared" si="21"/>
        <v>-90000</v>
      </c>
      <c r="N68" s="75">
        <f t="shared" si="21"/>
        <v>-90000</v>
      </c>
      <c r="O68" s="75">
        <f t="shared" si="21"/>
        <v>-90000</v>
      </c>
      <c r="P68" s="75">
        <f t="shared" si="21"/>
        <v>-90000</v>
      </c>
      <c r="Q68" s="75">
        <f t="shared" si="21"/>
        <v>-90000</v>
      </c>
      <c r="R68" s="75">
        <f t="shared" si="21"/>
        <v>-90000</v>
      </c>
      <c r="S68" s="75">
        <f t="shared" si="21"/>
        <v>-90000</v>
      </c>
      <c r="T68" s="75">
        <f t="shared" si="21"/>
        <v>-90000</v>
      </c>
      <c r="U68" s="75">
        <f t="shared" si="21"/>
        <v>-90000</v>
      </c>
      <c r="V68" s="75">
        <f t="shared" si="21"/>
        <v>-90000</v>
      </c>
      <c r="W68" s="75">
        <f t="shared" si="21"/>
        <v>-90000</v>
      </c>
      <c r="X68" s="75">
        <f t="shared" si="21"/>
        <v>-90000</v>
      </c>
      <c r="Y68" s="75">
        <f t="shared" si="21"/>
        <v>-90000</v>
      </c>
      <c r="Z68" s="75">
        <f t="shared" si="21"/>
        <v>-90000</v>
      </c>
      <c r="AA68" s="75">
        <f t="shared" si="21"/>
        <v>-90000</v>
      </c>
      <c r="AB68" s="75">
        <f t="shared" si="21"/>
        <v>-90000</v>
      </c>
      <c r="AC68" s="89"/>
    </row>
    <row r="69" spans="1:29" hidden="1" x14ac:dyDescent="0.25">
      <c r="B69" s="67" t="s">
        <v>84</v>
      </c>
      <c r="C69" s="47"/>
      <c r="D69" s="74">
        <f>$C60*D47</f>
        <v>0</v>
      </c>
      <c r="E69" s="74">
        <f t="shared" ref="E69:AB69" si="22">$C29*E6</f>
        <v>2000</v>
      </c>
      <c r="F69" s="74">
        <f t="shared" si="22"/>
        <v>3000</v>
      </c>
      <c r="G69" s="74">
        <f t="shared" si="22"/>
        <v>4000</v>
      </c>
      <c r="H69" s="74">
        <f t="shared" si="22"/>
        <v>1000</v>
      </c>
      <c r="I69" s="74">
        <f t="shared" si="22"/>
        <v>0</v>
      </c>
      <c r="J69" s="74">
        <f t="shared" si="22"/>
        <v>0</v>
      </c>
      <c r="K69" s="74">
        <f t="shared" si="22"/>
        <v>0</v>
      </c>
      <c r="L69" s="74">
        <f t="shared" si="22"/>
        <v>0</v>
      </c>
      <c r="M69" s="74">
        <f t="shared" si="22"/>
        <v>0</v>
      </c>
      <c r="N69" s="74">
        <f t="shared" si="22"/>
        <v>0</v>
      </c>
      <c r="O69" s="74">
        <f t="shared" si="22"/>
        <v>0</v>
      </c>
      <c r="P69" s="74">
        <f t="shared" si="22"/>
        <v>0</v>
      </c>
      <c r="Q69" s="74">
        <f t="shared" si="22"/>
        <v>0</v>
      </c>
      <c r="R69" s="74">
        <f t="shared" si="22"/>
        <v>0</v>
      </c>
      <c r="S69" s="74">
        <f t="shared" si="22"/>
        <v>0</v>
      </c>
      <c r="T69" s="74">
        <f t="shared" si="22"/>
        <v>0</v>
      </c>
      <c r="U69" s="74">
        <f t="shared" si="22"/>
        <v>0</v>
      </c>
      <c r="V69" s="74">
        <f t="shared" si="22"/>
        <v>0</v>
      </c>
      <c r="W69" s="74">
        <f t="shared" si="22"/>
        <v>0</v>
      </c>
      <c r="X69" s="74">
        <f t="shared" si="22"/>
        <v>0</v>
      </c>
      <c r="Y69" s="74">
        <f t="shared" si="22"/>
        <v>0</v>
      </c>
      <c r="Z69" s="74">
        <f t="shared" si="22"/>
        <v>0</v>
      </c>
      <c r="AA69" s="74">
        <f t="shared" si="22"/>
        <v>0</v>
      </c>
      <c r="AB69" s="74">
        <f t="shared" si="22"/>
        <v>0</v>
      </c>
      <c r="AC69" s="89">
        <f>SUM(D69:AB69)</f>
        <v>10000</v>
      </c>
    </row>
    <row r="70" spans="1:29" hidden="1" x14ac:dyDescent="0.25">
      <c r="B70" s="47" t="s">
        <v>85</v>
      </c>
      <c r="C70" s="47"/>
      <c r="D70" s="75">
        <v>0</v>
      </c>
      <c r="E70" s="75">
        <f t="shared" ref="E70:AB70" si="23">E68*$D164</f>
        <v>0</v>
      </c>
      <c r="F70" s="75">
        <f t="shared" si="23"/>
        <v>-4320</v>
      </c>
      <c r="G70" s="75">
        <f t="shared" si="23"/>
        <v>-10800</v>
      </c>
      <c r="H70" s="75">
        <f t="shared" si="23"/>
        <v>-17040</v>
      </c>
      <c r="I70" s="75">
        <f t="shared" si="23"/>
        <v>-21600</v>
      </c>
      <c r="J70" s="75">
        <f t="shared" si="23"/>
        <v>-21600</v>
      </c>
      <c r="K70" s="75">
        <f t="shared" si="23"/>
        <v>-21600</v>
      </c>
      <c r="L70" s="75">
        <f t="shared" si="23"/>
        <v>-21600</v>
      </c>
      <c r="M70" s="75">
        <f t="shared" si="23"/>
        <v>-21600</v>
      </c>
      <c r="N70" s="75">
        <f t="shared" si="23"/>
        <v>-21600</v>
      </c>
      <c r="O70" s="75">
        <f t="shared" si="23"/>
        <v>-21600</v>
      </c>
      <c r="P70" s="75">
        <f t="shared" si="23"/>
        <v>-21600</v>
      </c>
      <c r="Q70" s="75">
        <f t="shared" si="23"/>
        <v>-21600</v>
      </c>
      <c r="R70" s="75">
        <f t="shared" si="23"/>
        <v>-21600</v>
      </c>
      <c r="S70" s="75">
        <f t="shared" si="23"/>
        <v>-21600</v>
      </c>
      <c r="T70" s="75">
        <f t="shared" si="23"/>
        <v>-21600</v>
      </c>
      <c r="U70" s="75">
        <f t="shared" si="23"/>
        <v>-21600</v>
      </c>
      <c r="V70" s="75">
        <f t="shared" si="23"/>
        <v>-21600</v>
      </c>
      <c r="W70" s="75">
        <f t="shared" si="23"/>
        <v>-21600</v>
      </c>
      <c r="X70" s="75">
        <f t="shared" si="23"/>
        <v>-21600</v>
      </c>
      <c r="Y70" s="75">
        <f t="shared" si="23"/>
        <v>-21600</v>
      </c>
      <c r="Z70" s="75">
        <f t="shared" si="23"/>
        <v>-21600</v>
      </c>
      <c r="AA70" s="75">
        <f t="shared" si="23"/>
        <v>-21600</v>
      </c>
      <c r="AB70" s="75">
        <f t="shared" si="23"/>
        <v>-21600</v>
      </c>
      <c r="AC70" s="89">
        <f>SUM(D70:AB70)</f>
        <v>-464160</v>
      </c>
    </row>
    <row r="71" spans="1:29" hidden="1" x14ac:dyDescent="0.25">
      <c r="B71" s="47" t="s">
        <v>87</v>
      </c>
      <c r="C71" s="47"/>
      <c r="D71" s="75">
        <v>0</v>
      </c>
      <c r="E71" s="75">
        <f>E62</f>
        <v>20000</v>
      </c>
      <c r="F71" s="75">
        <f t="shared" ref="F71:AB71" si="24">F62</f>
        <v>30000</v>
      </c>
      <c r="G71" s="75">
        <f t="shared" si="24"/>
        <v>30000</v>
      </c>
      <c r="H71" s="75">
        <f t="shared" si="24"/>
        <v>20000</v>
      </c>
      <c r="I71" s="75">
        <f t="shared" si="24"/>
        <v>0</v>
      </c>
      <c r="J71" s="75">
        <f t="shared" si="24"/>
        <v>0</v>
      </c>
      <c r="K71" s="75">
        <f t="shared" si="24"/>
        <v>0</v>
      </c>
      <c r="L71" s="75">
        <f t="shared" si="24"/>
        <v>0</v>
      </c>
      <c r="M71" s="75">
        <f t="shared" si="24"/>
        <v>0</v>
      </c>
      <c r="N71" s="75">
        <f t="shared" si="24"/>
        <v>0</v>
      </c>
      <c r="O71" s="75">
        <f t="shared" si="24"/>
        <v>0</v>
      </c>
      <c r="P71" s="75">
        <f t="shared" si="24"/>
        <v>0</v>
      </c>
      <c r="Q71" s="75">
        <f t="shared" si="24"/>
        <v>0</v>
      </c>
      <c r="R71" s="75">
        <f t="shared" si="24"/>
        <v>0</v>
      </c>
      <c r="S71" s="75">
        <f t="shared" si="24"/>
        <v>0</v>
      </c>
      <c r="T71" s="75">
        <f t="shared" si="24"/>
        <v>0</v>
      </c>
      <c r="U71" s="75">
        <f t="shared" si="24"/>
        <v>0</v>
      </c>
      <c r="V71" s="75">
        <f t="shared" si="24"/>
        <v>0</v>
      </c>
      <c r="W71" s="75">
        <f t="shared" si="24"/>
        <v>0</v>
      </c>
      <c r="X71" s="75">
        <f t="shared" si="24"/>
        <v>0</v>
      </c>
      <c r="Y71" s="75">
        <f t="shared" si="24"/>
        <v>0</v>
      </c>
      <c r="Z71" s="75">
        <f t="shared" si="24"/>
        <v>0</v>
      </c>
      <c r="AA71" s="75">
        <f t="shared" si="24"/>
        <v>0</v>
      </c>
      <c r="AB71" s="75">
        <f t="shared" si="24"/>
        <v>0</v>
      </c>
      <c r="AC71" s="89">
        <f>SUM(D71:AB71)</f>
        <v>100000</v>
      </c>
    </row>
    <row r="72" spans="1:29" hidden="1" x14ac:dyDescent="0.25">
      <c r="B72" s="47" t="s">
        <v>120</v>
      </c>
      <c r="C72" s="47"/>
      <c r="D72" s="75">
        <f>D70+D71</f>
        <v>0</v>
      </c>
      <c r="E72" s="75">
        <f t="shared" ref="E72:AB72" si="25">E70+E71</f>
        <v>20000</v>
      </c>
      <c r="F72" s="75">
        <f t="shared" si="25"/>
        <v>25680</v>
      </c>
      <c r="G72" s="75">
        <f t="shared" si="25"/>
        <v>19200</v>
      </c>
      <c r="H72" s="75">
        <f t="shared" si="25"/>
        <v>2960</v>
      </c>
      <c r="I72" s="75">
        <f t="shared" si="25"/>
        <v>-21600</v>
      </c>
      <c r="J72" s="103">
        <f t="shared" si="25"/>
        <v>-21600</v>
      </c>
      <c r="K72" s="75">
        <f t="shared" si="25"/>
        <v>-21600</v>
      </c>
      <c r="L72" s="75">
        <f t="shared" si="25"/>
        <v>-21600</v>
      </c>
      <c r="M72" s="75">
        <f t="shared" si="25"/>
        <v>-21600</v>
      </c>
      <c r="N72" s="75">
        <f t="shared" si="25"/>
        <v>-21600</v>
      </c>
      <c r="O72" s="75">
        <f t="shared" si="25"/>
        <v>-21600</v>
      </c>
      <c r="P72" s="75">
        <f t="shared" si="25"/>
        <v>-21600</v>
      </c>
      <c r="Q72" s="75">
        <f t="shared" si="25"/>
        <v>-21600</v>
      </c>
      <c r="R72" s="75">
        <f t="shared" si="25"/>
        <v>-21600</v>
      </c>
      <c r="S72" s="75">
        <f t="shared" si="25"/>
        <v>-21600</v>
      </c>
      <c r="T72" s="75">
        <f t="shared" si="25"/>
        <v>-21600</v>
      </c>
      <c r="U72" s="75">
        <f t="shared" si="25"/>
        <v>-21600</v>
      </c>
      <c r="V72" s="75">
        <f t="shared" si="25"/>
        <v>-21600</v>
      </c>
      <c r="W72" s="75">
        <f t="shared" si="25"/>
        <v>-21600</v>
      </c>
      <c r="X72" s="75">
        <f t="shared" si="25"/>
        <v>-21600</v>
      </c>
      <c r="Y72" s="75">
        <f t="shared" si="25"/>
        <v>-21600</v>
      </c>
      <c r="Z72" s="75">
        <f t="shared" si="25"/>
        <v>-21600</v>
      </c>
      <c r="AA72" s="75">
        <f t="shared" si="25"/>
        <v>-21600</v>
      </c>
      <c r="AB72" s="75">
        <f t="shared" si="25"/>
        <v>-21600</v>
      </c>
      <c r="AC72" s="89">
        <f>SUM(D72:AB72)</f>
        <v>-364160</v>
      </c>
    </row>
    <row r="73" spans="1:29" hidden="1" x14ac:dyDescent="0.25">
      <c r="B73" s="47" t="s">
        <v>86</v>
      </c>
      <c r="C73" s="47"/>
      <c r="D73" s="75">
        <f>D68+D69-D72</f>
        <v>0</v>
      </c>
      <c r="E73" s="75">
        <f>E68+E69-E72+E70</f>
        <v>-18000</v>
      </c>
      <c r="F73" s="75">
        <f t="shared" ref="F73:AB73" si="26">F68+F69-F72+F70</f>
        <v>-45000</v>
      </c>
      <c r="G73" s="75">
        <f t="shared" si="26"/>
        <v>-71000</v>
      </c>
      <c r="H73" s="75">
        <f t="shared" si="26"/>
        <v>-90000</v>
      </c>
      <c r="I73" s="75">
        <f t="shared" si="26"/>
        <v>-90000</v>
      </c>
      <c r="J73" s="103">
        <f t="shared" si="26"/>
        <v>-90000</v>
      </c>
      <c r="K73" s="75">
        <f t="shared" si="26"/>
        <v>-90000</v>
      </c>
      <c r="L73" s="75">
        <f t="shared" si="26"/>
        <v>-90000</v>
      </c>
      <c r="M73" s="75">
        <f t="shared" si="26"/>
        <v>-90000</v>
      </c>
      <c r="N73" s="75">
        <f t="shared" si="26"/>
        <v>-90000</v>
      </c>
      <c r="O73" s="75">
        <f t="shared" si="26"/>
        <v>-90000</v>
      </c>
      <c r="P73" s="75">
        <f t="shared" si="26"/>
        <v>-90000</v>
      </c>
      <c r="Q73" s="75">
        <f t="shared" si="26"/>
        <v>-90000</v>
      </c>
      <c r="R73" s="75">
        <f t="shared" si="26"/>
        <v>-90000</v>
      </c>
      <c r="S73" s="75">
        <f t="shared" si="26"/>
        <v>-90000</v>
      </c>
      <c r="T73" s="75">
        <f t="shared" si="26"/>
        <v>-90000</v>
      </c>
      <c r="U73" s="75">
        <f t="shared" si="26"/>
        <v>-90000</v>
      </c>
      <c r="V73" s="75">
        <f t="shared" si="26"/>
        <v>-90000</v>
      </c>
      <c r="W73" s="75">
        <f t="shared" si="26"/>
        <v>-90000</v>
      </c>
      <c r="X73" s="75">
        <f t="shared" si="26"/>
        <v>-90000</v>
      </c>
      <c r="Y73" s="75">
        <f t="shared" si="26"/>
        <v>-90000</v>
      </c>
      <c r="Z73" s="75">
        <f t="shared" si="26"/>
        <v>-90000</v>
      </c>
      <c r="AA73" s="75">
        <f t="shared" si="26"/>
        <v>-90000</v>
      </c>
      <c r="AB73" s="75">
        <f t="shared" si="26"/>
        <v>-90000</v>
      </c>
      <c r="AC73" s="89"/>
    </row>
    <row r="74" spans="1:29" x14ac:dyDescent="0.25">
      <c r="B74" s="44"/>
      <c r="C74" s="71"/>
      <c r="T74" s="73"/>
      <c r="U74" s="73"/>
      <c r="V74" s="73"/>
      <c r="W74" s="73"/>
    </row>
    <row r="75" spans="1:29" x14ac:dyDescent="0.25">
      <c r="D75" s="73"/>
      <c r="E75" s="73"/>
      <c r="F75" s="73"/>
      <c r="G75" s="73"/>
      <c r="H75" s="73"/>
      <c r="I75" s="73"/>
      <c r="J75" s="73"/>
      <c r="K75" s="73"/>
      <c r="L75" s="73"/>
      <c r="M75" s="73"/>
      <c r="N75" s="73"/>
      <c r="O75" s="73"/>
      <c r="P75" s="73"/>
      <c r="Q75" s="73"/>
      <c r="R75" s="73"/>
      <c r="S75" s="73"/>
      <c r="T75" s="73"/>
      <c r="U75" s="73"/>
      <c r="V75" s="73"/>
      <c r="W75" s="73"/>
    </row>
    <row r="76" spans="1:29" x14ac:dyDescent="0.25">
      <c r="A76" s="63">
        <v>4</v>
      </c>
      <c r="B76" s="44" t="s">
        <v>331</v>
      </c>
      <c r="C76" s="139">
        <f>Assumption_Hatchery!C76</f>
        <v>0.06</v>
      </c>
      <c r="D76" s="73"/>
      <c r="E76" s="73"/>
      <c r="F76" s="73"/>
      <c r="G76" s="73"/>
      <c r="H76" s="73"/>
      <c r="I76" s="73"/>
      <c r="J76" s="73"/>
      <c r="K76" s="73"/>
      <c r="L76" s="73"/>
      <c r="M76" s="73"/>
      <c r="N76" s="73"/>
      <c r="O76" s="73"/>
      <c r="P76" s="73"/>
      <c r="Q76" s="73"/>
      <c r="R76" s="73"/>
      <c r="S76" s="73"/>
      <c r="T76" s="73"/>
      <c r="U76" s="73"/>
      <c r="V76" s="73"/>
      <c r="W76" s="73"/>
    </row>
    <row r="77" spans="1:29" x14ac:dyDescent="0.25">
      <c r="A77" s="91"/>
      <c r="C77" s="71"/>
      <c r="D77" s="73"/>
      <c r="E77" s="73"/>
      <c r="F77" s="73"/>
      <c r="G77" s="73"/>
      <c r="H77" s="73"/>
      <c r="I77" s="73"/>
      <c r="J77" s="73"/>
      <c r="K77" s="73"/>
      <c r="L77" s="73"/>
      <c r="M77" s="73"/>
      <c r="N77" s="73"/>
      <c r="O77" s="73"/>
      <c r="P77" s="73"/>
      <c r="Q77" s="73"/>
      <c r="R77" s="73"/>
      <c r="S77" s="73"/>
      <c r="T77" s="73"/>
      <c r="U77" s="73"/>
      <c r="V77" s="73"/>
      <c r="W77" s="73"/>
    </row>
    <row r="78" spans="1:29" x14ac:dyDescent="0.25">
      <c r="A78" s="63">
        <v>5</v>
      </c>
      <c r="B78" s="44" t="s">
        <v>123</v>
      </c>
      <c r="C78" s="71"/>
      <c r="D78" s="73"/>
      <c r="E78" s="73"/>
      <c r="F78" s="73"/>
      <c r="G78" s="73"/>
      <c r="H78" s="73"/>
      <c r="I78" s="73"/>
      <c r="J78" s="73"/>
      <c r="K78" s="73"/>
      <c r="L78" s="73"/>
      <c r="M78" s="73"/>
      <c r="N78" s="73"/>
      <c r="O78" s="73"/>
      <c r="P78" s="73"/>
      <c r="Q78" s="73"/>
      <c r="R78" s="73"/>
      <c r="S78" s="73"/>
      <c r="T78" s="73"/>
      <c r="U78" s="73"/>
      <c r="V78" s="73"/>
      <c r="W78" s="73"/>
    </row>
    <row r="79" spans="1:29" ht="48" customHeight="1" x14ac:dyDescent="0.25">
      <c r="B79" t="s">
        <v>124</v>
      </c>
      <c r="C79" s="498" t="s">
        <v>128</v>
      </c>
      <c r="D79" s="498"/>
      <c r="E79" s="498"/>
      <c r="F79" s="498"/>
      <c r="G79" s="73"/>
      <c r="H79" s="73"/>
      <c r="I79" s="73"/>
      <c r="J79" s="73"/>
      <c r="K79" s="73"/>
      <c r="L79" s="73"/>
      <c r="M79" s="73"/>
      <c r="N79" s="73"/>
      <c r="O79" s="73"/>
      <c r="P79" s="73"/>
      <c r="Q79" s="73"/>
      <c r="R79" s="73"/>
      <c r="S79" s="73"/>
      <c r="T79" s="73"/>
      <c r="U79" s="73"/>
      <c r="V79" s="73"/>
      <c r="W79" s="73"/>
    </row>
    <row r="80" spans="1:29" x14ac:dyDescent="0.25">
      <c r="B80" s="65"/>
      <c r="C80" s="16" t="s">
        <v>19</v>
      </c>
      <c r="D80" s="16">
        <v>1</v>
      </c>
      <c r="E80" s="16">
        <v>2</v>
      </c>
      <c r="F80" s="16">
        <v>3</v>
      </c>
      <c r="G80" s="73"/>
      <c r="H80" s="73"/>
      <c r="I80" s="73"/>
      <c r="J80" s="73"/>
      <c r="K80" s="73"/>
      <c r="L80" s="73"/>
      <c r="M80" s="73"/>
      <c r="N80" s="73"/>
      <c r="O80" s="73"/>
      <c r="P80" s="73"/>
      <c r="Q80" s="73"/>
      <c r="R80" s="73"/>
      <c r="S80" s="73"/>
      <c r="T80" s="73"/>
      <c r="U80" s="73"/>
      <c r="V80" s="73"/>
      <c r="W80" s="73"/>
    </row>
    <row r="81" spans="2:30" x14ac:dyDescent="0.25">
      <c r="B81" t="s">
        <v>80</v>
      </c>
      <c r="C81" s="63"/>
      <c r="D81" s="68">
        <f>Assumption_Hatchery!D81</f>
        <v>0</v>
      </c>
      <c r="E81" s="68">
        <f>Assumption_Hatchery!E81</f>
        <v>0</v>
      </c>
      <c r="F81" s="68">
        <f>Assumption_Hatchery!F81</f>
        <v>1</v>
      </c>
      <c r="G81" s="73"/>
      <c r="H81" s="73"/>
      <c r="I81" s="73"/>
      <c r="J81" s="73"/>
      <c r="K81" s="73"/>
      <c r="L81" s="73"/>
      <c r="M81" s="73"/>
      <c r="N81" s="73"/>
      <c r="O81" s="73"/>
      <c r="P81" s="73"/>
      <c r="Q81" s="73"/>
      <c r="R81" s="73"/>
      <c r="S81" s="73"/>
      <c r="T81" s="73"/>
      <c r="U81" s="73"/>
      <c r="V81" s="73"/>
      <c r="W81" s="73"/>
    </row>
    <row r="82" spans="2:30" x14ac:dyDescent="0.25">
      <c r="B82" t="s">
        <v>82</v>
      </c>
      <c r="C82" s="63"/>
      <c r="D82" s="139">
        <f>Assumption_Hatchery!D82</f>
        <v>0</v>
      </c>
      <c r="E82" s="139">
        <f>Assumption_Hatchery!E82</f>
        <v>0</v>
      </c>
      <c r="F82" s="139">
        <f>Assumption_Hatchery!F82</f>
        <v>0.5</v>
      </c>
      <c r="G82" s="73"/>
      <c r="H82" s="73"/>
      <c r="I82" s="73"/>
      <c r="J82" s="73"/>
      <c r="K82" s="73"/>
      <c r="L82" s="73"/>
      <c r="M82" s="73"/>
      <c r="N82" s="73"/>
      <c r="O82" s="73"/>
      <c r="P82" s="73"/>
      <c r="Q82" s="73"/>
      <c r="R82" s="73"/>
      <c r="S82" s="73"/>
      <c r="T82" s="73"/>
      <c r="U82" s="73"/>
      <c r="V82" s="73"/>
      <c r="W82" s="73"/>
    </row>
    <row r="83" spans="2:30" x14ac:dyDescent="0.25">
      <c r="C83" s="91"/>
      <c r="D83" s="71"/>
      <c r="E83" s="71"/>
      <c r="F83" s="71"/>
      <c r="G83" s="73"/>
      <c r="H83" s="73"/>
      <c r="I83" s="73"/>
      <c r="J83" s="73"/>
      <c r="K83" s="73"/>
      <c r="L83" s="73"/>
      <c r="M83" s="73"/>
      <c r="N83" s="73"/>
      <c r="O83" s="73"/>
      <c r="P83" s="73"/>
      <c r="Q83" s="73"/>
      <c r="R83" s="73"/>
      <c r="S83" s="73"/>
      <c r="T83" s="73"/>
      <c r="U83" s="73"/>
      <c r="V83" s="73"/>
      <c r="W83" s="73"/>
    </row>
    <row r="85" spans="2:30" x14ac:dyDescent="0.25">
      <c r="B85" s="65"/>
      <c r="C85" s="16" t="s">
        <v>19</v>
      </c>
      <c r="D85" s="16">
        <v>0</v>
      </c>
      <c r="E85" s="16">
        <v>1</v>
      </c>
      <c r="F85" s="16">
        <v>2</v>
      </c>
      <c r="G85" s="16">
        <v>3</v>
      </c>
      <c r="H85" s="16">
        <v>4</v>
      </c>
      <c r="I85" s="16">
        <v>5</v>
      </c>
      <c r="J85" s="16">
        <v>6</v>
      </c>
      <c r="K85" s="16">
        <v>7</v>
      </c>
      <c r="L85" s="16">
        <v>8</v>
      </c>
      <c r="M85" s="16">
        <v>9</v>
      </c>
      <c r="N85" s="16">
        <v>10</v>
      </c>
      <c r="O85" s="16">
        <v>11</v>
      </c>
      <c r="P85" s="16">
        <v>12</v>
      </c>
      <c r="Q85" s="16">
        <v>13</v>
      </c>
      <c r="R85" s="16">
        <v>14</v>
      </c>
      <c r="S85" s="16">
        <v>15</v>
      </c>
      <c r="T85" s="16">
        <v>16</v>
      </c>
      <c r="U85" s="16">
        <v>17</v>
      </c>
      <c r="V85" s="16">
        <v>18</v>
      </c>
      <c r="W85" s="16">
        <v>19</v>
      </c>
      <c r="X85" s="16">
        <v>20</v>
      </c>
      <c r="Y85" s="16">
        <v>21</v>
      </c>
      <c r="Z85" s="16">
        <v>22</v>
      </c>
      <c r="AA85" s="16">
        <v>23</v>
      </c>
      <c r="AB85" s="16">
        <v>24</v>
      </c>
    </row>
    <row r="86" spans="2:30" x14ac:dyDescent="0.25">
      <c r="B86" t="s">
        <v>80</v>
      </c>
      <c r="C86" s="63"/>
      <c r="D86" s="63"/>
      <c r="E86" s="63">
        <f>D81</f>
        <v>0</v>
      </c>
      <c r="F86" s="63">
        <f>E81</f>
        <v>0</v>
      </c>
      <c r="G86" s="63">
        <f>F81</f>
        <v>1</v>
      </c>
      <c r="H86" s="63">
        <f>D81</f>
        <v>0</v>
      </c>
      <c r="I86" s="63">
        <f t="shared" ref="I86:J86" si="27">E81</f>
        <v>0</v>
      </c>
      <c r="J86" s="63">
        <f t="shared" si="27"/>
        <v>1</v>
      </c>
      <c r="K86" s="63">
        <f>D81</f>
        <v>0</v>
      </c>
      <c r="L86" s="63">
        <f t="shared" ref="L86:M86" si="28">E81</f>
        <v>0</v>
      </c>
      <c r="M86" s="63">
        <f t="shared" si="28"/>
        <v>1</v>
      </c>
      <c r="N86" s="63">
        <f>D81</f>
        <v>0</v>
      </c>
      <c r="O86" s="63">
        <f t="shared" ref="O86:P86" si="29">E81</f>
        <v>0</v>
      </c>
      <c r="P86" s="63">
        <f t="shared" si="29"/>
        <v>1</v>
      </c>
      <c r="Q86" s="63">
        <f>D81</f>
        <v>0</v>
      </c>
      <c r="R86" s="63">
        <f t="shared" ref="R86:S86" si="30">E81</f>
        <v>0</v>
      </c>
      <c r="S86" s="63">
        <f t="shared" si="30"/>
        <v>1</v>
      </c>
      <c r="T86" s="63">
        <f>D81</f>
        <v>0</v>
      </c>
      <c r="U86" s="63">
        <f t="shared" ref="U86:V86" si="31">E81</f>
        <v>0</v>
      </c>
      <c r="V86" s="63">
        <f t="shared" si="31"/>
        <v>1</v>
      </c>
      <c r="W86" s="63">
        <f>D81</f>
        <v>0</v>
      </c>
      <c r="X86" s="63">
        <f t="shared" ref="X86:Y86" si="32">E81</f>
        <v>0</v>
      </c>
      <c r="Y86" s="63">
        <f t="shared" si="32"/>
        <v>1</v>
      </c>
      <c r="Z86" s="63">
        <f>D81</f>
        <v>0</v>
      </c>
      <c r="AA86" s="63">
        <f t="shared" ref="AA86:AB86" si="33">E81</f>
        <v>0</v>
      </c>
      <c r="AB86" s="63">
        <f t="shared" si="33"/>
        <v>1</v>
      </c>
    </row>
    <row r="87" spans="2:30" x14ac:dyDescent="0.25">
      <c r="B87" t="s">
        <v>82</v>
      </c>
      <c r="C87" s="63"/>
      <c r="D87" s="68"/>
      <c r="E87" s="58">
        <f>$D82</f>
        <v>0</v>
      </c>
      <c r="F87" s="106">
        <f>$E82</f>
        <v>0</v>
      </c>
      <c r="G87" s="106">
        <f>$F82</f>
        <v>0.5</v>
      </c>
      <c r="H87" s="58">
        <f>$D82</f>
        <v>0</v>
      </c>
      <c r="I87" s="106">
        <f>$E82</f>
        <v>0</v>
      </c>
      <c r="J87" s="106">
        <f>$F82</f>
        <v>0.5</v>
      </c>
      <c r="K87" s="58">
        <f>$D82</f>
        <v>0</v>
      </c>
      <c r="L87" s="106">
        <f>$E82</f>
        <v>0</v>
      </c>
      <c r="M87" s="106">
        <f>$F82</f>
        <v>0.5</v>
      </c>
      <c r="N87" s="58">
        <f>$D82</f>
        <v>0</v>
      </c>
      <c r="O87" s="106">
        <f>$E82</f>
        <v>0</v>
      </c>
      <c r="P87" s="106">
        <f>$F82</f>
        <v>0.5</v>
      </c>
      <c r="Q87" s="58">
        <f>$D82</f>
        <v>0</v>
      </c>
      <c r="R87" s="106">
        <f>$E82</f>
        <v>0</v>
      </c>
      <c r="S87" s="106">
        <f>$F82</f>
        <v>0.5</v>
      </c>
      <c r="T87" s="58">
        <f>$D82</f>
        <v>0</v>
      </c>
      <c r="U87" s="106">
        <f>$E82</f>
        <v>0</v>
      </c>
      <c r="V87" s="106">
        <f>$F82</f>
        <v>0.5</v>
      </c>
      <c r="W87" s="58">
        <f>$D82</f>
        <v>0</v>
      </c>
      <c r="X87" s="106">
        <f>$E82</f>
        <v>0</v>
      </c>
      <c r="Y87" s="106">
        <f>$F82</f>
        <v>0.5</v>
      </c>
      <c r="Z87" s="58">
        <f>$D82</f>
        <v>0</v>
      </c>
      <c r="AA87" s="106">
        <f>$E82</f>
        <v>0</v>
      </c>
      <c r="AB87" s="106">
        <f>$F82</f>
        <v>0.5</v>
      </c>
      <c r="AC87" s="107"/>
      <c r="AD87" s="107"/>
    </row>
    <row r="88" spans="2:30" x14ac:dyDescent="0.25">
      <c r="C88" s="91"/>
      <c r="D88" s="71"/>
      <c r="E88" s="71"/>
      <c r="F88" s="71"/>
      <c r="G88" s="71"/>
      <c r="H88" s="71"/>
      <c r="I88" s="71"/>
      <c r="J88" s="71"/>
      <c r="K88" s="71"/>
      <c r="L88" s="71"/>
      <c r="M88" s="71"/>
      <c r="N88" s="71"/>
      <c r="O88" s="71"/>
      <c r="P88" s="71"/>
      <c r="Q88" s="71"/>
      <c r="R88" s="71"/>
      <c r="S88" s="71"/>
      <c r="T88" s="71"/>
      <c r="U88" s="71"/>
      <c r="V88" s="71"/>
      <c r="W88" s="71"/>
      <c r="X88" s="71"/>
      <c r="Y88" s="105"/>
      <c r="Z88" s="105"/>
      <c r="AA88" s="105"/>
      <c r="AB88" s="105"/>
      <c r="AC88" s="105"/>
    </row>
    <row r="89" spans="2:30" x14ac:dyDescent="0.25">
      <c r="C89" s="91"/>
      <c r="D89" s="104"/>
      <c r="E89" s="104"/>
      <c r="F89" s="104"/>
      <c r="G89" s="104"/>
      <c r="H89" s="104"/>
      <c r="I89" s="104"/>
      <c r="J89" s="104"/>
      <c r="K89" s="104"/>
      <c r="L89" s="104"/>
      <c r="M89" s="104"/>
      <c r="N89" s="104"/>
      <c r="O89" s="104"/>
      <c r="P89" s="104"/>
      <c r="Q89" s="104"/>
      <c r="R89" s="104"/>
      <c r="S89" s="104"/>
      <c r="T89" s="104"/>
      <c r="U89" s="104"/>
      <c r="V89" s="104"/>
      <c r="W89" s="104"/>
      <c r="X89" s="104"/>
    </row>
    <row r="90" spans="2:30" x14ac:dyDescent="0.25">
      <c r="C90" s="91"/>
      <c r="D90" s="104"/>
      <c r="E90" s="104"/>
      <c r="F90" s="104"/>
      <c r="G90" s="104"/>
      <c r="H90" s="104"/>
      <c r="I90" s="104"/>
      <c r="J90" s="104"/>
      <c r="K90" s="104"/>
      <c r="L90" s="104"/>
      <c r="M90" s="104"/>
      <c r="N90" s="104"/>
      <c r="O90" s="104"/>
      <c r="P90" s="104"/>
      <c r="Q90" s="104"/>
      <c r="R90" s="104"/>
      <c r="S90" s="104"/>
      <c r="T90" s="104"/>
      <c r="U90" s="104"/>
      <c r="V90" s="104"/>
      <c r="W90" s="104"/>
      <c r="X90" s="104"/>
    </row>
    <row r="91" spans="2:30" x14ac:dyDescent="0.25">
      <c r="B91" s="44" t="s">
        <v>125</v>
      </c>
      <c r="C91" s="91"/>
      <c r="D91" s="104"/>
      <c r="E91" s="104"/>
      <c r="F91" s="104"/>
      <c r="G91" s="104"/>
      <c r="H91" s="104"/>
      <c r="I91" s="104"/>
      <c r="J91" s="104"/>
      <c r="K91" s="104"/>
      <c r="L91" s="104"/>
      <c r="M91" s="104"/>
      <c r="N91" s="104"/>
      <c r="O91" s="104"/>
      <c r="P91" s="104"/>
      <c r="Q91" s="104"/>
      <c r="R91" s="104"/>
      <c r="S91" s="104"/>
      <c r="T91" s="104"/>
      <c r="U91" s="104"/>
      <c r="V91" s="104"/>
      <c r="W91" s="104"/>
      <c r="X91" s="104"/>
    </row>
    <row r="92" spans="2:30" x14ac:dyDescent="0.25">
      <c r="C92" s="91"/>
      <c r="D92" s="104"/>
      <c r="E92" s="104"/>
      <c r="F92" s="104"/>
      <c r="G92" s="104"/>
      <c r="H92" s="104"/>
      <c r="I92" s="104"/>
      <c r="J92" s="104"/>
      <c r="K92" s="104"/>
      <c r="L92" s="104"/>
      <c r="M92" s="104"/>
      <c r="N92" s="104"/>
      <c r="O92" s="104"/>
      <c r="P92" s="104"/>
      <c r="Q92" s="104"/>
      <c r="R92" s="104"/>
      <c r="S92" s="104"/>
      <c r="T92" s="104"/>
      <c r="U92" s="104"/>
      <c r="V92" s="104"/>
      <c r="W92" s="104"/>
      <c r="X92" s="104"/>
    </row>
    <row r="93" spans="2:30" ht="38.450000000000003" customHeight="1" x14ac:dyDescent="0.25">
      <c r="B93" t="s">
        <v>124</v>
      </c>
      <c r="C93" s="498" t="s">
        <v>127</v>
      </c>
      <c r="D93" s="498"/>
      <c r="E93" s="498"/>
      <c r="F93" s="498"/>
      <c r="G93" s="73"/>
      <c r="H93" s="73"/>
      <c r="I93" s="73"/>
      <c r="J93" s="73"/>
      <c r="K93" s="73"/>
      <c r="L93" s="73"/>
      <c r="M93" s="73"/>
      <c r="N93" s="73"/>
      <c r="O93" s="73"/>
      <c r="P93" s="73"/>
      <c r="Q93" s="73"/>
      <c r="R93" s="73"/>
      <c r="S93" s="73"/>
      <c r="T93" s="73"/>
      <c r="U93" s="73"/>
      <c r="V93" s="73"/>
      <c r="W93" s="73"/>
    </row>
    <row r="94" spans="2:30" x14ac:dyDescent="0.25">
      <c r="B94" s="65"/>
      <c r="C94" s="16" t="s">
        <v>19</v>
      </c>
      <c r="D94" s="16">
        <v>1</v>
      </c>
      <c r="E94" s="16">
        <v>2</v>
      </c>
      <c r="F94" s="16">
        <v>3</v>
      </c>
      <c r="G94" s="73"/>
      <c r="H94" s="73"/>
      <c r="I94" s="73"/>
      <c r="J94" s="73"/>
      <c r="K94" s="73"/>
      <c r="L94" s="73"/>
      <c r="M94" s="73"/>
      <c r="N94" s="73"/>
      <c r="O94" s="73"/>
      <c r="P94" s="73"/>
      <c r="Q94" s="73"/>
      <c r="R94" s="73"/>
      <c r="S94" s="73"/>
      <c r="T94" s="73"/>
      <c r="U94" s="73"/>
      <c r="V94" s="73"/>
      <c r="W94" s="73"/>
    </row>
    <row r="95" spans="2:30" x14ac:dyDescent="0.25">
      <c r="B95" t="s">
        <v>80</v>
      </c>
      <c r="C95" s="63"/>
      <c r="D95" s="68">
        <f>Assumption_Hatchery!D95</f>
        <v>0</v>
      </c>
      <c r="E95" s="68">
        <f>Assumption_Hatchery!E95</f>
        <v>0</v>
      </c>
      <c r="F95" s="68">
        <f>Assumption_Hatchery!F95</f>
        <v>1</v>
      </c>
      <c r="G95" s="73"/>
      <c r="H95" s="73"/>
      <c r="I95" s="73"/>
      <c r="J95" s="73"/>
      <c r="K95" s="73"/>
      <c r="L95" s="73"/>
      <c r="M95" s="73"/>
      <c r="N95" s="73"/>
      <c r="O95" s="73"/>
      <c r="P95" s="73"/>
      <c r="Q95" s="73"/>
      <c r="R95" s="73"/>
      <c r="S95" s="73"/>
      <c r="T95" s="73"/>
      <c r="U95" s="73"/>
      <c r="V95" s="73"/>
      <c r="W95" s="73"/>
    </row>
    <row r="96" spans="2:30" x14ac:dyDescent="0.25">
      <c r="B96" t="s">
        <v>82</v>
      </c>
      <c r="C96" s="63"/>
      <c r="D96" s="139">
        <f>Assumption_Hatchery!D96</f>
        <v>0</v>
      </c>
      <c r="E96" s="139">
        <f>Assumption_Hatchery!E96</f>
        <v>0</v>
      </c>
      <c r="F96" s="139">
        <f>Assumption_Hatchery!F96</f>
        <v>0.5</v>
      </c>
      <c r="G96" s="73"/>
      <c r="H96" s="73"/>
      <c r="I96" s="73"/>
      <c r="J96" s="73"/>
      <c r="K96" s="73"/>
      <c r="L96" s="73"/>
      <c r="M96" s="73"/>
      <c r="N96" s="73"/>
      <c r="O96" s="73"/>
      <c r="P96" s="73"/>
      <c r="Q96" s="73"/>
      <c r="R96" s="73"/>
      <c r="S96" s="73"/>
      <c r="T96" s="73"/>
      <c r="U96" s="73"/>
      <c r="V96" s="73"/>
      <c r="W96" s="73"/>
    </row>
    <row r="97" spans="2:30" x14ac:dyDescent="0.25">
      <c r="C97" s="91"/>
      <c r="D97" s="71"/>
      <c r="E97" s="71"/>
      <c r="F97" s="71"/>
      <c r="G97" s="73"/>
      <c r="H97" s="73"/>
      <c r="I97" s="73"/>
      <c r="J97" s="73"/>
      <c r="K97" s="73"/>
      <c r="L97" s="73"/>
      <c r="M97" s="73"/>
      <c r="N97" s="73"/>
      <c r="O97" s="73"/>
      <c r="P97" s="73"/>
      <c r="Q97" s="73"/>
      <c r="R97" s="73"/>
      <c r="S97" s="73"/>
      <c r="T97" s="73"/>
      <c r="U97" s="73"/>
      <c r="V97" s="73"/>
      <c r="W97" s="73"/>
    </row>
    <row r="99" spans="2:30" x14ac:dyDescent="0.25">
      <c r="B99" s="65"/>
      <c r="C99" s="16" t="s">
        <v>19</v>
      </c>
      <c r="D99" s="16">
        <v>0</v>
      </c>
      <c r="E99" s="16">
        <v>1</v>
      </c>
      <c r="F99" s="16">
        <v>2</v>
      </c>
      <c r="G99" s="16">
        <v>3</v>
      </c>
      <c r="H99" s="16">
        <v>4</v>
      </c>
      <c r="I99" s="16">
        <v>5</v>
      </c>
      <c r="J99" s="16">
        <v>6</v>
      </c>
      <c r="K99" s="16">
        <v>7</v>
      </c>
      <c r="L99" s="16">
        <v>8</v>
      </c>
      <c r="M99" s="16">
        <v>9</v>
      </c>
      <c r="N99" s="16">
        <v>10</v>
      </c>
      <c r="O99" s="16">
        <v>11</v>
      </c>
      <c r="P99" s="16">
        <v>12</v>
      </c>
      <c r="Q99" s="16">
        <v>13</v>
      </c>
      <c r="R99" s="16">
        <v>14</v>
      </c>
      <c r="S99" s="16">
        <v>15</v>
      </c>
      <c r="T99" s="16">
        <v>16</v>
      </c>
      <c r="U99" s="16">
        <v>17</v>
      </c>
      <c r="V99" s="16">
        <v>18</v>
      </c>
      <c r="W99" s="16">
        <v>19</v>
      </c>
      <c r="X99" s="16">
        <v>20</v>
      </c>
      <c r="Y99" s="16">
        <v>21</v>
      </c>
      <c r="Z99" s="16">
        <v>22</v>
      </c>
      <c r="AA99" s="16">
        <v>23</v>
      </c>
      <c r="AB99" s="16">
        <v>24</v>
      </c>
    </row>
    <row r="100" spans="2:30" x14ac:dyDescent="0.25">
      <c r="B100" t="s">
        <v>80</v>
      </c>
      <c r="C100" s="63"/>
      <c r="D100" s="63"/>
      <c r="E100" s="63">
        <f>D95</f>
        <v>0</v>
      </c>
      <c r="F100" s="63">
        <f>E95</f>
        <v>0</v>
      </c>
      <c r="G100" s="63">
        <f>F95</f>
        <v>1</v>
      </c>
      <c r="H100" s="63">
        <f>D95</f>
        <v>0</v>
      </c>
      <c r="I100" s="63">
        <f t="shared" ref="I100:J100" si="34">E95</f>
        <v>0</v>
      </c>
      <c r="J100" s="63">
        <f t="shared" si="34"/>
        <v>1</v>
      </c>
      <c r="K100" s="63">
        <f>D95</f>
        <v>0</v>
      </c>
      <c r="L100" s="63">
        <f t="shared" ref="L100:M100" si="35">E95</f>
        <v>0</v>
      </c>
      <c r="M100" s="63">
        <f t="shared" si="35"/>
        <v>1</v>
      </c>
      <c r="N100" s="63">
        <f>D95</f>
        <v>0</v>
      </c>
      <c r="O100" s="63">
        <f t="shared" ref="O100:P100" si="36">E95</f>
        <v>0</v>
      </c>
      <c r="P100" s="63">
        <f t="shared" si="36"/>
        <v>1</v>
      </c>
      <c r="Q100" s="63">
        <f>D95</f>
        <v>0</v>
      </c>
      <c r="R100" s="63">
        <f t="shared" ref="R100:S100" si="37">E95</f>
        <v>0</v>
      </c>
      <c r="S100" s="63">
        <f t="shared" si="37"/>
        <v>1</v>
      </c>
      <c r="T100" s="63">
        <f>D95</f>
        <v>0</v>
      </c>
      <c r="U100" s="63">
        <f t="shared" ref="U100:V100" si="38">E95</f>
        <v>0</v>
      </c>
      <c r="V100" s="63">
        <f t="shared" si="38"/>
        <v>1</v>
      </c>
      <c r="W100" s="63">
        <f>D95</f>
        <v>0</v>
      </c>
      <c r="X100" s="63">
        <f t="shared" ref="X100:Y100" si="39">E95</f>
        <v>0</v>
      </c>
      <c r="Y100" s="63">
        <f t="shared" si="39"/>
        <v>1</v>
      </c>
      <c r="Z100" s="63">
        <f>D95</f>
        <v>0</v>
      </c>
      <c r="AA100" s="63">
        <f t="shared" ref="AA100:AB100" si="40">E95</f>
        <v>0</v>
      </c>
      <c r="AB100" s="63">
        <f t="shared" si="40"/>
        <v>1</v>
      </c>
    </row>
    <row r="101" spans="2:30" x14ac:dyDescent="0.25">
      <c r="B101" t="s">
        <v>82</v>
      </c>
      <c r="C101" s="63"/>
      <c r="D101" s="68"/>
      <c r="E101" s="58">
        <f>$D96</f>
        <v>0</v>
      </c>
      <c r="F101" s="106">
        <f>$E96</f>
        <v>0</v>
      </c>
      <c r="G101" s="106">
        <f>$F96</f>
        <v>0.5</v>
      </c>
      <c r="H101" s="58">
        <f>$D96</f>
        <v>0</v>
      </c>
      <c r="I101" s="106">
        <f>$E96</f>
        <v>0</v>
      </c>
      <c r="J101" s="106">
        <f>$F96</f>
        <v>0.5</v>
      </c>
      <c r="K101" s="58">
        <f>$D96</f>
        <v>0</v>
      </c>
      <c r="L101" s="106">
        <f>$E96</f>
        <v>0</v>
      </c>
      <c r="M101" s="106">
        <f>$F96</f>
        <v>0.5</v>
      </c>
      <c r="N101" s="58">
        <f>$D96</f>
        <v>0</v>
      </c>
      <c r="O101" s="106">
        <f>$E96</f>
        <v>0</v>
      </c>
      <c r="P101" s="106">
        <f>$F96</f>
        <v>0.5</v>
      </c>
      <c r="Q101" s="58">
        <f>$D96</f>
        <v>0</v>
      </c>
      <c r="R101" s="106">
        <f>$E96</f>
        <v>0</v>
      </c>
      <c r="S101" s="106">
        <f>$F96</f>
        <v>0.5</v>
      </c>
      <c r="T101" s="58">
        <f>$D96</f>
        <v>0</v>
      </c>
      <c r="U101" s="106">
        <f>$E96</f>
        <v>0</v>
      </c>
      <c r="V101" s="106">
        <f>$F96</f>
        <v>0.5</v>
      </c>
      <c r="W101" s="58">
        <f>$D96</f>
        <v>0</v>
      </c>
      <c r="X101" s="106">
        <f>$E96</f>
        <v>0</v>
      </c>
      <c r="Y101" s="106">
        <f>$F96</f>
        <v>0.5</v>
      </c>
      <c r="Z101" s="58">
        <f>$D96</f>
        <v>0</v>
      </c>
      <c r="AA101" s="106">
        <f>$E96</f>
        <v>0</v>
      </c>
      <c r="AB101" s="106">
        <f>$F96</f>
        <v>0.5</v>
      </c>
      <c r="AC101" s="107"/>
      <c r="AD101" s="107"/>
    </row>
    <row r="102" spans="2:30" x14ac:dyDescent="0.25">
      <c r="C102" s="91"/>
      <c r="D102" s="104"/>
      <c r="E102" s="104"/>
      <c r="F102" s="104"/>
      <c r="G102" s="104"/>
      <c r="H102" s="104"/>
      <c r="I102" s="104"/>
      <c r="J102" s="104"/>
      <c r="K102" s="104"/>
      <c r="L102" s="104"/>
      <c r="M102" s="104"/>
      <c r="N102" s="104"/>
      <c r="O102" s="104"/>
      <c r="P102" s="104"/>
      <c r="Q102" s="104"/>
      <c r="R102" s="104"/>
      <c r="S102" s="104"/>
      <c r="T102" s="104"/>
      <c r="U102" s="104"/>
      <c r="V102" s="104"/>
      <c r="W102" s="104"/>
      <c r="X102" s="104"/>
    </row>
    <row r="103" spans="2:30" x14ac:dyDescent="0.25">
      <c r="B103" s="44" t="s">
        <v>126</v>
      </c>
      <c r="C103" s="91"/>
      <c r="D103" s="104"/>
      <c r="E103" s="104"/>
      <c r="F103" s="104"/>
      <c r="G103" s="104"/>
      <c r="H103" s="104"/>
      <c r="I103" s="104"/>
      <c r="J103" s="104"/>
      <c r="K103" s="104"/>
      <c r="L103" s="104"/>
      <c r="M103" s="104"/>
      <c r="N103" s="104"/>
      <c r="O103" s="104"/>
      <c r="P103" s="104"/>
      <c r="Q103" s="104"/>
      <c r="R103" s="104"/>
      <c r="S103" s="104"/>
      <c r="T103" s="104"/>
      <c r="U103" s="104"/>
      <c r="V103" s="104"/>
      <c r="W103" s="104"/>
      <c r="X103" s="104"/>
    </row>
    <row r="104" spans="2:30" x14ac:dyDescent="0.25">
      <c r="C104" s="91"/>
      <c r="D104" s="104"/>
      <c r="E104" s="104"/>
      <c r="F104" s="104"/>
      <c r="G104" s="104"/>
      <c r="H104" s="104"/>
      <c r="I104" s="104"/>
      <c r="J104" s="104"/>
      <c r="K104" s="104"/>
      <c r="L104" s="104"/>
      <c r="M104" s="104"/>
      <c r="N104" s="104"/>
      <c r="O104" s="104"/>
      <c r="P104" s="104"/>
      <c r="Q104" s="104"/>
      <c r="R104" s="104"/>
      <c r="S104" s="104"/>
      <c r="T104" s="104"/>
      <c r="U104" s="104"/>
      <c r="V104" s="104"/>
      <c r="W104" s="104"/>
      <c r="X104" s="104"/>
    </row>
    <row r="105" spans="2:30" ht="28.15" customHeight="1" x14ac:dyDescent="0.25">
      <c r="B105" t="s">
        <v>124</v>
      </c>
      <c r="C105" s="498" t="s">
        <v>127</v>
      </c>
      <c r="D105" s="498"/>
      <c r="E105" s="498"/>
      <c r="F105" s="498"/>
      <c r="G105" s="73"/>
      <c r="H105" s="73"/>
      <c r="I105" s="73"/>
      <c r="J105" s="73"/>
      <c r="K105" s="73"/>
      <c r="L105" s="73"/>
      <c r="M105" s="73"/>
      <c r="N105" s="73"/>
      <c r="O105" s="73"/>
      <c r="P105" s="73"/>
      <c r="Q105" s="73"/>
      <c r="R105" s="73"/>
      <c r="S105" s="73"/>
      <c r="T105" s="73"/>
      <c r="U105" s="73"/>
      <c r="V105" s="73"/>
      <c r="W105" s="73"/>
    </row>
    <row r="106" spans="2:30" x14ac:dyDescent="0.25">
      <c r="B106" s="65"/>
      <c r="C106" s="16" t="s">
        <v>19</v>
      </c>
      <c r="D106" s="16">
        <v>1</v>
      </c>
      <c r="E106" s="16">
        <v>2</v>
      </c>
      <c r="F106" s="16">
        <v>3</v>
      </c>
      <c r="G106" s="73"/>
      <c r="H106" s="73"/>
      <c r="I106" s="73"/>
      <c r="J106" s="73"/>
      <c r="K106" s="73"/>
      <c r="L106" s="73"/>
      <c r="M106" s="73"/>
      <c r="N106" s="73"/>
      <c r="O106" s="73"/>
      <c r="P106" s="73"/>
      <c r="Q106" s="73"/>
      <c r="R106" s="73"/>
      <c r="S106" s="73"/>
      <c r="T106" s="73"/>
      <c r="U106" s="73"/>
      <c r="V106" s="73"/>
      <c r="W106" s="73"/>
    </row>
    <row r="107" spans="2:30" x14ac:dyDescent="0.25">
      <c r="B107" t="s">
        <v>80</v>
      </c>
      <c r="C107" s="63"/>
      <c r="D107" s="68">
        <f>Assumption_Hatchery!D107</f>
        <v>0</v>
      </c>
      <c r="E107" s="68">
        <f>Assumption_Hatchery!E107</f>
        <v>0</v>
      </c>
      <c r="F107" s="68">
        <f>Assumption_Hatchery!F107</f>
        <v>1</v>
      </c>
      <c r="G107" s="73"/>
      <c r="H107" s="73"/>
      <c r="I107" s="73"/>
      <c r="J107" s="73"/>
      <c r="K107" s="73"/>
      <c r="L107" s="73"/>
      <c r="M107" s="73"/>
      <c r="N107" s="73"/>
      <c r="O107" s="73"/>
      <c r="P107" s="73"/>
      <c r="Q107" s="73"/>
      <c r="R107" s="73"/>
      <c r="S107" s="73"/>
      <c r="T107" s="73"/>
      <c r="U107" s="73"/>
      <c r="V107" s="73"/>
      <c r="W107" s="73"/>
    </row>
    <row r="108" spans="2:30" x14ac:dyDescent="0.25">
      <c r="B108" t="s">
        <v>82</v>
      </c>
      <c r="C108" s="63"/>
      <c r="D108" s="139">
        <f>Assumption_Hatchery!D108</f>
        <v>0</v>
      </c>
      <c r="E108" s="139">
        <f>Assumption_Hatchery!E108</f>
        <v>0</v>
      </c>
      <c r="F108" s="139">
        <f>Assumption_Hatchery!F108</f>
        <v>0.5</v>
      </c>
      <c r="G108" s="73"/>
      <c r="H108" s="73"/>
      <c r="I108" s="73"/>
      <c r="J108" s="73"/>
      <c r="K108" s="73"/>
      <c r="L108" s="73"/>
      <c r="M108" s="73"/>
      <c r="N108" s="73"/>
      <c r="O108" s="73"/>
      <c r="P108" s="73"/>
      <c r="Q108" s="73"/>
      <c r="R108" s="73"/>
      <c r="S108" s="73"/>
      <c r="T108" s="73"/>
      <c r="U108" s="73"/>
      <c r="V108" s="73"/>
      <c r="W108" s="73"/>
    </row>
    <row r="109" spans="2:30" x14ac:dyDescent="0.25">
      <c r="C109" s="91"/>
      <c r="D109" s="71"/>
      <c r="E109" s="71"/>
      <c r="F109" s="71"/>
      <c r="G109" s="73"/>
      <c r="H109" s="73"/>
      <c r="I109" s="73"/>
      <c r="J109" s="73"/>
      <c r="K109" s="73"/>
      <c r="L109" s="73"/>
      <c r="M109" s="73"/>
      <c r="N109" s="73"/>
      <c r="O109" s="73"/>
      <c r="P109" s="73"/>
      <c r="Q109" s="73"/>
      <c r="R109" s="73"/>
      <c r="S109" s="73"/>
      <c r="T109" s="73"/>
      <c r="U109" s="73"/>
      <c r="V109" s="73"/>
      <c r="W109" s="73"/>
    </row>
    <row r="111" spans="2:30" x14ac:dyDescent="0.25">
      <c r="B111" s="65"/>
      <c r="C111" s="16" t="s">
        <v>19</v>
      </c>
      <c r="D111" s="16">
        <v>0</v>
      </c>
      <c r="E111" s="16">
        <v>1</v>
      </c>
      <c r="F111" s="16">
        <v>2</v>
      </c>
      <c r="G111" s="16">
        <v>3</v>
      </c>
      <c r="H111" s="16">
        <v>4</v>
      </c>
      <c r="I111" s="16">
        <v>5</v>
      </c>
      <c r="J111" s="16">
        <v>6</v>
      </c>
      <c r="K111" s="16">
        <v>7</v>
      </c>
      <c r="L111" s="16">
        <v>8</v>
      </c>
      <c r="M111" s="16">
        <v>9</v>
      </c>
      <c r="N111" s="16">
        <v>10</v>
      </c>
      <c r="O111" s="16">
        <v>11</v>
      </c>
      <c r="P111" s="16">
        <v>12</v>
      </c>
      <c r="Q111" s="16">
        <v>13</v>
      </c>
      <c r="R111" s="16">
        <v>14</v>
      </c>
      <c r="S111" s="16">
        <v>15</v>
      </c>
      <c r="T111" s="16">
        <v>16</v>
      </c>
      <c r="U111" s="16">
        <v>17</v>
      </c>
      <c r="V111" s="16">
        <v>18</v>
      </c>
      <c r="W111" s="16">
        <v>19</v>
      </c>
      <c r="X111" s="16">
        <v>20</v>
      </c>
      <c r="Y111" s="16">
        <v>21</v>
      </c>
      <c r="Z111" s="16">
        <v>22</v>
      </c>
      <c r="AA111" s="16">
        <v>23</v>
      </c>
      <c r="AB111" s="16">
        <v>24</v>
      </c>
    </row>
    <row r="112" spans="2:30" x14ac:dyDescent="0.25">
      <c r="B112" t="s">
        <v>80</v>
      </c>
      <c r="C112" s="63"/>
      <c r="D112" s="63"/>
      <c r="E112" s="63">
        <f>D107</f>
        <v>0</v>
      </c>
      <c r="F112" s="63">
        <f>E107</f>
        <v>0</v>
      </c>
      <c r="G112" s="63">
        <f>F107</f>
        <v>1</v>
      </c>
      <c r="H112" s="63">
        <f>D107</f>
        <v>0</v>
      </c>
      <c r="I112" s="63">
        <f t="shared" ref="I112:J112" si="41">E107</f>
        <v>0</v>
      </c>
      <c r="J112" s="63">
        <f t="shared" si="41"/>
        <v>1</v>
      </c>
      <c r="K112" s="63">
        <f>D107</f>
        <v>0</v>
      </c>
      <c r="L112" s="63">
        <f t="shared" ref="L112:M112" si="42">E107</f>
        <v>0</v>
      </c>
      <c r="M112" s="63">
        <f t="shared" si="42"/>
        <v>1</v>
      </c>
      <c r="N112" s="63">
        <f>D107</f>
        <v>0</v>
      </c>
      <c r="O112" s="63">
        <f t="shared" ref="O112:P112" si="43">E107</f>
        <v>0</v>
      </c>
      <c r="P112" s="63">
        <f t="shared" si="43"/>
        <v>1</v>
      </c>
      <c r="Q112" s="63">
        <f>D107</f>
        <v>0</v>
      </c>
      <c r="R112" s="63">
        <f t="shared" ref="R112:S112" si="44">E107</f>
        <v>0</v>
      </c>
      <c r="S112" s="63">
        <f t="shared" si="44"/>
        <v>1</v>
      </c>
      <c r="T112" s="63">
        <f>D107</f>
        <v>0</v>
      </c>
      <c r="U112" s="63">
        <f t="shared" ref="U112:V112" si="45">E107</f>
        <v>0</v>
      </c>
      <c r="V112" s="63">
        <f t="shared" si="45"/>
        <v>1</v>
      </c>
      <c r="W112" s="63">
        <f>D107</f>
        <v>0</v>
      </c>
      <c r="X112" s="63">
        <f t="shared" ref="X112:Y112" si="46">E107</f>
        <v>0</v>
      </c>
      <c r="Y112" s="63">
        <f t="shared" si="46"/>
        <v>1</v>
      </c>
      <c r="Z112" s="63">
        <f>D107</f>
        <v>0</v>
      </c>
      <c r="AA112" s="63">
        <f t="shared" ref="AA112:AB112" si="47">E107</f>
        <v>0</v>
      </c>
      <c r="AB112" s="63">
        <f t="shared" si="47"/>
        <v>1</v>
      </c>
    </row>
    <row r="113" spans="1:30" x14ac:dyDescent="0.25">
      <c r="B113" t="s">
        <v>82</v>
      </c>
      <c r="C113" s="63"/>
      <c r="D113" s="68"/>
      <c r="E113" s="58">
        <f>$D108</f>
        <v>0</v>
      </c>
      <c r="F113" s="106">
        <f>$E108</f>
        <v>0</v>
      </c>
      <c r="G113" s="106">
        <f>$F108</f>
        <v>0.5</v>
      </c>
      <c r="H113" s="58">
        <f>$D108</f>
        <v>0</v>
      </c>
      <c r="I113" s="106">
        <f>$E108</f>
        <v>0</v>
      </c>
      <c r="J113" s="106">
        <f>$F108</f>
        <v>0.5</v>
      </c>
      <c r="K113" s="58">
        <f>$D108</f>
        <v>0</v>
      </c>
      <c r="L113" s="106">
        <f>$E108</f>
        <v>0</v>
      </c>
      <c r="M113" s="106">
        <f>$F108</f>
        <v>0.5</v>
      </c>
      <c r="N113" s="58">
        <f>$D108</f>
        <v>0</v>
      </c>
      <c r="O113" s="106">
        <f>$E108</f>
        <v>0</v>
      </c>
      <c r="P113" s="106">
        <f>$F108</f>
        <v>0.5</v>
      </c>
      <c r="Q113" s="58">
        <f>$D108</f>
        <v>0</v>
      </c>
      <c r="R113" s="106">
        <f>$E108</f>
        <v>0</v>
      </c>
      <c r="S113" s="106">
        <f>$F108</f>
        <v>0.5</v>
      </c>
      <c r="T113" s="58">
        <f>$D108</f>
        <v>0</v>
      </c>
      <c r="U113" s="106">
        <f>$E108</f>
        <v>0</v>
      </c>
      <c r="V113" s="106">
        <f>$F108</f>
        <v>0.5</v>
      </c>
      <c r="W113" s="58">
        <f>$D108</f>
        <v>0</v>
      </c>
      <c r="X113" s="106">
        <f>$E108</f>
        <v>0</v>
      </c>
      <c r="Y113" s="106">
        <f>$F108</f>
        <v>0.5</v>
      </c>
      <c r="Z113" s="58">
        <f>$D108</f>
        <v>0</v>
      </c>
      <c r="AA113" s="106">
        <f>$E108</f>
        <v>0</v>
      </c>
      <c r="AB113" s="106">
        <f>$F108</f>
        <v>0.5</v>
      </c>
      <c r="AC113" s="107"/>
      <c r="AD113" s="107"/>
    </row>
    <row r="114" spans="1:30" x14ac:dyDescent="0.25">
      <c r="C114" s="91"/>
      <c r="D114" s="104"/>
      <c r="E114" s="104"/>
      <c r="F114" s="104"/>
      <c r="G114" s="104"/>
      <c r="H114" s="104"/>
      <c r="I114" s="104"/>
      <c r="J114" s="104"/>
      <c r="K114" s="104"/>
      <c r="L114" s="104"/>
      <c r="M114" s="104"/>
      <c r="N114" s="104"/>
      <c r="O114" s="104"/>
      <c r="P114" s="104"/>
      <c r="Q114" s="104"/>
      <c r="R114" s="104"/>
      <c r="S114" s="104"/>
      <c r="T114" s="104"/>
      <c r="U114" s="104"/>
      <c r="V114" s="104"/>
      <c r="W114" s="104"/>
      <c r="X114" s="104"/>
    </row>
    <row r="115" spans="1:30" ht="15.75" x14ac:dyDescent="0.25">
      <c r="A115" s="63">
        <v>6</v>
      </c>
      <c r="B115" s="340" t="s">
        <v>312</v>
      </c>
      <c r="C115" s="91"/>
      <c r="D115" s="104"/>
      <c r="E115" s="104"/>
      <c r="F115" s="104"/>
      <c r="G115" s="104"/>
      <c r="H115" s="104"/>
      <c r="I115" s="104"/>
      <c r="J115" s="104"/>
      <c r="K115" s="104"/>
      <c r="L115" s="104"/>
      <c r="M115" s="104"/>
      <c r="N115" s="104"/>
      <c r="O115" s="104"/>
      <c r="P115" s="104"/>
      <c r="Q115" s="104"/>
      <c r="R115" s="104"/>
      <c r="S115" s="104"/>
      <c r="T115" s="104"/>
      <c r="U115" s="104"/>
      <c r="V115" s="104"/>
      <c r="W115" s="104"/>
      <c r="X115" s="104"/>
    </row>
    <row r="116" spans="1:30" x14ac:dyDescent="0.25">
      <c r="C116" s="91"/>
      <c r="D116" s="104"/>
      <c r="E116" s="104"/>
      <c r="F116" s="104"/>
      <c r="G116" s="104"/>
      <c r="H116" s="104"/>
      <c r="I116" s="104"/>
      <c r="J116" s="104"/>
      <c r="K116" s="104"/>
      <c r="L116" s="104"/>
      <c r="M116" s="104"/>
      <c r="N116" s="104"/>
      <c r="O116" s="104"/>
      <c r="P116" s="104"/>
      <c r="Q116" s="104"/>
      <c r="R116" s="104"/>
      <c r="S116" s="104"/>
      <c r="T116" s="104"/>
      <c r="U116" s="104"/>
      <c r="V116" s="104"/>
      <c r="W116" s="104"/>
      <c r="X116" s="104"/>
    </row>
    <row r="117" spans="1:30" x14ac:dyDescent="0.25">
      <c r="C117" s="91"/>
      <c r="D117" s="104"/>
      <c r="E117" s="104"/>
      <c r="F117" s="104"/>
      <c r="G117" s="104"/>
      <c r="H117" s="104"/>
      <c r="I117" s="104"/>
      <c r="J117" s="104"/>
      <c r="K117" s="104"/>
      <c r="L117" s="104"/>
      <c r="M117" s="104"/>
      <c r="N117" s="104"/>
      <c r="O117" s="104"/>
      <c r="P117" s="104"/>
      <c r="Q117" s="104"/>
      <c r="R117" s="104"/>
      <c r="S117" s="104"/>
      <c r="T117" s="104"/>
      <c r="U117" s="104"/>
      <c r="V117" s="104"/>
      <c r="W117" s="104"/>
      <c r="X117" s="104"/>
    </row>
    <row r="118" spans="1:30" x14ac:dyDescent="0.25">
      <c r="B118" s="17" t="s">
        <v>3</v>
      </c>
      <c r="C118" s="13" t="s">
        <v>4</v>
      </c>
      <c r="D118" s="20" t="s">
        <v>5</v>
      </c>
      <c r="E118" s="484" t="s">
        <v>6</v>
      </c>
      <c r="F118" s="484"/>
      <c r="G118" s="484"/>
      <c r="H118" s="484"/>
      <c r="I118" s="104"/>
      <c r="J118" s="104"/>
      <c r="K118" s="104"/>
      <c r="L118" s="104"/>
      <c r="M118" s="104"/>
      <c r="N118" s="104"/>
      <c r="O118" s="104"/>
      <c r="P118" s="104"/>
      <c r="Q118" s="104"/>
      <c r="R118" s="104"/>
      <c r="S118" s="104"/>
      <c r="T118" s="104"/>
      <c r="U118" s="104"/>
      <c r="V118" s="104"/>
      <c r="W118" s="104"/>
      <c r="X118" s="104"/>
    </row>
    <row r="119" spans="1:30" x14ac:dyDescent="0.25">
      <c r="B119" s="2" t="s">
        <v>56</v>
      </c>
      <c r="C119" s="161">
        <f>C134*C135*(1-0.1)</f>
        <v>45000</v>
      </c>
      <c r="D119" s="28" t="s">
        <v>57</v>
      </c>
      <c r="E119" s="500" t="s">
        <v>234</v>
      </c>
      <c r="F119" s="500"/>
      <c r="G119" s="500"/>
      <c r="H119" s="500"/>
      <c r="I119" s="104"/>
      <c r="J119" s="104"/>
      <c r="K119" s="104"/>
      <c r="L119" s="104"/>
      <c r="M119" s="104"/>
      <c r="N119" s="104"/>
      <c r="O119" s="104"/>
      <c r="P119" s="104"/>
      <c r="Q119" s="104"/>
      <c r="R119" s="104"/>
      <c r="S119" s="104"/>
      <c r="T119" s="104"/>
      <c r="U119" s="104"/>
      <c r="V119" s="104"/>
      <c r="W119" s="104"/>
      <c r="X119" s="104"/>
    </row>
    <row r="120" spans="1:30" x14ac:dyDescent="0.25">
      <c r="B120" s="2" t="s">
        <v>58</v>
      </c>
      <c r="C120" s="140">
        <v>3.5000000000000003E-2</v>
      </c>
      <c r="D120" s="28" t="s">
        <v>59</v>
      </c>
      <c r="E120" s="500"/>
      <c r="F120" s="500"/>
      <c r="G120" s="500"/>
      <c r="H120" s="500"/>
      <c r="I120" s="104"/>
      <c r="J120" s="104"/>
      <c r="K120" s="104"/>
      <c r="L120" s="104"/>
      <c r="M120" s="104"/>
      <c r="N120" s="104"/>
      <c r="O120" s="104"/>
      <c r="P120" s="104"/>
      <c r="Q120" s="104"/>
      <c r="R120" s="104"/>
      <c r="S120" s="104"/>
      <c r="T120" s="104"/>
      <c r="U120" s="104"/>
      <c r="V120" s="104"/>
      <c r="W120" s="104"/>
      <c r="X120" s="104"/>
    </row>
    <row r="121" spans="1:30" x14ac:dyDescent="0.25">
      <c r="B121" s="2" t="s">
        <v>60</v>
      </c>
      <c r="C121" s="114">
        <v>0.02</v>
      </c>
      <c r="D121" s="28" t="s">
        <v>26</v>
      </c>
      <c r="E121" s="500"/>
      <c r="F121" s="500"/>
      <c r="G121" s="500"/>
      <c r="H121" s="500"/>
      <c r="I121" s="104"/>
      <c r="J121" s="104"/>
      <c r="K121" s="104"/>
      <c r="L121" s="104"/>
      <c r="M121" s="104"/>
      <c r="N121" s="104"/>
      <c r="O121" s="104"/>
      <c r="P121" s="104"/>
      <c r="Q121" s="104"/>
      <c r="R121" s="104"/>
      <c r="S121" s="104"/>
      <c r="T121" s="104"/>
      <c r="U121" s="104"/>
      <c r="V121" s="104"/>
      <c r="W121" s="104"/>
      <c r="X121" s="104"/>
    </row>
    <row r="122" spans="1:30" x14ac:dyDescent="0.25">
      <c r="I122" s="104"/>
      <c r="J122" s="104"/>
      <c r="K122" s="104"/>
      <c r="L122" s="104"/>
      <c r="M122" s="104"/>
      <c r="N122" s="104"/>
      <c r="O122" s="104"/>
      <c r="P122" s="104"/>
      <c r="Q122" s="104"/>
      <c r="R122" s="104"/>
      <c r="S122" s="104"/>
      <c r="T122" s="104"/>
      <c r="U122" s="104"/>
      <c r="V122" s="104"/>
      <c r="W122" s="104"/>
      <c r="X122" s="104"/>
    </row>
    <row r="123" spans="1:30" x14ac:dyDescent="0.25">
      <c r="I123" s="104"/>
      <c r="J123" s="104"/>
      <c r="K123" s="104"/>
      <c r="L123" s="104"/>
      <c r="M123" s="104"/>
      <c r="N123" s="104"/>
      <c r="O123" s="104"/>
      <c r="P123" s="104"/>
      <c r="Q123" s="104"/>
      <c r="R123" s="104"/>
      <c r="S123" s="104"/>
      <c r="T123" s="104"/>
      <c r="U123" s="104"/>
      <c r="V123" s="104"/>
      <c r="W123" s="104"/>
      <c r="X123" s="104"/>
    </row>
    <row r="124" spans="1:30" x14ac:dyDescent="0.25">
      <c r="B124" s="17" t="s">
        <v>10</v>
      </c>
      <c r="C124" s="14" t="s">
        <v>4</v>
      </c>
      <c r="D124" s="21" t="s">
        <v>5</v>
      </c>
      <c r="E124" s="474" t="s">
        <v>6</v>
      </c>
      <c r="F124" s="474"/>
      <c r="G124" s="474"/>
      <c r="H124" s="474"/>
      <c r="I124" s="104"/>
      <c r="J124" s="104"/>
      <c r="K124" s="104"/>
      <c r="L124" s="104"/>
      <c r="M124" s="104"/>
      <c r="N124" s="104"/>
      <c r="O124" s="104"/>
      <c r="P124" s="104"/>
      <c r="Q124" s="104"/>
      <c r="R124" s="104"/>
      <c r="S124" s="104"/>
      <c r="T124" s="104"/>
      <c r="U124" s="104"/>
      <c r="V124" s="104"/>
      <c r="W124" s="104"/>
      <c r="X124" s="104"/>
    </row>
    <row r="125" spans="1:30" x14ac:dyDescent="0.25">
      <c r="B125" s="2" t="s">
        <v>61</v>
      </c>
      <c r="C125" s="140">
        <v>400</v>
      </c>
      <c r="D125" s="28" t="s">
        <v>9</v>
      </c>
      <c r="E125" s="481" t="s">
        <v>11</v>
      </c>
      <c r="F125" s="482"/>
      <c r="G125" s="482"/>
      <c r="H125" s="483"/>
      <c r="I125" s="104"/>
      <c r="J125" s="104"/>
      <c r="K125" s="104"/>
      <c r="L125" s="104"/>
      <c r="M125" s="104"/>
      <c r="N125" s="104"/>
      <c r="O125" s="104"/>
      <c r="P125" s="104"/>
      <c r="Q125" s="104"/>
      <c r="R125" s="104"/>
      <c r="S125" s="104"/>
      <c r="T125" s="104"/>
      <c r="U125" s="104"/>
      <c r="V125" s="104"/>
      <c r="W125" s="104"/>
      <c r="X125" s="104"/>
    </row>
    <row r="126" spans="1:30" x14ac:dyDescent="0.25">
      <c r="B126" s="2" t="s">
        <v>62</v>
      </c>
      <c r="C126" s="151">
        <f>C134*C135*C136</f>
        <v>850.00000000000011</v>
      </c>
      <c r="D126" s="28" t="s">
        <v>45</v>
      </c>
      <c r="E126" s="481" t="s">
        <v>142</v>
      </c>
      <c r="F126" s="482"/>
      <c r="G126" s="482"/>
      <c r="H126" s="483"/>
      <c r="I126" s="104"/>
      <c r="J126" s="104"/>
      <c r="K126" s="104"/>
      <c r="L126" s="104"/>
      <c r="M126" s="104"/>
      <c r="N126" s="104"/>
      <c r="O126" s="104"/>
      <c r="P126" s="104"/>
      <c r="Q126" s="104"/>
      <c r="R126" s="104"/>
      <c r="S126" s="104"/>
      <c r="T126" s="104"/>
      <c r="U126" s="104"/>
      <c r="V126" s="104"/>
      <c r="W126" s="104"/>
      <c r="X126" s="104"/>
    </row>
    <row r="127" spans="1:30" x14ac:dyDescent="0.25">
      <c r="B127" s="9" t="s">
        <v>34</v>
      </c>
      <c r="C127" s="112">
        <v>50</v>
      </c>
      <c r="D127" s="28" t="s">
        <v>45</v>
      </c>
      <c r="E127" s="481" t="s">
        <v>142</v>
      </c>
      <c r="F127" s="482"/>
      <c r="G127" s="482"/>
      <c r="H127" s="483"/>
      <c r="I127" s="104"/>
      <c r="J127" s="104"/>
      <c r="K127" s="104"/>
      <c r="L127" s="104"/>
      <c r="M127" s="104"/>
      <c r="N127" s="104"/>
      <c r="O127" s="104"/>
      <c r="P127" s="104"/>
      <c r="Q127" s="104"/>
      <c r="R127" s="104"/>
      <c r="S127" s="104"/>
      <c r="T127" s="104"/>
      <c r="U127" s="104"/>
      <c r="V127" s="104"/>
      <c r="W127" s="104"/>
      <c r="X127" s="104"/>
    </row>
    <row r="128" spans="1:30" x14ac:dyDescent="0.25">
      <c r="B128" s="109" t="s">
        <v>141</v>
      </c>
      <c r="C128" s="112">
        <v>40</v>
      </c>
      <c r="D128" s="28" t="s">
        <v>45</v>
      </c>
      <c r="E128" s="481" t="s">
        <v>142</v>
      </c>
      <c r="F128" s="482"/>
      <c r="G128" s="482"/>
      <c r="H128" s="483"/>
      <c r="I128" s="104"/>
      <c r="J128" s="104"/>
      <c r="K128" s="104"/>
      <c r="L128" s="104"/>
      <c r="M128" s="104"/>
      <c r="N128" s="104"/>
      <c r="O128" s="104"/>
      <c r="P128" s="104"/>
      <c r="Q128" s="104"/>
      <c r="R128" s="104"/>
      <c r="S128" s="104"/>
      <c r="T128" s="104"/>
      <c r="U128" s="104"/>
      <c r="V128" s="104"/>
      <c r="W128" s="104"/>
      <c r="X128" s="104"/>
    </row>
    <row r="129" spans="1:24" x14ac:dyDescent="0.25">
      <c r="B129" s="109" t="s">
        <v>12</v>
      </c>
      <c r="C129" s="112">
        <v>60</v>
      </c>
      <c r="D129" s="28" t="s">
        <v>100</v>
      </c>
      <c r="E129" s="164"/>
      <c r="F129" s="165"/>
      <c r="G129" s="165"/>
      <c r="H129" s="166"/>
      <c r="I129" s="104"/>
      <c r="J129" s="104"/>
      <c r="K129" s="104"/>
      <c r="L129" s="104"/>
      <c r="M129" s="104"/>
      <c r="N129" s="104"/>
      <c r="O129" s="104"/>
      <c r="P129" s="104"/>
      <c r="Q129" s="104"/>
      <c r="R129" s="104"/>
      <c r="S129" s="104"/>
      <c r="T129" s="104"/>
      <c r="U129" s="104"/>
      <c r="V129" s="104"/>
      <c r="W129" s="104"/>
      <c r="X129" s="104"/>
    </row>
    <row r="130" spans="1:24" x14ac:dyDescent="0.25">
      <c r="B130" s="109" t="s">
        <v>13</v>
      </c>
      <c r="C130" s="112">
        <v>7</v>
      </c>
      <c r="D130" s="28" t="s">
        <v>36</v>
      </c>
      <c r="E130" s="164"/>
      <c r="F130" s="165"/>
      <c r="G130" s="165"/>
      <c r="H130" s="166"/>
      <c r="I130" s="104"/>
      <c r="J130" s="104"/>
      <c r="K130" s="104"/>
      <c r="L130" s="104"/>
      <c r="M130" s="104"/>
      <c r="N130" s="104"/>
      <c r="O130" s="104"/>
      <c r="P130" s="104"/>
      <c r="Q130" s="104"/>
      <c r="R130" s="104"/>
      <c r="S130" s="104"/>
      <c r="T130" s="104"/>
      <c r="U130" s="104"/>
      <c r="V130" s="104"/>
      <c r="W130" s="104"/>
      <c r="X130" s="104"/>
    </row>
    <row r="131" spans="1:24" x14ac:dyDescent="0.25">
      <c r="B131" s="109" t="s">
        <v>132</v>
      </c>
      <c r="C131" s="102">
        <v>0.01</v>
      </c>
      <c r="D131" s="28" t="s">
        <v>16</v>
      </c>
      <c r="E131" s="164"/>
      <c r="F131" s="165"/>
      <c r="G131" s="165"/>
      <c r="H131" s="166"/>
      <c r="I131" s="104"/>
      <c r="J131" s="104"/>
      <c r="K131" s="104"/>
      <c r="L131" s="104"/>
      <c r="M131" s="104"/>
      <c r="N131" s="104"/>
      <c r="O131" s="104"/>
      <c r="P131" s="104"/>
      <c r="Q131" s="104"/>
      <c r="R131" s="104"/>
      <c r="S131" s="104"/>
      <c r="T131" s="104"/>
      <c r="U131" s="104"/>
      <c r="V131" s="104"/>
      <c r="W131" s="104"/>
      <c r="X131" s="104"/>
    </row>
    <row r="132" spans="1:24" x14ac:dyDescent="0.25">
      <c r="B132" s="9" t="s">
        <v>15</v>
      </c>
      <c r="C132" s="102">
        <v>0.24</v>
      </c>
      <c r="D132" s="27" t="s">
        <v>16</v>
      </c>
      <c r="E132" s="490" t="s">
        <v>17</v>
      </c>
      <c r="F132" s="490"/>
      <c r="G132" s="490"/>
      <c r="H132" s="490"/>
      <c r="I132" s="104"/>
      <c r="J132" s="104"/>
      <c r="K132" s="104"/>
      <c r="L132" s="104"/>
      <c r="M132" s="104"/>
      <c r="N132" s="104"/>
      <c r="O132" s="104"/>
      <c r="P132" s="104"/>
      <c r="Q132" s="104"/>
      <c r="R132" s="104"/>
      <c r="S132" s="104"/>
      <c r="T132" s="104"/>
      <c r="U132" s="104"/>
      <c r="V132" s="104"/>
      <c r="W132" s="104"/>
      <c r="X132" s="104"/>
    </row>
    <row r="133" spans="1:24" x14ac:dyDescent="0.25">
      <c r="B133" s="10"/>
      <c r="C133" s="62"/>
      <c r="D133" s="100"/>
      <c r="E133" s="101"/>
      <c r="F133" s="101"/>
      <c r="G133" s="101"/>
      <c r="H133" s="101"/>
      <c r="I133" s="104"/>
      <c r="J133" s="104"/>
      <c r="K133" s="104"/>
      <c r="L133" s="104"/>
      <c r="M133" s="104"/>
      <c r="N133" s="104"/>
      <c r="O133" s="104"/>
      <c r="P133" s="104"/>
      <c r="Q133" s="104"/>
      <c r="R133" s="104"/>
      <c r="S133" s="104"/>
      <c r="T133" s="104"/>
      <c r="U133" s="104"/>
      <c r="V133" s="104"/>
      <c r="W133" s="104"/>
      <c r="X133" s="104"/>
    </row>
    <row r="134" spans="1:24" x14ac:dyDescent="0.25">
      <c r="B134" s="9" t="s">
        <v>145</v>
      </c>
      <c r="C134" s="148">
        <v>10000</v>
      </c>
      <c r="D134" s="27" t="s">
        <v>146</v>
      </c>
      <c r="E134" s="101"/>
      <c r="F134" s="101"/>
      <c r="G134" s="101"/>
      <c r="H134" s="101"/>
      <c r="I134" s="104"/>
      <c r="J134" s="104"/>
      <c r="K134" s="104"/>
      <c r="L134" s="104"/>
      <c r="M134" s="104"/>
      <c r="N134" s="104"/>
      <c r="O134" s="104"/>
      <c r="P134" s="104"/>
      <c r="Q134" s="104"/>
      <c r="R134" s="104"/>
      <c r="S134" s="104"/>
      <c r="T134" s="104"/>
      <c r="U134" s="104"/>
      <c r="V134" s="104"/>
      <c r="W134" s="104"/>
      <c r="X134" s="104"/>
    </row>
    <row r="135" spans="1:24" x14ac:dyDescent="0.25">
      <c r="B135" s="115" t="s">
        <v>147</v>
      </c>
      <c r="C135" s="148">
        <v>5</v>
      </c>
      <c r="D135" s="27" t="s">
        <v>14</v>
      </c>
      <c r="E135" s="101"/>
      <c r="F135" s="101"/>
      <c r="G135" s="101"/>
      <c r="H135" s="101"/>
      <c r="I135" s="104"/>
      <c r="J135" s="104"/>
      <c r="K135" s="104"/>
      <c r="L135" s="104"/>
      <c r="M135" s="104"/>
      <c r="N135" s="104"/>
      <c r="O135" s="104"/>
      <c r="P135" s="104"/>
      <c r="Q135" s="104"/>
      <c r="R135" s="104"/>
      <c r="S135" s="104"/>
      <c r="T135" s="104"/>
      <c r="U135" s="104"/>
      <c r="V135" s="104"/>
      <c r="W135" s="104"/>
      <c r="X135" s="104"/>
    </row>
    <row r="136" spans="1:24" x14ac:dyDescent="0.25">
      <c r="B136" s="9" t="s">
        <v>148</v>
      </c>
      <c r="C136" s="150">
        <f>D168</f>
        <v>1.7000000000000001E-2</v>
      </c>
      <c r="D136" s="27"/>
      <c r="E136" s="101"/>
      <c r="F136" s="101"/>
      <c r="G136" s="101"/>
      <c r="H136" s="101"/>
      <c r="I136" s="104"/>
      <c r="J136" s="104"/>
      <c r="K136" s="104"/>
      <c r="L136" s="104"/>
      <c r="M136" s="104"/>
      <c r="N136" s="104"/>
      <c r="O136" s="104"/>
      <c r="P136" s="104"/>
      <c r="Q136" s="104"/>
      <c r="R136" s="104"/>
      <c r="S136" s="104"/>
      <c r="T136" s="104"/>
      <c r="U136" s="104"/>
      <c r="V136" s="104"/>
      <c r="W136" s="104"/>
      <c r="X136" s="104"/>
    </row>
    <row r="137" spans="1:24" x14ac:dyDescent="0.25">
      <c r="C137" s="91"/>
      <c r="D137" s="104"/>
      <c r="E137" s="104"/>
      <c r="F137" s="104"/>
      <c r="G137" s="104"/>
      <c r="H137" s="104"/>
      <c r="I137" s="104"/>
      <c r="J137" s="104"/>
      <c r="K137" s="104"/>
      <c r="L137" s="104"/>
      <c r="M137" s="104"/>
      <c r="N137" s="104"/>
      <c r="O137" s="104"/>
      <c r="P137" s="104"/>
      <c r="Q137" s="104"/>
      <c r="R137" s="104"/>
      <c r="S137" s="104"/>
      <c r="T137" s="104"/>
      <c r="U137" s="104"/>
      <c r="V137" s="104"/>
      <c r="W137" s="104"/>
      <c r="X137" s="104"/>
    </row>
    <row r="138" spans="1:24" x14ac:dyDescent="0.25">
      <c r="A138" s="63">
        <v>7</v>
      </c>
      <c r="B138" s="44" t="s">
        <v>313</v>
      </c>
      <c r="C138" s="91"/>
      <c r="D138" s="104"/>
      <c r="E138" s="104"/>
      <c r="F138" s="104"/>
      <c r="G138" s="104"/>
      <c r="H138" s="104"/>
      <c r="I138" s="104"/>
      <c r="J138" s="104"/>
      <c r="K138" s="104"/>
      <c r="L138" s="104"/>
      <c r="M138" s="104"/>
      <c r="N138" s="104"/>
      <c r="O138" s="104"/>
      <c r="P138" s="104"/>
      <c r="Q138" s="104"/>
      <c r="R138" s="104"/>
      <c r="S138" s="104"/>
      <c r="T138" s="104"/>
      <c r="U138" s="104"/>
      <c r="V138" s="104"/>
      <c r="W138" s="104"/>
      <c r="X138" s="104"/>
    </row>
    <row r="139" spans="1:24" x14ac:dyDescent="0.25">
      <c r="C139" s="91"/>
      <c r="D139" s="104"/>
      <c r="E139" s="104"/>
      <c r="F139" s="104"/>
      <c r="G139" s="104"/>
      <c r="H139" s="104"/>
      <c r="I139" s="104"/>
      <c r="J139" s="104"/>
      <c r="K139" s="104"/>
      <c r="L139" s="104"/>
      <c r="M139" s="104"/>
      <c r="N139" s="104"/>
      <c r="O139" s="104"/>
      <c r="P139" s="104"/>
      <c r="Q139" s="104"/>
      <c r="R139" s="104"/>
      <c r="S139" s="104"/>
      <c r="T139" s="104"/>
      <c r="U139" s="104"/>
      <c r="V139" s="104"/>
      <c r="W139" s="104"/>
      <c r="X139" s="104"/>
    </row>
    <row r="140" spans="1:24" x14ac:dyDescent="0.25">
      <c r="B140" s="347" t="s">
        <v>239</v>
      </c>
      <c r="C140" s="348"/>
      <c r="D140" s="349"/>
      <c r="E140" s="104"/>
      <c r="F140" s="104"/>
      <c r="G140" s="104"/>
      <c r="H140" s="104"/>
      <c r="I140" s="104"/>
      <c r="J140" s="104"/>
      <c r="K140" s="104"/>
      <c r="L140" s="104"/>
      <c r="M140" s="104"/>
      <c r="N140" s="104"/>
      <c r="O140" s="104"/>
      <c r="P140" s="104"/>
      <c r="Q140" s="104"/>
      <c r="R140" s="104"/>
      <c r="S140" s="104"/>
      <c r="T140" s="104"/>
      <c r="U140" s="104"/>
      <c r="V140" s="104"/>
      <c r="W140" s="104"/>
      <c r="X140" s="104"/>
    </row>
    <row r="141" spans="1:24" x14ac:dyDescent="0.25">
      <c r="B141" s="213"/>
      <c r="C141" s="219" t="s">
        <v>240</v>
      </c>
      <c r="D141" s="383"/>
      <c r="E141" s="104"/>
      <c r="F141" s="104"/>
      <c r="G141" s="104"/>
      <c r="H141" s="104"/>
      <c r="I141" s="104"/>
      <c r="J141" s="104"/>
      <c r="K141" s="104"/>
      <c r="L141" s="104"/>
      <c r="M141" s="104"/>
      <c r="N141" s="104"/>
      <c r="O141" s="104"/>
      <c r="P141" s="104"/>
      <c r="Q141" s="104"/>
      <c r="R141" s="104"/>
      <c r="S141" s="104"/>
      <c r="T141" s="104"/>
      <c r="U141" s="104"/>
      <c r="V141" s="104"/>
      <c r="W141" s="104"/>
      <c r="X141" s="104"/>
    </row>
    <row r="142" spans="1:24" x14ac:dyDescent="0.25">
      <c r="B142" s="2" t="s">
        <v>62</v>
      </c>
      <c r="C142" s="220">
        <v>1</v>
      </c>
      <c r="D142" s="554"/>
      <c r="E142" s="382"/>
      <c r="F142" s="382"/>
      <c r="G142" s="382"/>
      <c r="H142" s="382"/>
      <c r="I142" s="104"/>
      <c r="J142" s="104"/>
      <c r="K142" s="104"/>
      <c r="L142" s="104"/>
      <c r="M142" s="104"/>
      <c r="N142" s="104"/>
      <c r="O142" s="104"/>
      <c r="P142" s="104"/>
      <c r="Q142" s="104"/>
      <c r="R142" s="104"/>
      <c r="S142" s="104"/>
      <c r="T142" s="104"/>
      <c r="U142" s="104"/>
      <c r="V142" s="104"/>
      <c r="W142" s="104"/>
      <c r="X142" s="104"/>
    </row>
    <row r="143" spans="1:24" x14ac:dyDescent="0.25">
      <c r="B143" s="9" t="s">
        <v>34</v>
      </c>
      <c r="C143" s="220">
        <v>1</v>
      </c>
      <c r="D143" s="554"/>
      <c r="E143" s="104"/>
      <c r="F143" s="104"/>
      <c r="G143" s="104"/>
      <c r="H143" s="104"/>
      <c r="I143" s="104"/>
      <c r="J143" s="104"/>
      <c r="K143" s="104"/>
      <c r="L143" s="104"/>
      <c r="M143" s="104"/>
      <c r="N143" s="104"/>
      <c r="O143" s="104"/>
      <c r="P143" s="104"/>
      <c r="Q143" s="104"/>
      <c r="R143" s="104"/>
      <c r="S143" s="104"/>
      <c r="T143" s="104"/>
      <c r="U143" s="104"/>
      <c r="V143" s="104"/>
      <c r="W143" s="104"/>
      <c r="X143" s="104"/>
    </row>
    <row r="144" spans="1:24" x14ac:dyDescent="0.25">
      <c r="B144" s="109" t="s">
        <v>141</v>
      </c>
      <c r="C144" s="220">
        <v>1</v>
      </c>
      <c r="D144" s="554"/>
      <c r="E144" s="104"/>
      <c r="F144" s="104"/>
      <c r="G144" s="104"/>
      <c r="H144" s="104"/>
      <c r="I144" s="104"/>
      <c r="J144" s="104"/>
      <c r="K144" s="104"/>
      <c r="L144" s="104"/>
      <c r="M144" s="104"/>
      <c r="N144" s="104"/>
      <c r="O144" s="104"/>
      <c r="P144" s="104"/>
      <c r="Q144" s="104"/>
      <c r="R144" s="104"/>
      <c r="S144" s="104"/>
      <c r="T144" s="104"/>
      <c r="U144" s="104"/>
      <c r="V144" s="104"/>
      <c r="W144" s="104"/>
      <c r="X144" s="104"/>
    </row>
    <row r="145" spans="1:24" x14ac:dyDescent="0.25">
      <c r="B145" s="204" t="s">
        <v>241</v>
      </c>
      <c r="C145" s="220">
        <v>1</v>
      </c>
      <c r="D145" s="554"/>
      <c r="E145" s="104"/>
      <c r="F145" s="104"/>
      <c r="G145" s="104"/>
      <c r="H145" s="104"/>
      <c r="I145" s="104"/>
      <c r="J145" s="104"/>
      <c r="K145" s="104"/>
      <c r="L145" s="104"/>
      <c r="M145" s="104"/>
      <c r="N145" s="104"/>
      <c r="O145" s="104"/>
      <c r="P145" s="104"/>
      <c r="Q145" s="104"/>
      <c r="R145" s="104"/>
      <c r="S145" s="104"/>
      <c r="T145" s="104"/>
      <c r="U145" s="104"/>
      <c r="V145" s="104"/>
      <c r="W145" s="104"/>
      <c r="X145" s="104"/>
    </row>
    <row r="146" spans="1:24" x14ac:dyDescent="0.25">
      <c r="B146" s="2" t="s">
        <v>58</v>
      </c>
      <c r="C146" s="220">
        <v>1</v>
      </c>
      <c r="D146" s="554"/>
      <c r="E146" s="104"/>
      <c r="F146" s="104"/>
      <c r="G146" s="104"/>
      <c r="H146" s="104"/>
      <c r="I146" s="104"/>
      <c r="J146" s="104"/>
      <c r="K146" s="104"/>
      <c r="L146" s="104"/>
      <c r="M146" s="104"/>
      <c r="N146" s="104"/>
      <c r="O146" s="104"/>
      <c r="P146" s="104"/>
      <c r="Q146" s="104"/>
      <c r="R146" s="104"/>
      <c r="S146" s="104"/>
      <c r="T146" s="104"/>
      <c r="U146" s="104"/>
      <c r="V146" s="104"/>
      <c r="W146" s="104"/>
      <c r="X146" s="104"/>
    </row>
    <row r="147" spans="1:24" x14ac:dyDescent="0.25">
      <c r="B147" s="204" t="s">
        <v>245</v>
      </c>
      <c r="C147" s="220">
        <v>1</v>
      </c>
      <c r="D147" s="554"/>
      <c r="E147" s="104"/>
      <c r="F147" s="104"/>
      <c r="G147" s="104"/>
      <c r="H147" s="104"/>
      <c r="I147" s="104"/>
      <c r="J147" s="104"/>
      <c r="K147" s="104"/>
      <c r="L147" s="104"/>
      <c r="M147" s="104"/>
      <c r="N147" s="104"/>
      <c r="O147" s="104"/>
      <c r="P147" s="104"/>
      <c r="Q147" s="104"/>
      <c r="R147" s="104"/>
      <c r="S147" s="104"/>
      <c r="T147" s="104"/>
      <c r="U147" s="104"/>
      <c r="V147" s="104"/>
      <c r="W147" s="104"/>
      <c r="X147" s="104"/>
    </row>
    <row r="148" spans="1:24" x14ac:dyDescent="0.25">
      <c r="A148" s="91"/>
      <c r="B148" s="44"/>
      <c r="C148" s="73"/>
      <c r="D148" s="89"/>
      <c r="E148" s="73"/>
      <c r="F148" s="135"/>
      <c r="G148" s="135"/>
      <c r="H148" s="135"/>
      <c r="K148" s="499" t="s">
        <v>72</v>
      </c>
      <c r="L148" s="499"/>
      <c r="M148" s="499"/>
      <c r="N148" s="499"/>
      <c r="P148" s="494" t="s">
        <v>70</v>
      </c>
      <c r="Q148" s="494"/>
      <c r="R148" s="494"/>
      <c r="S148" s="494"/>
      <c r="U148" s="494" t="s">
        <v>73</v>
      </c>
      <c r="V148" s="494"/>
      <c r="W148" s="494"/>
      <c r="X148" s="494"/>
    </row>
    <row r="149" spans="1:24" ht="22.15" customHeight="1" x14ac:dyDescent="0.25">
      <c r="K149" s="495" t="s">
        <v>129</v>
      </c>
      <c r="L149" s="496"/>
      <c r="M149" s="496"/>
      <c r="N149" s="497"/>
      <c r="P149" s="495" t="s">
        <v>129</v>
      </c>
      <c r="Q149" s="496"/>
      <c r="R149" s="496"/>
      <c r="S149" s="497"/>
      <c r="U149" s="495" t="s">
        <v>129</v>
      </c>
      <c r="V149" s="496"/>
      <c r="W149" s="496"/>
      <c r="X149" s="497"/>
    </row>
    <row r="150" spans="1:24" ht="45" x14ac:dyDescent="0.25">
      <c r="B150" s="17" t="s">
        <v>3</v>
      </c>
      <c r="C150" s="110" t="s">
        <v>246</v>
      </c>
      <c r="D150" s="341" t="s">
        <v>247</v>
      </c>
      <c r="E150" s="20" t="s">
        <v>5</v>
      </c>
      <c r="F150" s="222"/>
      <c r="G150" s="222"/>
      <c r="H150" s="222"/>
      <c r="K150" s="88"/>
      <c r="L150" s="110" t="s">
        <v>130</v>
      </c>
      <c r="M150" s="88" t="s">
        <v>97</v>
      </c>
      <c r="N150" s="88" t="s">
        <v>96</v>
      </c>
      <c r="P150" s="88"/>
      <c r="Q150" s="110" t="s">
        <v>130</v>
      </c>
      <c r="R150" s="88" t="s">
        <v>97</v>
      </c>
      <c r="S150" s="88" t="s">
        <v>96</v>
      </c>
      <c r="U150" s="88"/>
      <c r="V150" s="110" t="s">
        <v>130</v>
      </c>
      <c r="W150" s="88" t="s">
        <v>97</v>
      </c>
      <c r="X150" s="88" t="s">
        <v>96</v>
      </c>
    </row>
    <row r="151" spans="1:24" ht="31.9" customHeight="1" x14ac:dyDescent="0.25">
      <c r="B151" s="2" t="s">
        <v>56</v>
      </c>
      <c r="C151" s="63">
        <f>C119</f>
        <v>45000</v>
      </c>
      <c r="D151" s="161">
        <f>C151</f>
        <v>45000</v>
      </c>
      <c r="E151" s="28" t="s">
        <v>57</v>
      </c>
      <c r="F151" s="223"/>
      <c r="G151" s="223"/>
      <c r="H151" s="223"/>
      <c r="K151" s="47" t="s">
        <v>77</v>
      </c>
      <c r="L151" s="152">
        <f>D172-1</f>
        <v>-9.9999999999999978E-2</v>
      </c>
      <c r="M151" s="58">
        <f>$F82*F81</f>
        <v>0.5</v>
      </c>
      <c r="N151" s="108">
        <f>L151*M151</f>
        <v>-4.9999999999999989E-2</v>
      </c>
      <c r="P151" s="47" t="s">
        <v>77</v>
      </c>
      <c r="Q151" s="139">
        <f>E172-1</f>
        <v>-0.12</v>
      </c>
      <c r="R151" s="58">
        <f>F96*F95</f>
        <v>0.5</v>
      </c>
      <c r="S151" s="108">
        <f>Q151*R151</f>
        <v>-0.06</v>
      </c>
      <c r="U151" s="47" t="s">
        <v>77</v>
      </c>
      <c r="V151" s="139">
        <f>F172-1</f>
        <v>-0.19999999999999996</v>
      </c>
      <c r="W151" s="58">
        <f>F108*F107</f>
        <v>0.5</v>
      </c>
      <c r="X151" s="108">
        <f>V151*W151</f>
        <v>-9.9999999999999978E-2</v>
      </c>
    </row>
    <row r="152" spans="1:24" ht="17.25" customHeight="1" x14ac:dyDescent="0.25">
      <c r="B152" s="2" t="s">
        <v>58</v>
      </c>
      <c r="C152" s="63">
        <f>C120</f>
        <v>3.5000000000000003E-2</v>
      </c>
      <c r="D152" s="161">
        <f>C152*C146</f>
        <v>3.5000000000000003E-2</v>
      </c>
      <c r="E152" s="28" t="s">
        <v>59</v>
      </c>
      <c r="F152" s="223"/>
      <c r="G152" s="223"/>
      <c r="H152" s="223"/>
      <c r="K152" s="47" t="s">
        <v>71</v>
      </c>
      <c r="L152" s="97">
        <v>0</v>
      </c>
      <c r="M152" s="58">
        <f>M151</f>
        <v>0.5</v>
      </c>
      <c r="N152" s="108">
        <f t="shared" ref="N152:N153" si="48">L152*M152</f>
        <v>0</v>
      </c>
      <c r="P152" s="47" t="s">
        <v>71</v>
      </c>
      <c r="Q152" s="97">
        <v>0</v>
      </c>
      <c r="R152" s="58">
        <f>R151</f>
        <v>0.5</v>
      </c>
      <c r="S152" s="108">
        <f t="shared" ref="S152:S153" si="49">Q152*R152</f>
        <v>0</v>
      </c>
      <c r="U152" s="47" t="s">
        <v>71</v>
      </c>
      <c r="V152" s="97">
        <v>0</v>
      </c>
      <c r="W152" s="58">
        <f>W151</f>
        <v>0.5</v>
      </c>
      <c r="X152" s="108">
        <f t="shared" ref="X152:X153" si="50">V152*W152</f>
        <v>0</v>
      </c>
    </row>
    <row r="153" spans="1:24" ht="17.25" customHeight="1" x14ac:dyDescent="0.25">
      <c r="B153" s="2" t="s">
        <v>60</v>
      </c>
      <c r="C153" s="138">
        <f>C121</f>
        <v>0.02</v>
      </c>
      <c r="D153" s="386">
        <f>C153</f>
        <v>0.02</v>
      </c>
      <c r="E153" s="28" t="s">
        <v>26</v>
      </c>
      <c r="F153" s="223"/>
      <c r="G153" s="223"/>
      <c r="H153" s="223"/>
      <c r="K153" s="47" t="s">
        <v>71</v>
      </c>
      <c r="L153" s="97">
        <v>0</v>
      </c>
      <c r="M153" s="58">
        <f t="shared" ref="M153" si="51">M152</f>
        <v>0.5</v>
      </c>
      <c r="N153" s="108">
        <f t="shared" si="48"/>
        <v>0</v>
      </c>
      <c r="P153" s="47" t="s">
        <v>71</v>
      </c>
      <c r="Q153" s="97">
        <v>0</v>
      </c>
      <c r="R153" s="58">
        <f t="shared" ref="R153" si="52">R152</f>
        <v>0.5</v>
      </c>
      <c r="S153" s="108">
        <f t="shared" si="49"/>
        <v>0</v>
      </c>
      <c r="U153" s="47" t="s">
        <v>71</v>
      </c>
      <c r="V153" s="97">
        <v>0</v>
      </c>
      <c r="W153" s="58">
        <f t="shared" ref="W153" si="53">W152</f>
        <v>0.5</v>
      </c>
      <c r="X153" s="108">
        <f t="shared" si="50"/>
        <v>0</v>
      </c>
    </row>
    <row r="154" spans="1:24" x14ac:dyDescent="0.25">
      <c r="C154" s="91"/>
      <c r="L154" s="91"/>
      <c r="M154" s="91"/>
      <c r="N154" s="91"/>
      <c r="Q154" s="91"/>
      <c r="R154" s="91"/>
      <c r="S154" s="91"/>
      <c r="V154" s="91"/>
      <c r="W154" s="91"/>
      <c r="X154" s="91"/>
    </row>
    <row r="155" spans="1:24" x14ac:dyDescent="0.25">
      <c r="C155" s="91"/>
      <c r="L155" s="91"/>
      <c r="M155" s="91"/>
      <c r="N155" s="91"/>
      <c r="Q155" s="91"/>
      <c r="R155" s="91"/>
      <c r="S155" s="91"/>
      <c r="V155" s="91"/>
      <c r="W155" s="91"/>
      <c r="X155" s="91"/>
    </row>
    <row r="156" spans="1:24" x14ac:dyDescent="0.25">
      <c r="B156" s="17" t="s">
        <v>10</v>
      </c>
      <c r="C156" s="63"/>
      <c r="D156" s="14" t="s">
        <v>4</v>
      </c>
      <c r="E156" s="21" t="s">
        <v>5</v>
      </c>
      <c r="F156" s="222"/>
      <c r="G156" s="222"/>
      <c r="H156" s="222"/>
      <c r="L156" s="91"/>
      <c r="M156" s="91"/>
      <c r="N156" s="91"/>
      <c r="Q156" s="91"/>
      <c r="R156" s="91"/>
      <c r="S156" s="91"/>
      <c r="V156" s="91"/>
      <c r="W156" s="91"/>
      <c r="X156" s="91"/>
    </row>
    <row r="157" spans="1:24" ht="16.899999999999999" customHeight="1" x14ac:dyDescent="0.25">
      <c r="B157" s="2" t="s">
        <v>61</v>
      </c>
      <c r="C157" s="63">
        <f>C125</f>
        <v>400</v>
      </c>
      <c r="D157" s="161">
        <f>C157</f>
        <v>400</v>
      </c>
      <c r="E157" s="28" t="s">
        <v>9</v>
      </c>
      <c r="F157" s="225"/>
      <c r="G157" s="225"/>
      <c r="H157" s="225"/>
      <c r="K157" s="47" t="s">
        <v>71</v>
      </c>
      <c r="L157" s="97">
        <v>0</v>
      </c>
      <c r="M157" s="58">
        <f>M151</f>
        <v>0.5</v>
      </c>
      <c r="N157" s="64">
        <f>L157*M157</f>
        <v>0</v>
      </c>
      <c r="P157" s="47" t="s">
        <v>71</v>
      </c>
      <c r="Q157" s="97">
        <v>0</v>
      </c>
      <c r="R157" s="58">
        <f>R153</f>
        <v>0.5</v>
      </c>
      <c r="S157" s="111">
        <f>Q157*R157</f>
        <v>0</v>
      </c>
      <c r="U157" s="47" t="s">
        <v>71</v>
      </c>
      <c r="V157" s="97">
        <v>0</v>
      </c>
      <c r="W157" s="58">
        <f>W153</f>
        <v>0.5</v>
      </c>
      <c r="X157" s="138">
        <f>V157*W157</f>
        <v>0</v>
      </c>
    </row>
    <row r="158" spans="1:24" x14ac:dyDescent="0.25">
      <c r="B158" s="2" t="s">
        <v>62</v>
      </c>
      <c r="C158" s="118">
        <f>C126</f>
        <v>850.00000000000011</v>
      </c>
      <c r="D158" s="151">
        <f>C158*C142</f>
        <v>850.00000000000011</v>
      </c>
      <c r="E158" s="28" t="s">
        <v>45</v>
      </c>
      <c r="F158" s="225"/>
      <c r="G158" s="225"/>
      <c r="H158" s="225"/>
      <c r="K158" s="47" t="s">
        <v>71</v>
      </c>
      <c r="L158" s="97">
        <v>0</v>
      </c>
      <c r="M158" s="58">
        <f t="shared" ref="M158" si="54">M152</f>
        <v>0.5</v>
      </c>
      <c r="N158" s="108">
        <f t="shared" ref="N158:N160" si="55">L158*M158</f>
        <v>0</v>
      </c>
      <c r="P158" s="47" t="s">
        <v>71</v>
      </c>
      <c r="Q158" s="97">
        <v>0</v>
      </c>
      <c r="R158" s="58">
        <f>R157</f>
        <v>0.5</v>
      </c>
      <c r="S158" s="111">
        <f t="shared" ref="S158:S164" si="56">Q158*R158</f>
        <v>0</v>
      </c>
      <c r="U158" s="47" t="s">
        <v>71</v>
      </c>
      <c r="V158" s="97">
        <v>0</v>
      </c>
      <c r="W158" s="58">
        <f>W157</f>
        <v>0.5</v>
      </c>
      <c r="X158" s="138">
        <f t="shared" ref="X158:X164" si="57">V158*W158</f>
        <v>0</v>
      </c>
    </row>
    <row r="159" spans="1:24" x14ac:dyDescent="0.25">
      <c r="B159" s="9" t="s">
        <v>34</v>
      </c>
      <c r="C159" s="118">
        <f>C127</f>
        <v>50</v>
      </c>
      <c r="D159" s="151">
        <f>C159*C143</f>
        <v>50</v>
      </c>
      <c r="E159" s="28" t="s">
        <v>45</v>
      </c>
      <c r="F159" s="225"/>
      <c r="G159" s="225"/>
      <c r="H159" s="225"/>
      <c r="K159" s="90" t="s">
        <v>74</v>
      </c>
      <c r="L159" s="97">
        <v>0.03</v>
      </c>
      <c r="M159" s="58">
        <f>M158</f>
        <v>0.5</v>
      </c>
      <c r="N159" s="108">
        <f t="shared" si="55"/>
        <v>1.4999999999999999E-2</v>
      </c>
      <c r="P159" s="90" t="s">
        <v>74</v>
      </c>
      <c r="Q159" s="97">
        <v>0.05</v>
      </c>
      <c r="R159" s="58">
        <f t="shared" ref="R159:R163" si="58">R158</f>
        <v>0.5</v>
      </c>
      <c r="S159" s="111">
        <f t="shared" si="56"/>
        <v>2.5000000000000001E-2</v>
      </c>
      <c r="U159" s="90" t="s">
        <v>74</v>
      </c>
      <c r="V159" s="97">
        <v>0.15</v>
      </c>
      <c r="W159" s="58">
        <f t="shared" ref="W159:W163" si="59">W158</f>
        <v>0.5</v>
      </c>
      <c r="X159" s="138">
        <f t="shared" si="57"/>
        <v>7.4999999999999997E-2</v>
      </c>
    </row>
    <row r="160" spans="1:24" x14ac:dyDescent="0.25">
      <c r="B160" s="109" t="s">
        <v>141</v>
      </c>
      <c r="C160" s="118">
        <f>C128</f>
        <v>40</v>
      </c>
      <c r="D160" s="151">
        <f>C160*C144</f>
        <v>40</v>
      </c>
      <c r="E160" s="28" t="s">
        <v>45</v>
      </c>
      <c r="F160" s="225"/>
      <c r="G160" s="225"/>
      <c r="H160" s="225"/>
      <c r="K160" s="47" t="s">
        <v>71</v>
      </c>
      <c r="L160" s="97">
        <v>0</v>
      </c>
      <c r="M160" s="58">
        <f>M159</f>
        <v>0.5</v>
      </c>
      <c r="N160" s="108">
        <f t="shared" si="55"/>
        <v>0</v>
      </c>
      <c r="P160" s="47" t="s">
        <v>71</v>
      </c>
      <c r="Q160" s="97">
        <v>0</v>
      </c>
      <c r="R160" s="58">
        <f t="shared" si="58"/>
        <v>0.5</v>
      </c>
      <c r="S160" s="111">
        <f t="shared" si="56"/>
        <v>0</v>
      </c>
      <c r="U160" s="47" t="s">
        <v>71</v>
      </c>
      <c r="V160" s="97">
        <v>0</v>
      </c>
      <c r="W160" s="58">
        <f t="shared" si="59"/>
        <v>0.5</v>
      </c>
      <c r="X160" s="138">
        <f t="shared" si="57"/>
        <v>0</v>
      </c>
    </row>
    <row r="161" spans="1:24" ht="15" customHeight="1" x14ac:dyDescent="0.25">
      <c r="B161" s="109" t="s">
        <v>12</v>
      </c>
      <c r="C161" s="118">
        <f t="shared" ref="C161:C162" si="60">C129</f>
        <v>60</v>
      </c>
      <c r="D161" s="151">
        <f>C161</f>
        <v>60</v>
      </c>
      <c r="E161" s="28" t="s">
        <v>100</v>
      </c>
      <c r="F161" s="211"/>
      <c r="G161" s="211"/>
      <c r="H161" s="211"/>
      <c r="K161" s="47" t="s">
        <v>71</v>
      </c>
      <c r="L161" s="97">
        <v>0</v>
      </c>
      <c r="M161" s="58">
        <f t="shared" ref="M161:M163" si="61">M160</f>
        <v>0.5</v>
      </c>
      <c r="N161" s="108">
        <f t="shared" ref="N161:N163" si="62">L161*M161</f>
        <v>0</v>
      </c>
      <c r="P161" s="47" t="s">
        <v>71</v>
      </c>
      <c r="Q161" s="97">
        <v>0</v>
      </c>
      <c r="R161" s="58">
        <f t="shared" si="58"/>
        <v>0.5</v>
      </c>
      <c r="S161" s="111">
        <f t="shared" ref="S161:S163" si="63">Q161*R161</f>
        <v>0</v>
      </c>
      <c r="U161" s="47" t="s">
        <v>71</v>
      </c>
      <c r="V161" s="97">
        <v>0</v>
      </c>
      <c r="W161" s="58">
        <f t="shared" si="59"/>
        <v>0.5</v>
      </c>
      <c r="X161" s="138">
        <f t="shared" ref="X161:X163" si="64">V161*W161</f>
        <v>0</v>
      </c>
    </row>
    <row r="162" spans="1:24" ht="16.899999999999999" customHeight="1" x14ac:dyDescent="0.25">
      <c r="B162" s="109" t="s">
        <v>13</v>
      </c>
      <c r="C162" s="118">
        <f t="shared" si="60"/>
        <v>7</v>
      </c>
      <c r="D162" s="151">
        <f>C162*C145</f>
        <v>7</v>
      </c>
      <c r="E162" s="28" t="s">
        <v>36</v>
      </c>
      <c r="F162" s="211"/>
      <c r="G162" s="211"/>
      <c r="H162" s="211"/>
      <c r="K162" s="47" t="s">
        <v>71</v>
      </c>
      <c r="L162" s="97">
        <v>0</v>
      </c>
      <c r="M162" s="58">
        <f t="shared" si="61"/>
        <v>0.5</v>
      </c>
      <c r="N162" s="108">
        <f t="shared" si="62"/>
        <v>0</v>
      </c>
      <c r="P162" s="47" t="s">
        <v>71</v>
      </c>
      <c r="Q162" s="97">
        <v>0</v>
      </c>
      <c r="R162" s="58">
        <f t="shared" si="58"/>
        <v>0.5</v>
      </c>
      <c r="S162" s="111">
        <f t="shared" si="63"/>
        <v>0</v>
      </c>
      <c r="U162" s="47" t="s">
        <v>71</v>
      </c>
      <c r="V162" s="97">
        <v>0</v>
      </c>
      <c r="W162" s="58">
        <f t="shared" si="59"/>
        <v>0.5</v>
      </c>
      <c r="X162" s="138">
        <f t="shared" si="64"/>
        <v>0</v>
      </c>
    </row>
    <row r="163" spans="1:24" x14ac:dyDescent="0.25">
      <c r="B163" s="109" t="s">
        <v>132</v>
      </c>
      <c r="C163" s="58">
        <f>C131</f>
        <v>0.01</v>
      </c>
      <c r="D163" s="134">
        <f>C163</f>
        <v>0.01</v>
      </c>
      <c r="E163" s="28" t="s">
        <v>16</v>
      </c>
      <c r="F163" s="211"/>
      <c r="G163" s="211"/>
      <c r="H163" s="211"/>
      <c r="K163" s="47" t="s">
        <v>71</v>
      </c>
      <c r="L163" s="97">
        <v>0</v>
      </c>
      <c r="M163" s="58">
        <f t="shared" si="61"/>
        <v>0.5</v>
      </c>
      <c r="N163" s="108">
        <f t="shared" si="62"/>
        <v>0</v>
      </c>
      <c r="P163" s="47" t="s">
        <v>71</v>
      </c>
      <c r="Q163" s="97">
        <v>0</v>
      </c>
      <c r="R163" s="58">
        <f t="shared" si="58"/>
        <v>0.5</v>
      </c>
      <c r="S163" s="111">
        <f t="shared" si="63"/>
        <v>0</v>
      </c>
      <c r="U163" s="47" t="s">
        <v>71</v>
      </c>
      <c r="V163" s="97">
        <v>0</v>
      </c>
      <c r="W163" s="58">
        <f t="shared" si="59"/>
        <v>0.5</v>
      </c>
      <c r="X163" s="138">
        <f t="shared" si="64"/>
        <v>0</v>
      </c>
    </row>
    <row r="164" spans="1:24" x14ac:dyDescent="0.25">
      <c r="B164" s="9" t="s">
        <v>15</v>
      </c>
      <c r="C164" s="58">
        <f>C132</f>
        <v>0.24</v>
      </c>
      <c r="D164" s="134">
        <f>C164</f>
        <v>0.24</v>
      </c>
      <c r="E164" s="27" t="s">
        <v>16</v>
      </c>
      <c r="F164" s="225"/>
      <c r="G164" s="225"/>
      <c r="H164" s="225"/>
      <c r="K164" s="47" t="s">
        <v>71</v>
      </c>
      <c r="L164" s="97">
        <v>0</v>
      </c>
      <c r="M164" s="58">
        <f>M160</f>
        <v>0.5</v>
      </c>
      <c r="N164" s="108">
        <f>L164*M164</f>
        <v>0</v>
      </c>
      <c r="P164" s="47" t="s">
        <v>71</v>
      </c>
      <c r="Q164" s="97">
        <v>0</v>
      </c>
      <c r="R164" s="58">
        <f>R160</f>
        <v>0.5</v>
      </c>
      <c r="S164" s="111">
        <f t="shared" si="56"/>
        <v>0</v>
      </c>
      <c r="U164" s="47" t="s">
        <v>71</v>
      </c>
      <c r="V164" s="97">
        <v>0</v>
      </c>
      <c r="W164" s="58">
        <f>W160</f>
        <v>0.5</v>
      </c>
      <c r="X164" s="138">
        <f t="shared" si="57"/>
        <v>0</v>
      </c>
    </row>
    <row r="165" spans="1:24" ht="18.600000000000001" customHeight="1" x14ac:dyDescent="0.25">
      <c r="B165" s="10"/>
      <c r="C165" s="91"/>
      <c r="D165" s="62"/>
      <c r="E165" s="100"/>
      <c r="F165" s="101"/>
      <c r="G165" s="101"/>
      <c r="H165" s="101"/>
      <c r="L165" s="71"/>
      <c r="M165" s="107"/>
      <c r="N165" s="141"/>
      <c r="O165" s="105"/>
      <c r="P165" s="105"/>
      <c r="Q165" s="71"/>
      <c r="R165" s="107"/>
      <c r="S165" s="142"/>
      <c r="T165" s="105"/>
      <c r="U165" s="105"/>
      <c r="V165" s="71"/>
      <c r="W165" s="107"/>
      <c r="X165" s="143"/>
    </row>
    <row r="166" spans="1:24" ht="13.9" customHeight="1" x14ac:dyDescent="0.25">
      <c r="B166" s="115" t="s">
        <v>145</v>
      </c>
      <c r="C166" s="63">
        <f>C134</f>
        <v>10000</v>
      </c>
      <c r="D166" s="150">
        <f>C166</f>
        <v>10000</v>
      </c>
      <c r="E166" s="27" t="s">
        <v>146</v>
      </c>
      <c r="F166" s="101"/>
      <c r="G166" s="101"/>
      <c r="H166" s="101"/>
      <c r="L166" s="71"/>
      <c r="M166" s="107"/>
      <c r="N166" s="141"/>
      <c r="O166" s="105"/>
      <c r="P166" s="105"/>
      <c r="Q166" s="71"/>
      <c r="R166" s="107"/>
      <c r="S166" s="142"/>
      <c r="T166" s="105"/>
      <c r="U166" s="105"/>
      <c r="V166" s="71"/>
      <c r="W166" s="107"/>
      <c r="X166" s="143"/>
    </row>
    <row r="167" spans="1:24" ht="12.6" customHeight="1" x14ac:dyDescent="0.25">
      <c r="B167" s="115" t="s">
        <v>147</v>
      </c>
      <c r="C167" s="63">
        <f t="shared" ref="C167:C168" si="65">C135</f>
        <v>5</v>
      </c>
      <c r="D167" s="150">
        <f>C167</f>
        <v>5</v>
      </c>
      <c r="E167" s="27" t="s">
        <v>14</v>
      </c>
      <c r="F167" s="101"/>
      <c r="G167" s="101"/>
      <c r="H167" s="101"/>
      <c r="L167" s="71"/>
      <c r="M167" s="107"/>
      <c r="N167" s="141"/>
      <c r="O167" s="105"/>
      <c r="P167" s="105"/>
      <c r="Q167" s="71"/>
      <c r="R167" s="107"/>
      <c r="S167" s="142"/>
      <c r="T167" s="105"/>
      <c r="U167" s="105"/>
      <c r="V167" s="71"/>
      <c r="W167" s="107"/>
      <c r="X167" s="143"/>
    </row>
    <row r="168" spans="1:24" ht="12.6" customHeight="1" x14ac:dyDescent="0.25">
      <c r="B168" s="115" t="s">
        <v>148</v>
      </c>
      <c r="C168" s="63">
        <f t="shared" si="65"/>
        <v>1.7000000000000001E-2</v>
      </c>
      <c r="D168" s="150">
        <v>1.7000000000000001E-2</v>
      </c>
      <c r="E168" s="27"/>
      <c r="F168" s="101"/>
      <c r="G168" s="101"/>
      <c r="H168" s="101"/>
      <c r="L168" s="71"/>
      <c r="M168" s="107"/>
      <c r="N168" s="141"/>
      <c r="O168" s="105"/>
      <c r="P168" s="105"/>
      <c r="Q168" s="71"/>
      <c r="R168" s="107"/>
      <c r="S168" s="142"/>
      <c r="T168" s="105"/>
      <c r="U168" s="105"/>
      <c r="V168" s="71"/>
      <c r="W168" s="107"/>
      <c r="X168" s="143"/>
    </row>
    <row r="169" spans="1:24" ht="12.6" customHeight="1" x14ac:dyDescent="0.25">
      <c r="B169" s="10"/>
      <c r="C169" s="149"/>
      <c r="D169" s="100"/>
      <c r="E169" s="101"/>
      <c r="F169" s="101"/>
      <c r="G169" s="101"/>
      <c r="H169" s="101"/>
      <c r="L169" s="71"/>
      <c r="M169" s="107"/>
      <c r="N169" s="141"/>
      <c r="O169" s="105"/>
      <c r="P169" s="105"/>
      <c r="Q169" s="71"/>
      <c r="R169" s="107"/>
      <c r="S169" s="142"/>
      <c r="T169" s="105"/>
      <c r="U169" s="105"/>
      <c r="V169" s="71"/>
      <c r="W169" s="107"/>
      <c r="X169" s="143"/>
    </row>
    <row r="170" spans="1:24" ht="12.6" customHeight="1" x14ac:dyDescent="0.25">
      <c r="B170" s="10" t="s">
        <v>149</v>
      </c>
      <c r="F170" s="101"/>
      <c r="G170" s="101"/>
      <c r="H170" s="101"/>
      <c r="L170" s="71"/>
      <c r="M170" s="107"/>
      <c r="N170" s="141"/>
      <c r="O170" s="105"/>
      <c r="P170" s="105"/>
      <c r="Q170" s="71"/>
      <c r="R170" s="107"/>
      <c r="S170" s="142"/>
      <c r="T170" s="105"/>
      <c r="U170" s="105"/>
      <c r="V170" s="71"/>
      <c r="W170" s="107"/>
      <c r="X170" s="143"/>
    </row>
    <row r="171" spans="1:24" ht="12.6" customHeight="1" x14ac:dyDescent="0.25">
      <c r="B171" s="47"/>
      <c r="C171" s="68" t="s">
        <v>151</v>
      </c>
      <c r="D171" s="150" t="s">
        <v>72</v>
      </c>
      <c r="E171" s="27" t="s">
        <v>70</v>
      </c>
      <c r="F171" s="29" t="s">
        <v>73</v>
      </c>
      <c r="G171" s="101"/>
      <c r="H171" s="101"/>
      <c r="L171" s="71"/>
      <c r="M171" s="107"/>
      <c r="N171" s="141"/>
      <c r="O171" s="105"/>
      <c r="P171" s="105"/>
      <c r="Q171" s="71"/>
      <c r="R171" s="107"/>
      <c r="S171" s="142"/>
      <c r="T171" s="105"/>
      <c r="U171" s="105"/>
      <c r="V171" s="71"/>
      <c r="W171" s="107"/>
      <c r="X171" s="143"/>
    </row>
    <row r="172" spans="1:24" ht="12.6" customHeight="1" x14ac:dyDescent="0.25">
      <c r="B172" s="9" t="s">
        <v>150</v>
      </c>
      <c r="C172" s="139"/>
      <c r="D172" s="147">
        <v>0.9</v>
      </c>
      <c r="E172" s="147">
        <v>0.88</v>
      </c>
      <c r="F172" s="153">
        <v>0.8</v>
      </c>
      <c r="G172" s="101"/>
      <c r="H172" s="101"/>
      <c r="L172" s="71"/>
      <c r="M172" s="107"/>
      <c r="N172" s="141"/>
      <c r="O172" s="105"/>
      <c r="P172" s="105"/>
      <c r="Q172" s="71"/>
      <c r="R172" s="107"/>
      <c r="S172" s="142"/>
      <c r="T172" s="105"/>
      <c r="U172" s="105"/>
      <c r="V172" s="71"/>
      <c r="W172" s="107"/>
      <c r="X172" s="143"/>
    </row>
    <row r="173" spans="1:24" ht="12.6" customHeight="1" x14ac:dyDescent="0.25">
      <c r="B173" s="10"/>
      <c r="C173" s="149"/>
      <c r="D173" s="100"/>
      <c r="E173" s="101"/>
      <c r="F173" s="101"/>
      <c r="G173" s="101"/>
      <c r="H173" s="101"/>
      <c r="L173" s="71"/>
      <c r="M173" s="107"/>
      <c r="N173" s="141"/>
      <c r="O173" s="105"/>
      <c r="P173" s="105"/>
      <c r="Q173" s="71"/>
      <c r="R173" s="107"/>
      <c r="S173" s="142"/>
      <c r="T173" s="105"/>
      <c r="U173" s="105"/>
      <c r="V173" s="71"/>
      <c r="W173" s="107"/>
      <c r="X173" s="143"/>
    </row>
    <row r="174" spans="1:24" ht="18.600000000000001" customHeight="1" x14ac:dyDescent="0.25">
      <c r="B174" s="10"/>
      <c r="C174" s="149"/>
      <c r="D174" s="100"/>
      <c r="E174" s="101"/>
      <c r="F174" s="101"/>
      <c r="G174" s="101"/>
      <c r="H174" s="101"/>
      <c r="L174" s="71"/>
      <c r="M174" s="107"/>
      <c r="N174" s="141"/>
      <c r="O174" s="105"/>
      <c r="P174" s="105"/>
      <c r="Q174" s="71"/>
      <c r="R174" s="107"/>
      <c r="S174" s="142"/>
      <c r="T174" s="105"/>
      <c r="U174" s="105"/>
      <c r="V174" s="71"/>
      <c r="W174" s="107"/>
      <c r="X174" s="143"/>
    </row>
    <row r="175" spans="1:24" x14ac:dyDescent="0.25">
      <c r="B175" s="10"/>
      <c r="C175" s="62"/>
      <c r="D175" s="100"/>
      <c r="E175" s="101"/>
      <c r="F175" s="101"/>
      <c r="G175" s="101"/>
      <c r="H175" s="101"/>
    </row>
    <row r="176" spans="1:24" x14ac:dyDescent="0.25">
      <c r="A176" s="63">
        <v>8</v>
      </c>
      <c r="B176" s="44" t="s">
        <v>164</v>
      </c>
      <c r="C176" s="91"/>
      <c r="D176" s="104"/>
      <c r="E176" s="104"/>
      <c r="F176" s="104"/>
      <c r="G176" s="104"/>
      <c r="H176" s="104"/>
      <c r="I176" s="104"/>
      <c r="J176" s="104"/>
      <c r="K176" s="104"/>
      <c r="L176" s="104"/>
      <c r="M176" s="104"/>
      <c r="N176" s="104"/>
      <c r="O176" s="104"/>
      <c r="P176" s="104"/>
      <c r="Q176" s="104"/>
      <c r="R176" s="104"/>
      <c r="S176" s="104"/>
      <c r="T176" s="104"/>
      <c r="U176" s="104"/>
      <c r="V176" s="104"/>
      <c r="W176" s="104"/>
      <c r="X176" s="104"/>
    </row>
    <row r="177" spans="2:28" x14ac:dyDescent="0.25">
      <c r="C177" s="91"/>
      <c r="D177" s="104"/>
      <c r="E177" s="104"/>
      <c r="F177" s="104"/>
      <c r="G177" s="104"/>
      <c r="H177" s="104"/>
      <c r="I177" s="104"/>
      <c r="J177" s="104"/>
      <c r="K177" s="104"/>
      <c r="L177" s="104"/>
      <c r="M177" s="104"/>
      <c r="N177" s="104"/>
      <c r="O177" s="104"/>
      <c r="P177" s="104"/>
      <c r="Q177" s="104"/>
      <c r="R177" s="104"/>
      <c r="S177" s="104"/>
      <c r="T177" s="104"/>
      <c r="U177" s="104"/>
      <c r="V177" s="104"/>
      <c r="W177" s="104"/>
      <c r="X177" s="104"/>
    </row>
    <row r="178" spans="2:28" x14ac:dyDescent="0.25">
      <c r="B178" s="17" t="s">
        <v>3</v>
      </c>
      <c r="C178" s="16" t="s">
        <v>19</v>
      </c>
      <c r="D178" s="16">
        <v>0</v>
      </c>
      <c r="E178" s="16">
        <v>1</v>
      </c>
      <c r="F178" s="16">
        <v>2</v>
      </c>
      <c r="G178" s="122">
        <v>3</v>
      </c>
      <c r="H178" s="16">
        <v>4</v>
      </c>
      <c r="I178" s="16">
        <v>5</v>
      </c>
      <c r="J178" s="122">
        <v>6</v>
      </c>
      <c r="K178" s="16">
        <v>7</v>
      </c>
      <c r="L178" s="16">
        <v>8</v>
      </c>
      <c r="M178" s="122">
        <v>9</v>
      </c>
      <c r="N178" s="16">
        <v>10</v>
      </c>
      <c r="O178" s="16">
        <v>11</v>
      </c>
      <c r="P178" s="122">
        <v>12</v>
      </c>
      <c r="Q178" s="16">
        <v>13</v>
      </c>
      <c r="R178" s="16">
        <v>14</v>
      </c>
      <c r="S178" s="122">
        <v>15</v>
      </c>
      <c r="T178" s="16">
        <v>16</v>
      </c>
      <c r="U178" s="16">
        <v>17</v>
      </c>
      <c r="V178" s="122">
        <v>18</v>
      </c>
      <c r="W178" s="16">
        <v>19</v>
      </c>
      <c r="X178" s="16">
        <v>20</v>
      </c>
      <c r="Y178" s="122">
        <v>21</v>
      </c>
      <c r="Z178" s="16">
        <v>22</v>
      </c>
      <c r="AA178" s="16">
        <v>23</v>
      </c>
      <c r="AB178" s="122">
        <v>24</v>
      </c>
    </row>
    <row r="179" spans="2:28" x14ac:dyDescent="0.25">
      <c r="B179" s="109" t="str">
        <f>B151</f>
        <v>Small Crab Production</v>
      </c>
      <c r="C179" s="63" t="str">
        <f>K151</f>
        <v>Decrease</v>
      </c>
      <c r="D179" s="118">
        <f>D151</f>
        <v>45000</v>
      </c>
      <c r="E179" s="118">
        <f>D179</f>
        <v>45000</v>
      </c>
      <c r="F179" s="118">
        <f>E179</f>
        <v>45000</v>
      </c>
      <c r="G179" s="158">
        <f>F179*(1+$N151)</f>
        <v>42750</v>
      </c>
      <c r="H179" s="118">
        <f>E179</f>
        <v>45000</v>
      </c>
      <c r="I179" s="118">
        <f t="shared" ref="I179" si="66">F179</f>
        <v>45000</v>
      </c>
      <c r="J179" s="158">
        <f>I179*(1+$N151)</f>
        <v>42750</v>
      </c>
      <c r="K179" s="118">
        <f>H179</f>
        <v>45000</v>
      </c>
      <c r="L179" s="118">
        <f>K179</f>
        <v>45000</v>
      </c>
      <c r="M179" s="158">
        <f>L179*(1+$N151)</f>
        <v>42750</v>
      </c>
      <c r="N179" s="118">
        <f>K179</f>
        <v>45000</v>
      </c>
      <c r="O179" s="118">
        <f t="shared" ref="O179" si="67">L179</f>
        <v>45000</v>
      </c>
      <c r="P179" s="158">
        <f>O179*(1+$N151)</f>
        <v>42750</v>
      </c>
      <c r="Q179" s="118">
        <f>N179</f>
        <v>45000</v>
      </c>
      <c r="R179" s="118">
        <f>O179</f>
        <v>45000</v>
      </c>
      <c r="S179" s="158">
        <f>R179*(1+$N151)</f>
        <v>42750</v>
      </c>
      <c r="T179" s="118">
        <f>Q179</f>
        <v>45000</v>
      </c>
      <c r="U179" s="118">
        <f>R179</f>
        <v>45000</v>
      </c>
      <c r="V179" s="158">
        <f>U179*(1+$N151)</f>
        <v>42750</v>
      </c>
      <c r="W179" s="118">
        <f>T179</f>
        <v>45000</v>
      </c>
      <c r="X179" s="118">
        <f>U179</f>
        <v>45000</v>
      </c>
      <c r="Y179" s="158">
        <f>X179*(1+$N151)</f>
        <v>42750</v>
      </c>
      <c r="Z179" s="118">
        <f>W179</f>
        <v>45000</v>
      </c>
      <c r="AA179" s="118">
        <f>X179</f>
        <v>45000</v>
      </c>
      <c r="AB179" s="158">
        <f>AA179*(1+$N151)</f>
        <v>42750</v>
      </c>
    </row>
    <row r="180" spans="2:28" x14ac:dyDescent="0.25">
      <c r="B180" s="109" t="str">
        <f>B152</f>
        <v>Price of small crab</v>
      </c>
      <c r="C180" s="63" t="str">
        <f>K152</f>
        <v>No change</v>
      </c>
      <c r="D180" s="119">
        <f>D152</f>
        <v>3.5000000000000003E-2</v>
      </c>
      <c r="E180" s="119">
        <f>D180</f>
        <v>3.5000000000000003E-2</v>
      </c>
      <c r="F180" s="119">
        <f t="shared" ref="F180:AB181" si="68">E180</f>
        <v>3.5000000000000003E-2</v>
      </c>
      <c r="G180" s="119">
        <f t="shared" si="68"/>
        <v>3.5000000000000003E-2</v>
      </c>
      <c r="H180" s="119">
        <f t="shared" si="68"/>
        <v>3.5000000000000003E-2</v>
      </c>
      <c r="I180" s="119">
        <f t="shared" si="68"/>
        <v>3.5000000000000003E-2</v>
      </c>
      <c r="J180" s="119">
        <f t="shared" si="68"/>
        <v>3.5000000000000003E-2</v>
      </c>
      <c r="K180" s="119">
        <f t="shared" si="68"/>
        <v>3.5000000000000003E-2</v>
      </c>
      <c r="L180" s="119">
        <f t="shared" si="68"/>
        <v>3.5000000000000003E-2</v>
      </c>
      <c r="M180" s="119">
        <f t="shared" si="68"/>
        <v>3.5000000000000003E-2</v>
      </c>
      <c r="N180" s="119">
        <f t="shared" si="68"/>
        <v>3.5000000000000003E-2</v>
      </c>
      <c r="O180" s="119">
        <f t="shared" si="68"/>
        <v>3.5000000000000003E-2</v>
      </c>
      <c r="P180" s="119">
        <f t="shared" si="68"/>
        <v>3.5000000000000003E-2</v>
      </c>
      <c r="Q180" s="119">
        <f t="shared" si="68"/>
        <v>3.5000000000000003E-2</v>
      </c>
      <c r="R180" s="119">
        <f t="shared" si="68"/>
        <v>3.5000000000000003E-2</v>
      </c>
      <c r="S180" s="119">
        <f t="shared" si="68"/>
        <v>3.5000000000000003E-2</v>
      </c>
      <c r="T180" s="119">
        <f t="shared" si="68"/>
        <v>3.5000000000000003E-2</v>
      </c>
      <c r="U180" s="119">
        <f t="shared" si="68"/>
        <v>3.5000000000000003E-2</v>
      </c>
      <c r="V180" s="119">
        <f t="shared" si="68"/>
        <v>3.5000000000000003E-2</v>
      </c>
      <c r="W180" s="119">
        <f t="shared" si="68"/>
        <v>3.5000000000000003E-2</v>
      </c>
      <c r="X180" s="119">
        <f t="shared" si="68"/>
        <v>3.5000000000000003E-2</v>
      </c>
      <c r="Y180" s="119">
        <f t="shared" si="68"/>
        <v>3.5000000000000003E-2</v>
      </c>
      <c r="Z180" s="119">
        <f t="shared" si="68"/>
        <v>3.5000000000000003E-2</v>
      </c>
      <c r="AA180" s="119">
        <f t="shared" si="68"/>
        <v>3.5000000000000003E-2</v>
      </c>
      <c r="AB180" s="119">
        <f t="shared" si="68"/>
        <v>3.5000000000000003E-2</v>
      </c>
    </row>
    <row r="181" spans="2:28" x14ac:dyDescent="0.25">
      <c r="B181" s="109" t="str">
        <f>B153</f>
        <v>Change in Crab Price</v>
      </c>
      <c r="C181" s="63" t="str">
        <f>K153</f>
        <v>No change</v>
      </c>
      <c r="D181" s="58">
        <f>D153</f>
        <v>0.02</v>
      </c>
      <c r="E181" s="58">
        <f>D181</f>
        <v>0.02</v>
      </c>
      <c r="F181" s="58">
        <f>E181</f>
        <v>0.02</v>
      </c>
      <c r="G181" s="58">
        <f t="shared" si="68"/>
        <v>0.02</v>
      </c>
      <c r="H181" s="58">
        <f t="shared" si="68"/>
        <v>0.02</v>
      </c>
      <c r="I181" s="58">
        <f t="shared" si="68"/>
        <v>0.02</v>
      </c>
      <c r="J181" s="58">
        <f t="shared" si="68"/>
        <v>0.02</v>
      </c>
      <c r="K181" s="58">
        <f t="shared" si="68"/>
        <v>0.02</v>
      </c>
      <c r="L181" s="58">
        <f t="shared" si="68"/>
        <v>0.02</v>
      </c>
      <c r="M181" s="58">
        <f t="shared" si="68"/>
        <v>0.02</v>
      </c>
      <c r="N181" s="58">
        <f t="shared" si="68"/>
        <v>0.02</v>
      </c>
      <c r="O181" s="58">
        <f t="shared" si="68"/>
        <v>0.02</v>
      </c>
      <c r="P181" s="58">
        <f t="shared" si="68"/>
        <v>0.02</v>
      </c>
      <c r="Q181" s="58">
        <f t="shared" si="68"/>
        <v>0.02</v>
      </c>
      <c r="R181" s="58">
        <f t="shared" si="68"/>
        <v>0.02</v>
      </c>
      <c r="S181" s="58">
        <f t="shared" si="68"/>
        <v>0.02</v>
      </c>
      <c r="T181" s="58">
        <f t="shared" si="68"/>
        <v>0.02</v>
      </c>
      <c r="U181" s="58">
        <f t="shared" si="68"/>
        <v>0.02</v>
      </c>
      <c r="V181" s="58">
        <f t="shared" si="68"/>
        <v>0.02</v>
      </c>
      <c r="W181" s="58">
        <f t="shared" si="68"/>
        <v>0.02</v>
      </c>
      <c r="X181" s="58">
        <f t="shared" si="68"/>
        <v>0.02</v>
      </c>
      <c r="Y181" s="58">
        <f t="shared" si="68"/>
        <v>0.02</v>
      </c>
      <c r="Z181" s="58">
        <f t="shared" si="68"/>
        <v>0.02</v>
      </c>
      <c r="AA181" s="58">
        <f t="shared" si="68"/>
        <v>0.02</v>
      </c>
      <c r="AB181" s="58">
        <f t="shared" si="68"/>
        <v>0.02</v>
      </c>
    </row>
    <row r="182" spans="2:28" x14ac:dyDescent="0.25">
      <c r="J182" s="127"/>
      <c r="M182" s="127"/>
      <c r="P182" s="127"/>
      <c r="S182" s="127"/>
      <c r="V182" s="127"/>
      <c r="Y182" s="127"/>
      <c r="AB182" s="127"/>
    </row>
    <row r="183" spans="2:28" x14ac:dyDescent="0.25">
      <c r="J183" s="127"/>
      <c r="M183" s="127"/>
      <c r="P183" s="127"/>
      <c r="S183" s="127"/>
      <c r="V183" s="127"/>
      <c r="Y183" s="127"/>
      <c r="AB183" s="127"/>
    </row>
    <row r="184" spans="2:28" x14ac:dyDescent="0.25">
      <c r="B184" s="17" t="s">
        <v>10</v>
      </c>
      <c r="C184" s="16" t="s">
        <v>19</v>
      </c>
      <c r="D184" s="16">
        <v>0</v>
      </c>
      <c r="E184" s="16">
        <v>1</v>
      </c>
      <c r="F184" s="16">
        <v>2</v>
      </c>
      <c r="G184" s="122">
        <v>3</v>
      </c>
      <c r="H184" s="16">
        <v>4</v>
      </c>
      <c r="I184" s="16">
        <v>5</v>
      </c>
      <c r="J184" s="122">
        <v>6</v>
      </c>
      <c r="K184" s="16">
        <v>7</v>
      </c>
      <c r="L184" s="16">
        <v>8</v>
      </c>
      <c r="M184" s="122">
        <v>9</v>
      </c>
      <c r="N184" s="16">
        <v>10</v>
      </c>
      <c r="O184" s="16">
        <v>11</v>
      </c>
      <c r="P184" s="122">
        <v>12</v>
      </c>
      <c r="Q184" s="16">
        <v>13</v>
      </c>
      <c r="R184" s="16">
        <v>14</v>
      </c>
      <c r="S184" s="122">
        <v>15</v>
      </c>
      <c r="T184" s="16">
        <v>16</v>
      </c>
      <c r="U184" s="16">
        <v>17</v>
      </c>
      <c r="V184" s="122">
        <v>18</v>
      </c>
      <c r="W184" s="16">
        <v>19</v>
      </c>
      <c r="X184" s="16">
        <v>20</v>
      </c>
      <c r="Y184" s="122">
        <v>21</v>
      </c>
      <c r="Z184" s="16">
        <v>22</v>
      </c>
      <c r="AA184" s="16">
        <v>23</v>
      </c>
      <c r="AB184" s="122">
        <v>24</v>
      </c>
    </row>
    <row r="185" spans="2:28" x14ac:dyDescent="0.25">
      <c r="B185" s="109" t="str">
        <f>B157</f>
        <v>Crab Nursery Establishment</v>
      </c>
      <c r="C185" s="63" t="str">
        <f>K157</f>
        <v>No change</v>
      </c>
      <c r="D185" s="118">
        <f t="shared" ref="D185:D192" si="69">D157</f>
        <v>400</v>
      </c>
      <c r="E185" s="118">
        <f t="shared" ref="E185:AB192" si="70">D185</f>
        <v>400</v>
      </c>
      <c r="F185" s="118">
        <f t="shared" si="70"/>
        <v>400</v>
      </c>
      <c r="G185" s="118">
        <f t="shared" si="70"/>
        <v>400</v>
      </c>
      <c r="H185" s="118">
        <f t="shared" si="70"/>
        <v>400</v>
      </c>
      <c r="I185" s="118">
        <f t="shared" si="70"/>
        <v>400</v>
      </c>
      <c r="J185" s="118">
        <f t="shared" si="70"/>
        <v>400</v>
      </c>
      <c r="K185" s="118">
        <f t="shared" si="70"/>
        <v>400</v>
      </c>
      <c r="L185" s="118">
        <f t="shared" si="70"/>
        <v>400</v>
      </c>
      <c r="M185" s="118">
        <f t="shared" si="70"/>
        <v>400</v>
      </c>
      <c r="N185" s="118">
        <f t="shared" si="70"/>
        <v>400</v>
      </c>
      <c r="O185" s="118">
        <f t="shared" si="70"/>
        <v>400</v>
      </c>
      <c r="P185" s="118">
        <f t="shared" si="70"/>
        <v>400</v>
      </c>
      <c r="Q185" s="118">
        <f t="shared" si="70"/>
        <v>400</v>
      </c>
      <c r="R185" s="118">
        <f t="shared" si="70"/>
        <v>400</v>
      </c>
      <c r="S185" s="118">
        <f t="shared" si="70"/>
        <v>400</v>
      </c>
      <c r="T185" s="118">
        <f t="shared" si="70"/>
        <v>400</v>
      </c>
      <c r="U185" s="118">
        <f t="shared" si="70"/>
        <v>400</v>
      </c>
      <c r="V185" s="118">
        <f t="shared" si="70"/>
        <v>400</v>
      </c>
      <c r="W185" s="118">
        <f t="shared" si="70"/>
        <v>400</v>
      </c>
      <c r="X185" s="118">
        <f t="shared" si="70"/>
        <v>400</v>
      </c>
      <c r="Y185" s="118">
        <f t="shared" si="70"/>
        <v>400</v>
      </c>
      <c r="Z185" s="118">
        <f t="shared" si="70"/>
        <v>400</v>
      </c>
      <c r="AA185" s="118">
        <f t="shared" si="70"/>
        <v>400</v>
      </c>
      <c r="AB185" s="118">
        <f t="shared" si="70"/>
        <v>400</v>
      </c>
    </row>
    <row r="186" spans="2:28" x14ac:dyDescent="0.25">
      <c r="B186" s="109" t="str">
        <f>B158</f>
        <v>Operation Cost (Crablet purchase)</v>
      </c>
      <c r="C186" s="63" t="str">
        <f>K158</f>
        <v>No change</v>
      </c>
      <c r="D186" s="118">
        <f t="shared" si="69"/>
        <v>850.00000000000011</v>
      </c>
      <c r="E186" s="118">
        <f t="shared" si="70"/>
        <v>850.00000000000011</v>
      </c>
      <c r="F186" s="118">
        <f t="shared" si="70"/>
        <v>850.00000000000011</v>
      </c>
      <c r="G186" s="118">
        <f t="shared" si="70"/>
        <v>850.00000000000011</v>
      </c>
      <c r="H186" s="118">
        <f t="shared" si="70"/>
        <v>850.00000000000011</v>
      </c>
      <c r="I186" s="118">
        <f t="shared" si="70"/>
        <v>850.00000000000011</v>
      </c>
      <c r="J186" s="118">
        <f t="shared" si="70"/>
        <v>850.00000000000011</v>
      </c>
      <c r="K186" s="118">
        <f t="shared" si="70"/>
        <v>850.00000000000011</v>
      </c>
      <c r="L186" s="118">
        <f t="shared" si="70"/>
        <v>850.00000000000011</v>
      </c>
      <c r="M186" s="118">
        <f t="shared" si="70"/>
        <v>850.00000000000011</v>
      </c>
      <c r="N186" s="118">
        <f t="shared" si="70"/>
        <v>850.00000000000011</v>
      </c>
      <c r="O186" s="118">
        <f t="shared" si="70"/>
        <v>850.00000000000011</v>
      </c>
      <c r="P186" s="118">
        <f t="shared" si="70"/>
        <v>850.00000000000011</v>
      </c>
      <c r="Q186" s="118">
        <f t="shared" si="70"/>
        <v>850.00000000000011</v>
      </c>
      <c r="R186" s="118">
        <f t="shared" si="70"/>
        <v>850.00000000000011</v>
      </c>
      <c r="S186" s="118">
        <f t="shared" si="70"/>
        <v>850.00000000000011</v>
      </c>
      <c r="T186" s="118">
        <f t="shared" si="70"/>
        <v>850.00000000000011</v>
      </c>
      <c r="U186" s="118">
        <f t="shared" si="70"/>
        <v>850.00000000000011</v>
      </c>
      <c r="V186" s="118">
        <f t="shared" si="70"/>
        <v>850.00000000000011</v>
      </c>
      <c r="W186" s="118">
        <f t="shared" si="70"/>
        <v>850.00000000000011</v>
      </c>
      <c r="X186" s="118">
        <f t="shared" si="70"/>
        <v>850.00000000000011</v>
      </c>
      <c r="Y186" s="118">
        <f t="shared" si="70"/>
        <v>850.00000000000011</v>
      </c>
      <c r="Z186" s="118">
        <f t="shared" si="70"/>
        <v>850.00000000000011</v>
      </c>
      <c r="AA186" s="118">
        <f t="shared" si="70"/>
        <v>850.00000000000011</v>
      </c>
      <c r="AB186" s="118">
        <f t="shared" si="70"/>
        <v>850.00000000000011</v>
      </c>
    </row>
    <row r="187" spans="2:28" x14ac:dyDescent="0.25">
      <c r="B187" s="109" t="str">
        <f>B159</f>
        <v>Feed</v>
      </c>
      <c r="C187" s="63" t="str">
        <f>K159</f>
        <v>Increase</v>
      </c>
      <c r="D187" s="118">
        <f t="shared" si="69"/>
        <v>50</v>
      </c>
      <c r="E187" s="118">
        <f t="shared" si="70"/>
        <v>50</v>
      </c>
      <c r="F187" s="118">
        <f t="shared" si="70"/>
        <v>50</v>
      </c>
      <c r="G187" s="158">
        <f>F187*(1+$N159)</f>
        <v>50.749999999999993</v>
      </c>
      <c r="H187" s="118">
        <f>F187</f>
        <v>50</v>
      </c>
      <c r="I187" s="118">
        <f>H187</f>
        <v>50</v>
      </c>
      <c r="J187" s="158">
        <f>I187*(1+$N159)</f>
        <v>50.749999999999993</v>
      </c>
      <c r="K187" s="118">
        <f>I187</f>
        <v>50</v>
      </c>
      <c r="L187" s="118">
        <f>K187</f>
        <v>50</v>
      </c>
      <c r="M187" s="158">
        <f>L187*(1+$N159)</f>
        <v>50.749999999999993</v>
      </c>
      <c r="N187" s="118">
        <f>L187</f>
        <v>50</v>
      </c>
      <c r="O187" s="118">
        <f>N187</f>
        <v>50</v>
      </c>
      <c r="P187" s="158">
        <f>O187*(1+$N159)</f>
        <v>50.749999999999993</v>
      </c>
      <c r="Q187" s="118">
        <f>O187</f>
        <v>50</v>
      </c>
      <c r="R187" s="118">
        <f>Q187</f>
        <v>50</v>
      </c>
      <c r="S187" s="158">
        <f>R187*(1+$N159)</f>
        <v>50.749999999999993</v>
      </c>
      <c r="T187" s="118">
        <f>R187</f>
        <v>50</v>
      </c>
      <c r="U187" s="118">
        <f>T187</f>
        <v>50</v>
      </c>
      <c r="V187" s="158">
        <f>U187*(1+$N159)</f>
        <v>50.749999999999993</v>
      </c>
      <c r="W187" s="118">
        <f>U187</f>
        <v>50</v>
      </c>
      <c r="X187" s="118">
        <f>W187</f>
        <v>50</v>
      </c>
      <c r="Y187" s="158">
        <f>X187*(1+$N159)</f>
        <v>50.749999999999993</v>
      </c>
      <c r="Z187" s="118">
        <f>X187</f>
        <v>50</v>
      </c>
      <c r="AA187" s="118">
        <f>Z187</f>
        <v>50</v>
      </c>
      <c r="AB187" s="158">
        <f>AA187*(1+$N159)</f>
        <v>50.749999999999993</v>
      </c>
    </row>
    <row r="188" spans="2:28" x14ac:dyDescent="0.25">
      <c r="B188" s="109" t="str">
        <f>B160</f>
        <v>Land rent</v>
      </c>
      <c r="C188" s="63" t="str">
        <f>K160</f>
        <v>No change</v>
      </c>
      <c r="D188" s="118">
        <f t="shared" si="69"/>
        <v>40</v>
      </c>
      <c r="E188" s="118">
        <f t="shared" si="70"/>
        <v>40</v>
      </c>
      <c r="F188" s="118">
        <f t="shared" si="70"/>
        <v>40</v>
      </c>
      <c r="G188" s="63">
        <f>F188*(1+$N160)</f>
        <v>40</v>
      </c>
      <c r="H188" s="118">
        <f t="shared" ref="H188" si="71">F188</f>
        <v>40</v>
      </c>
      <c r="I188" s="118">
        <f t="shared" ref="I188:I191" si="72">H188</f>
        <v>40</v>
      </c>
      <c r="J188" s="63">
        <f>I188*(1+$N160)</f>
        <v>40</v>
      </c>
      <c r="K188" s="118">
        <f t="shared" ref="K188" si="73">I188</f>
        <v>40</v>
      </c>
      <c r="L188" s="118">
        <f t="shared" ref="L188:L191" si="74">K188</f>
        <v>40</v>
      </c>
      <c r="M188" s="63">
        <f>L188*(1+$N160)</f>
        <v>40</v>
      </c>
      <c r="N188" s="118">
        <f t="shared" ref="N188" si="75">L188</f>
        <v>40</v>
      </c>
      <c r="O188" s="118">
        <f t="shared" ref="O188:O191" si="76">N188</f>
        <v>40</v>
      </c>
      <c r="P188" s="63">
        <f>O188*(1+$N160)</f>
        <v>40</v>
      </c>
      <c r="Q188" s="118">
        <f t="shared" ref="Q188" si="77">O188</f>
        <v>40</v>
      </c>
      <c r="R188" s="118">
        <f t="shared" ref="R188:R191" si="78">Q188</f>
        <v>40</v>
      </c>
      <c r="S188" s="63">
        <f>R188*(1+$N160)</f>
        <v>40</v>
      </c>
      <c r="T188" s="118">
        <f t="shared" ref="T188" si="79">R188</f>
        <v>40</v>
      </c>
      <c r="U188" s="118">
        <f t="shared" ref="U188:U191" si="80">T188</f>
        <v>40</v>
      </c>
      <c r="V188" s="63">
        <f>U188*(1+$N160)</f>
        <v>40</v>
      </c>
      <c r="W188" s="118">
        <f t="shared" ref="W188" si="81">U188</f>
        <v>40</v>
      </c>
      <c r="X188" s="118">
        <f t="shared" ref="X188:X191" si="82">W188</f>
        <v>40</v>
      </c>
      <c r="Y188" s="63">
        <f>X188*(1+$N160)</f>
        <v>40</v>
      </c>
      <c r="Z188" s="118">
        <f t="shared" ref="Z188" si="83">X188</f>
        <v>40</v>
      </c>
      <c r="AA188" s="118">
        <f t="shared" ref="AA188:AA191" si="84">Z188</f>
        <v>40</v>
      </c>
      <c r="AB188" s="63">
        <f>AA188*(1+$N160)</f>
        <v>40</v>
      </c>
    </row>
    <row r="189" spans="2:28" x14ac:dyDescent="0.25">
      <c r="B189" s="159" t="str">
        <f>B161</f>
        <v>Labor</v>
      </c>
      <c r="C189" s="63" t="str">
        <f t="shared" ref="C189:C191" si="85">K161</f>
        <v>No change</v>
      </c>
      <c r="D189" s="118">
        <f t="shared" si="69"/>
        <v>60</v>
      </c>
      <c r="E189" s="118">
        <f>D189</f>
        <v>60</v>
      </c>
      <c r="F189" s="118">
        <f t="shared" si="70"/>
        <v>60</v>
      </c>
      <c r="G189" s="118">
        <f t="shared" ref="G189:H189" si="86">F189</f>
        <v>60</v>
      </c>
      <c r="H189" s="118">
        <f t="shared" si="86"/>
        <v>60</v>
      </c>
      <c r="I189" s="118">
        <f t="shared" si="72"/>
        <v>60</v>
      </c>
      <c r="J189" s="118">
        <f t="shared" ref="J189:K189" si="87">I189</f>
        <v>60</v>
      </c>
      <c r="K189" s="118">
        <f t="shared" si="87"/>
        <v>60</v>
      </c>
      <c r="L189" s="118">
        <f t="shared" si="74"/>
        <v>60</v>
      </c>
      <c r="M189" s="118">
        <f t="shared" ref="M189:N189" si="88">L189</f>
        <v>60</v>
      </c>
      <c r="N189" s="118">
        <f t="shared" si="88"/>
        <v>60</v>
      </c>
      <c r="O189" s="118">
        <f t="shared" si="76"/>
        <v>60</v>
      </c>
      <c r="P189" s="118">
        <f t="shared" ref="P189:Q189" si="89">O189</f>
        <v>60</v>
      </c>
      <c r="Q189" s="118">
        <f t="shared" si="89"/>
        <v>60</v>
      </c>
      <c r="R189" s="118">
        <f t="shared" si="78"/>
        <v>60</v>
      </c>
      <c r="S189" s="118">
        <f t="shared" ref="S189:T189" si="90">R189</f>
        <v>60</v>
      </c>
      <c r="T189" s="118">
        <f t="shared" si="90"/>
        <v>60</v>
      </c>
      <c r="U189" s="118">
        <f t="shared" si="80"/>
        <v>60</v>
      </c>
      <c r="V189" s="118">
        <f t="shared" ref="V189:W189" si="91">U189</f>
        <v>60</v>
      </c>
      <c r="W189" s="118">
        <f t="shared" si="91"/>
        <v>60</v>
      </c>
      <c r="X189" s="118">
        <f t="shared" si="82"/>
        <v>60</v>
      </c>
      <c r="Y189" s="118">
        <f t="shared" ref="Y189:Z189" si="92">X189</f>
        <v>60</v>
      </c>
      <c r="Z189" s="118">
        <f t="shared" si="92"/>
        <v>60</v>
      </c>
      <c r="AA189" s="118">
        <f t="shared" si="84"/>
        <v>60</v>
      </c>
      <c r="AB189" s="118">
        <f t="shared" ref="AB189:AB191" si="93">AA189</f>
        <v>60</v>
      </c>
    </row>
    <row r="190" spans="2:28" x14ac:dyDescent="0.25">
      <c r="B190" s="159" t="str">
        <f t="shared" ref="B190:B191" si="94">B162</f>
        <v>Wage</v>
      </c>
      <c r="C190" s="63" t="str">
        <f t="shared" si="85"/>
        <v>No change</v>
      </c>
      <c r="D190" s="118">
        <f t="shared" si="69"/>
        <v>7</v>
      </c>
      <c r="E190" s="118">
        <f>D190</f>
        <v>7</v>
      </c>
      <c r="F190" s="118">
        <f t="shared" si="70"/>
        <v>7</v>
      </c>
      <c r="G190" s="118">
        <f t="shared" ref="G190:H190" si="95">F190</f>
        <v>7</v>
      </c>
      <c r="H190" s="118">
        <f t="shared" si="95"/>
        <v>7</v>
      </c>
      <c r="I190" s="118">
        <f t="shared" si="72"/>
        <v>7</v>
      </c>
      <c r="J190" s="118">
        <f t="shared" ref="J190:K190" si="96">I190</f>
        <v>7</v>
      </c>
      <c r="K190" s="118">
        <f t="shared" si="96"/>
        <v>7</v>
      </c>
      <c r="L190" s="118">
        <f t="shared" si="74"/>
        <v>7</v>
      </c>
      <c r="M190" s="118">
        <f t="shared" ref="M190:N190" si="97">L190</f>
        <v>7</v>
      </c>
      <c r="N190" s="118">
        <f t="shared" si="97"/>
        <v>7</v>
      </c>
      <c r="O190" s="118">
        <f t="shared" si="76"/>
        <v>7</v>
      </c>
      <c r="P190" s="118">
        <f t="shared" ref="P190:Q190" si="98">O190</f>
        <v>7</v>
      </c>
      <c r="Q190" s="118">
        <f t="shared" si="98"/>
        <v>7</v>
      </c>
      <c r="R190" s="118">
        <f t="shared" si="78"/>
        <v>7</v>
      </c>
      <c r="S190" s="118">
        <f t="shared" ref="S190:T190" si="99">R190</f>
        <v>7</v>
      </c>
      <c r="T190" s="118">
        <f t="shared" si="99"/>
        <v>7</v>
      </c>
      <c r="U190" s="118">
        <f t="shared" si="80"/>
        <v>7</v>
      </c>
      <c r="V190" s="118">
        <f t="shared" ref="V190:W190" si="100">U190</f>
        <v>7</v>
      </c>
      <c r="W190" s="118">
        <f t="shared" si="100"/>
        <v>7</v>
      </c>
      <c r="X190" s="118">
        <f t="shared" si="82"/>
        <v>7</v>
      </c>
      <c r="Y190" s="118">
        <f t="shared" ref="Y190:Z190" si="101">X190</f>
        <v>7</v>
      </c>
      <c r="Z190" s="118">
        <f t="shared" si="101"/>
        <v>7</v>
      </c>
      <c r="AA190" s="118">
        <f t="shared" si="84"/>
        <v>7</v>
      </c>
      <c r="AB190" s="118">
        <f t="shared" si="93"/>
        <v>7</v>
      </c>
    </row>
    <row r="191" spans="2:28" x14ac:dyDescent="0.25">
      <c r="B191" s="159" t="str">
        <f t="shared" si="94"/>
        <v>Wage Increment</v>
      </c>
      <c r="C191" s="63" t="str">
        <f t="shared" si="85"/>
        <v>No change</v>
      </c>
      <c r="D191" s="64">
        <f t="shared" si="69"/>
        <v>0.01</v>
      </c>
      <c r="E191" s="64">
        <f>D191</f>
        <v>0.01</v>
      </c>
      <c r="F191" s="64">
        <f t="shared" si="70"/>
        <v>0.01</v>
      </c>
      <c r="G191" s="64">
        <f t="shared" ref="G191:H191" si="102">F191</f>
        <v>0.01</v>
      </c>
      <c r="H191" s="64">
        <f t="shared" si="102"/>
        <v>0.01</v>
      </c>
      <c r="I191" s="64">
        <f t="shared" si="72"/>
        <v>0.01</v>
      </c>
      <c r="J191" s="64">
        <f t="shared" ref="J191:K191" si="103">I191</f>
        <v>0.01</v>
      </c>
      <c r="K191" s="64">
        <f t="shared" si="103"/>
        <v>0.01</v>
      </c>
      <c r="L191" s="64">
        <f t="shared" si="74"/>
        <v>0.01</v>
      </c>
      <c r="M191" s="64">
        <f t="shared" ref="M191:N191" si="104">L191</f>
        <v>0.01</v>
      </c>
      <c r="N191" s="64">
        <f t="shared" si="104"/>
        <v>0.01</v>
      </c>
      <c r="O191" s="64">
        <f t="shared" si="76"/>
        <v>0.01</v>
      </c>
      <c r="P191" s="64">
        <f t="shared" ref="P191:Q191" si="105">O191</f>
        <v>0.01</v>
      </c>
      <c r="Q191" s="64">
        <f t="shared" si="105"/>
        <v>0.01</v>
      </c>
      <c r="R191" s="64">
        <f t="shared" si="78"/>
        <v>0.01</v>
      </c>
      <c r="S191" s="64">
        <f t="shared" ref="S191:T191" si="106">R191</f>
        <v>0.01</v>
      </c>
      <c r="T191" s="64">
        <f t="shared" si="106"/>
        <v>0.01</v>
      </c>
      <c r="U191" s="64">
        <f t="shared" si="80"/>
        <v>0.01</v>
      </c>
      <c r="V191" s="64">
        <f t="shared" ref="V191:W191" si="107">U191</f>
        <v>0.01</v>
      </c>
      <c r="W191" s="64">
        <f t="shared" si="107"/>
        <v>0.01</v>
      </c>
      <c r="X191" s="64">
        <f t="shared" si="82"/>
        <v>0.01</v>
      </c>
      <c r="Y191" s="64">
        <f t="shared" ref="Y191:Z191" si="108">X191</f>
        <v>0.01</v>
      </c>
      <c r="Z191" s="64">
        <f t="shared" si="108"/>
        <v>0.01</v>
      </c>
      <c r="AA191" s="64">
        <f t="shared" si="84"/>
        <v>0.01</v>
      </c>
      <c r="AB191" s="64">
        <f t="shared" si="93"/>
        <v>0.01</v>
      </c>
    </row>
    <row r="192" spans="2:28" x14ac:dyDescent="0.25">
      <c r="B192" s="159" t="str">
        <f>B164</f>
        <v>Interest Rate (Capital Cost)</v>
      </c>
      <c r="C192" s="63" t="str">
        <f>K164</f>
        <v>No change</v>
      </c>
      <c r="D192" s="58">
        <f t="shared" si="69"/>
        <v>0.24</v>
      </c>
      <c r="E192" s="64">
        <f t="shared" ref="E192" si="109">D192</f>
        <v>0.24</v>
      </c>
      <c r="F192" s="64">
        <f t="shared" si="70"/>
        <v>0.24</v>
      </c>
      <c r="G192" s="64">
        <f t="shared" si="70"/>
        <v>0.24</v>
      </c>
      <c r="H192" s="64">
        <f t="shared" si="70"/>
        <v>0.24</v>
      </c>
      <c r="I192" s="64">
        <f t="shared" si="70"/>
        <v>0.24</v>
      </c>
      <c r="J192" s="64">
        <f t="shared" si="70"/>
        <v>0.24</v>
      </c>
      <c r="K192" s="64">
        <f t="shared" si="70"/>
        <v>0.24</v>
      </c>
      <c r="L192" s="64">
        <f t="shared" si="70"/>
        <v>0.24</v>
      </c>
      <c r="M192" s="64">
        <f t="shared" si="70"/>
        <v>0.24</v>
      </c>
      <c r="N192" s="64">
        <f t="shared" si="70"/>
        <v>0.24</v>
      </c>
      <c r="O192" s="64">
        <f t="shared" si="70"/>
        <v>0.24</v>
      </c>
      <c r="P192" s="64">
        <f t="shared" si="70"/>
        <v>0.24</v>
      </c>
      <c r="Q192" s="64">
        <f t="shared" si="70"/>
        <v>0.24</v>
      </c>
      <c r="R192" s="64">
        <f t="shared" si="70"/>
        <v>0.24</v>
      </c>
      <c r="S192" s="64">
        <f t="shared" si="70"/>
        <v>0.24</v>
      </c>
      <c r="T192" s="64">
        <f t="shared" si="70"/>
        <v>0.24</v>
      </c>
      <c r="U192" s="64">
        <f t="shared" si="70"/>
        <v>0.24</v>
      </c>
      <c r="V192" s="64">
        <f t="shared" si="70"/>
        <v>0.24</v>
      </c>
      <c r="W192" s="64">
        <f t="shared" si="70"/>
        <v>0.24</v>
      </c>
      <c r="X192" s="64">
        <f t="shared" si="70"/>
        <v>0.24</v>
      </c>
      <c r="Y192" s="64">
        <f t="shared" si="70"/>
        <v>0.24</v>
      </c>
      <c r="Z192" s="64">
        <f t="shared" si="70"/>
        <v>0.24</v>
      </c>
      <c r="AA192" s="64">
        <f t="shared" si="70"/>
        <v>0.24</v>
      </c>
      <c r="AB192" s="64">
        <f t="shared" si="70"/>
        <v>0.24</v>
      </c>
    </row>
    <row r="193" spans="1:28" x14ac:dyDescent="0.25">
      <c r="G193" s="127"/>
      <c r="J193" s="127"/>
      <c r="M193" s="127"/>
      <c r="P193" s="127"/>
      <c r="S193" s="127"/>
      <c r="V193" s="127"/>
      <c r="Y193" s="127"/>
      <c r="AB193" s="127"/>
    </row>
    <row r="194" spans="1:28" x14ac:dyDescent="0.25">
      <c r="A194" s="63">
        <v>9</v>
      </c>
      <c r="B194" s="44" t="s">
        <v>340</v>
      </c>
      <c r="G194" s="127"/>
    </row>
    <row r="197" spans="1:28" ht="30" x14ac:dyDescent="0.25">
      <c r="B197" s="17" t="s">
        <v>3</v>
      </c>
      <c r="C197" s="13" t="s">
        <v>299</v>
      </c>
      <c r="D197" s="20" t="s">
        <v>5</v>
      </c>
      <c r="E197" s="484" t="s">
        <v>321</v>
      </c>
      <c r="F197" s="484"/>
      <c r="G197" s="484"/>
      <c r="H197" s="484"/>
    </row>
    <row r="198" spans="1:28" x14ac:dyDescent="0.25">
      <c r="B198" s="552" t="s">
        <v>336</v>
      </c>
      <c r="C198" s="552"/>
      <c r="D198" s="552"/>
      <c r="E198" s="552"/>
      <c r="F198" s="552"/>
      <c r="G198" s="552"/>
      <c r="H198" s="552"/>
    </row>
    <row r="200" spans="1:28" ht="30" x14ac:dyDescent="0.25">
      <c r="B200" s="17" t="s">
        <v>10</v>
      </c>
      <c r="C200" s="13" t="s">
        <v>299</v>
      </c>
      <c r="D200" s="21" t="s">
        <v>5</v>
      </c>
      <c r="E200" s="474" t="s">
        <v>6</v>
      </c>
      <c r="F200" s="474"/>
      <c r="G200" s="474"/>
      <c r="H200" s="474"/>
    </row>
    <row r="201" spans="1:28" x14ac:dyDescent="0.25">
      <c r="B201" s="553" t="s">
        <v>337</v>
      </c>
      <c r="C201" s="553"/>
      <c r="D201" s="553"/>
      <c r="E201" s="553"/>
      <c r="F201" s="553"/>
      <c r="G201" s="553"/>
      <c r="H201" s="553"/>
    </row>
  </sheetData>
  <mergeCells count="27">
    <mergeCell ref="E197:H197"/>
    <mergeCell ref="B198:H198"/>
    <mergeCell ref="E200:H200"/>
    <mergeCell ref="B201:H201"/>
    <mergeCell ref="D142:D147"/>
    <mergeCell ref="E125:H125"/>
    <mergeCell ref="E126:H126"/>
    <mergeCell ref="E127:H127"/>
    <mergeCell ref="E128:H128"/>
    <mergeCell ref="E132:H132"/>
    <mergeCell ref="E118:H118"/>
    <mergeCell ref="E119:H119"/>
    <mergeCell ref="E120:H120"/>
    <mergeCell ref="E121:H121"/>
    <mergeCell ref="E124:H124"/>
    <mergeCell ref="C105:F105"/>
    <mergeCell ref="B22:H22"/>
    <mergeCell ref="B3:E3"/>
    <mergeCell ref="B23:J23"/>
    <mergeCell ref="C79:F79"/>
    <mergeCell ref="C93:F93"/>
    <mergeCell ref="K148:N148"/>
    <mergeCell ref="P148:S148"/>
    <mergeCell ref="U148:X148"/>
    <mergeCell ref="K149:N149"/>
    <mergeCell ref="P149:S149"/>
    <mergeCell ref="U149:X149"/>
  </mergeCells>
  <pageMargins left="0.7" right="0.7" top="0.75" bottom="0.75" header="0.3" footer="0.3"/>
  <pageSetup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K33"/>
  <sheetViews>
    <sheetView topLeftCell="A13" zoomScale="70" zoomScaleNormal="70" workbookViewId="0">
      <selection activeCell="I13" sqref="I13"/>
    </sheetView>
  </sheetViews>
  <sheetFormatPr defaultColWidth="26" defaultRowHeight="15" x14ac:dyDescent="0.25"/>
  <cols>
    <col min="1" max="1" width="53.7109375" style="309" customWidth="1"/>
    <col min="2" max="2" width="49.7109375" style="336" customWidth="1"/>
    <col min="3" max="3" width="19.28515625" style="234" customWidth="1"/>
    <col min="4" max="4" width="12.7109375" style="234" customWidth="1"/>
    <col min="5" max="5" width="13.7109375" style="234" customWidth="1"/>
    <col min="6" max="6" width="15.85546875" style="234" customWidth="1"/>
    <col min="7" max="7" width="12.28515625" style="276" customWidth="1"/>
    <col min="8" max="8" width="24.140625" style="234" customWidth="1"/>
    <col min="9" max="9" width="49" style="234" customWidth="1"/>
    <col min="10" max="10" width="45.140625" style="234" customWidth="1"/>
    <col min="11" max="16384" width="26" style="234"/>
  </cols>
  <sheetData>
    <row r="1" spans="1:11" ht="15.75" thickBot="1" x14ac:dyDescent="0.3">
      <c r="A1" s="363"/>
      <c r="B1" s="8"/>
      <c r="C1" s="364"/>
      <c r="D1" s="364"/>
      <c r="E1" s="364"/>
      <c r="F1" s="364"/>
      <c r="G1" s="365"/>
      <c r="H1" s="364"/>
      <c r="I1" s="364"/>
      <c r="J1" s="364"/>
      <c r="K1" s="268"/>
    </row>
    <row r="2" spans="1:11" ht="30.6" customHeight="1" x14ac:dyDescent="0.25">
      <c r="A2" s="227" t="s">
        <v>249</v>
      </c>
      <c r="B2" s="228" t="s">
        <v>250</v>
      </c>
      <c r="C2" s="229" t="s">
        <v>251</v>
      </c>
      <c r="D2" s="230" t="s">
        <v>252</v>
      </c>
      <c r="E2" s="229" t="s">
        <v>253</v>
      </c>
      <c r="F2" s="230" t="s">
        <v>254</v>
      </c>
      <c r="G2" s="231" t="s">
        <v>255</v>
      </c>
      <c r="H2" s="230" t="s">
        <v>256</v>
      </c>
      <c r="I2" s="230" t="s">
        <v>257</v>
      </c>
      <c r="J2" s="232" t="s">
        <v>258</v>
      </c>
      <c r="K2" s="233"/>
    </row>
    <row r="3" spans="1:11" ht="19.350000000000001" customHeight="1" x14ac:dyDescent="0.25">
      <c r="A3" s="505" t="s">
        <v>259</v>
      </c>
      <c r="B3" s="506"/>
      <c r="C3" s="506"/>
      <c r="D3" s="506"/>
      <c r="E3" s="506"/>
      <c r="F3" s="506"/>
      <c r="G3" s="506"/>
      <c r="H3" s="506"/>
      <c r="I3" s="506"/>
      <c r="J3" s="507"/>
      <c r="K3" s="236"/>
    </row>
    <row r="4" spans="1:11" s="244" customFormat="1" ht="19.149999999999999" customHeight="1" x14ac:dyDescent="0.25">
      <c r="A4" s="245" t="s">
        <v>260</v>
      </c>
      <c r="B4" s="238"/>
      <c r="C4" s="239"/>
      <c r="D4" s="239"/>
      <c r="E4" s="239"/>
      <c r="F4" s="239"/>
      <c r="G4" s="239"/>
      <c r="H4" s="240"/>
      <c r="I4" s="241"/>
      <c r="J4" s="242"/>
      <c r="K4" s="243"/>
    </row>
    <row r="5" spans="1:11" s="244" customFormat="1" ht="33" customHeight="1" x14ac:dyDescent="0.25">
      <c r="A5" s="245" t="str">
        <f>Assumption_Nursery!B142</f>
        <v>Operation Cost (Crablet purchase)</v>
      </c>
      <c r="B5" s="384"/>
      <c r="C5" s="366" t="s">
        <v>265</v>
      </c>
      <c r="D5" s="366" t="s">
        <v>265</v>
      </c>
      <c r="E5" s="366" t="s">
        <v>265</v>
      </c>
      <c r="F5" s="366" t="s">
        <v>265</v>
      </c>
      <c r="G5" s="366" t="s">
        <v>265</v>
      </c>
      <c r="H5" s="366" t="s">
        <v>265</v>
      </c>
      <c r="I5" s="241"/>
      <c r="J5" s="385" t="s">
        <v>339</v>
      </c>
      <c r="K5" s="243"/>
    </row>
    <row r="6" spans="1:11" s="244" customFormat="1" ht="34.9" customHeight="1" x14ac:dyDescent="0.25">
      <c r="A6" s="245" t="str">
        <f>Assumption_Nursery!B143</f>
        <v>Feed</v>
      </c>
      <c r="B6" s="384"/>
      <c r="C6" s="366" t="s">
        <v>265</v>
      </c>
      <c r="D6" s="366" t="s">
        <v>265</v>
      </c>
      <c r="E6" s="366" t="s">
        <v>265</v>
      </c>
      <c r="F6" s="366" t="s">
        <v>265</v>
      </c>
      <c r="G6" s="366" t="s">
        <v>265</v>
      </c>
      <c r="H6" s="366" t="s">
        <v>265</v>
      </c>
      <c r="I6" s="241"/>
      <c r="J6" s="385" t="s">
        <v>338</v>
      </c>
      <c r="K6" s="243"/>
    </row>
    <row r="7" spans="1:11" ht="19.350000000000001" customHeight="1" x14ac:dyDescent="0.25">
      <c r="A7" s="245" t="s">
        <v>264</v>
      </c>
      <c r="B7" s="251" t="s">
        <v>265</v>
      </c>
      <c r="C7" s="366" t="s">
        <v>265</v>
      </c>
      <c r="D7" s="366" t="s">
        <v>265</v>
      </c>
      <c r="E7" s="366" t="s">
        <v>265</v>
      </c>
      <c r="F7" s="366" t="s">
        <v>265</v>
      </c>
      <c r="G7" s="366" t="s">
        <v>265</v>
      </c>
      <c r="H7" s="366" t="s">
        <v>265</v>
      </c>
      <c r="I7" s="248"/>
      <c r="J7" s="249" t="s">
        <v>266</v>
      </c>
      <c r="K7" s="236"/>
    </row>
    <row r="8" spans="1:11" ht="19.350000000000001" customHeight="1" x14ac:dyDescent="0.25">
      <c r="A8" s="253" t="s">
        <v>269</v>
      </c>
      <c r="B8" s="235" t="s">
        <v>250</v>
      </c>
      <c r="C8" s="254" t="s">
        <v>251</v>
      </c>
      <c r="D8" s="255" t="s">
        <v>252</v>
      </c>
      <c r="E8" s="254" t="s">
        <v>253</v>
      </c>
      <c r="F8" s="254" t="s">
        <v>270</v>
      </c>
      <c r="G8" s="256" t="s">
        <v>255</v>
      </c>
      <c r="H8" s="255" t="s">
        <v>271</v>
      </c>
      <c r="I8" s="255" t="s">
        <v>257</v>
      </c>
      <c r="J8" s="257" t="s">
        <v>257</v>
      </c>
      <c r="K8" s="236"/>
    </row>
    <row r="9" spans="1:11" ht="19.350000000000001" customHeight="1" thickBot="1" x14ac:dyDescent="0.3">
      <c r="A9" s="245" t="str">
        <f>Assumption_Nursery!B120</f>
        <v>Price of small crab</v>
      </c>
      <c r="B9" s="258" t="s">
        <v>314</v>
      </c>
      <c r="C9" s="246"/>
      <c r="D9" s="246"/>
      <c r="E9" s="246"/>
      <c r="F9" s="246"/>
      <c r="G9" s="246"/>
      <c r="H9" s="247"/>
      <c r="I9" s="248"/>
      <c r="J9" s="252" t="s">
        <v>268</v>
      </c>
      <c r="K9" s="236"/>
    </row>
    <row r="10" spans="1:11" ht="19.350000000000001" customHeight="1" x14ac:dyDescent="0.25">
      <c r="A10" s="259" t="s">
        <v>272</v>
      </c>
      <c r="B10" s="260"/>
      <c r="C10" s="261"/>
      <c r="D10" s="262"/>
      <c r="E10" s="263"/>
      <c r="F10" s="263"/>
      <c r="G10" s="263"/>
      <c r="H10" s="263"/>
      <c r="I10" s="263"/>
      <c r="J10" s="264"/>
      <c r="K10" s="236"/>
    </row>
    <row r="11" spans="1:11" ht="19.350000000000001" customHeight="1" x14ac:dyDescent="0.25">
      <c r="A11" s="265" t="s">
        <v>273</v>
      </c>
      <c r="B11" s="266">
        <v>0.15</v>
      </c>
      <c r="C11" s="267" t="s">
        <v>274</v>
      </c>
      <c r="D11" s="268"/>
      <c r="E11" s="263"/>
      <c r="F11" s="269"/>
      <c r="G11" s="270"/>
      <c r="H11" s="271"/>
      <c r="I11" s="271"/>
      <c r="J11" s="272"/>
      <c r="K11" s="236"/>
    </row>
    <row r="12" spans="1:11" ht="19.350000000000001" customHeight="1" x14ac:dyDescent="0.25">
      <c r="A12" s="265" t="s">
        <v>275</v>
      </c>
      <c r="B12" s="266">
        <v>0.09</v>
      </c>
      <c r="C12" s="273" t="s">
        <v>276</v>
      </c>
      <c r="D12" s="236"/>
      <c r="E12" s="274"/>
      <c r="F12" s="275"/>
      <c r="J12" s="277"/>
      <c r="K12" s="236"/>
    </row>
    <row r="13" spans="1:11" ht="19.350000000000001" customHeight="1" x14ac:dyDescent="0.25">
      <c r="A13" s="265" t="s">
        <v>277</v>
      </c>
      <c r="B13" s="266">
        <v>0.06</v>
      </c>
      <c r="C13" s="273" t="s">
        <v>276</v>
      </c>
      <c r="D13" s="236"/>
      <c r="E13" s="274"/>
      <c r="F13" s="278"/>
      <c r="J13" s="277"/>
      <c r="K13" s="236"/>
    </row>
    <row r="14" spans="1:11" ht="19.350000000000001" customHeight="1" x14ac:dyDescent="0.25">
      <c r="A14" s="265" t="s">
        <v>278</v>
      </c>
      <c r="B14" s="266">
        <v>0.05</v>
      </c>
      <c r="C14" s="273" t="s">
        <v>276</v>
      </c>
      <c r="D14" s="236"/>
      <c r="E14" s="279"/>
      <c r="F14" s="275"/>
      <c r="J14" s="277"/>
      <c r="K14" s="236"/>
    </row>
    <row r="15" spans="1:11" ht="19.350000000000001" customHeight="1" x14ac:dyDescent="0.25">
      <c r="A15" s="265" t="s">
        <v>279</v>
      </c>
      <c r="B15" s="280">
        <v>0.05</v>
      </c>
      <c r="C15" s="273" t="s">
        <v>276</v>
      </c>
      <c r="D15" s="236"/>
      <c r="E15" s="279"/>
      <c r="F15" s="275"/>
      <c r="J15" s="277"/>
      <c r="K15" s="236"/>
    </row>
    <row r="16" spans="1:11" ht="19.350000000000001" customHeight="1" x14ac:dyDescent="0.25">
      <c r="A16" s="265" t="s">
        <v>280</v>
      </c>
      <c r="B16" s="266">
        <v>2.81E-2</v>
      </c>
      <c r="C16" s="281" t="s">
        <v>281</v>
      </c>
      <c r="D16" s="236"/>
      <c r="E16" s="279"/>
      <c r="F16" s="275"/>
      <c r="J16" s="277"/>
      <c r="K16" s="236"/>
    </row>
    <row r="17" spans="1:11" ht="19.350000000000001" customHeight="1" thickBot="1" x14ac:dyDescent="0.3">
      <c r="A17" s="282" t="s">
        <v>282</v>
      </c>
      <c r="B17" s="283">
        <v>0</v>
      </c>
      <c r="C17" s="284" t="s">
        <v>276</v>
      </c>
      <c r="D17" s="236"/>
      <c r="J17" s="277"/>
      <c r="K17" s="236"/>
    </row>
    <row r="18" spans="1:11" ht="19.350000000000001" customHeight="1" x14ac:dyDescent="0.25">
      <c r="A18" s="285" t="s">
        <v>283</v>
      </c>
      <c r="B18" s="286"/>
      <c r="C18" s="287"/>
      <c r="D18" s="288"/>
      <c r="E18" s="289"/>
      <c r="F18" s="289"/>
      <c r="G18" s="290"/>
      <c r="H18" s="291"/>
      <c r="I18" s="236"/>
      <c r="J18" s="277"/>
      <c r="K18" s="236"/>
    </row>
    <row r="19" spans="1:11" ht="19.350000000000001" customHeight="1" x14ac:dyDescent="0.25">
      <c r="A19" s="292" t="s">
        <v>284</v>
      </c>
      <c r="B19" s="293"/>
      <c r="C19" s="294"/>
      <c r="D19" s="295"/>
      <c r="H19" s="277"/>
      <c r="I19" s="236"/>
      <c r="J19" s="277"/>
      <c r="K19" s="236"/>
    </row>
    <row r="20" spans="1:11" ht="19.350000000000001" customHeight="1" x14ac:dyDescent="0.25">
      <c r="A20" s="292" t="s">
        <v>285</v>
      </c>
      <c r="B20" s="293"/>
      <c r="C20" s="294"/>
      <c r="D20" s="295"/>
      <c r="H20" s="277"/>
      <c r="I20" s="236"/>
      <c r="J20" s="277"/>
      <c r="K20" s="236"/>
    </row>
    <row r="21" spans="1:11" ht="19.350000000000001" customHeight="1" x14ac:dyDescent="0.25">
      <c r="A21" s="292" t="s">
        <v>286</v>
      </c>
      <c r="B21" s="293"/>
      <c r="C21" s="294"/>
      <c r="D21" s="295"/>
      <c r="H21" s="277"/>
      <c r="I21" s="236"/>
      <c r="J21" s="277"/>
      <c r="K21" s="236"/>
    </row>
    <row r="22" spans="1:11" ht="19.350000000000001" customHeight="1" x14ac:dyDescent="0.25">
      <c r="A22" s="292" t="s">
        <v>287</v>
      </c>
      <c r="B22" s="293"/>
      <c r="C22" s="294"/>
      <c r="D22" s="295"/>
      <c r="H22" s="277"/>
      <c r="I22" s="236"/>
      <c r="J22" s="277"/>
      <c r="K22" s="236"/>
    </row>
    <row r="23" spans="1:11" ht="19.350000000000001" customHeight="1" thickBot="1" x14ac:dyDescent="0.3">
      <c r="A23" s="296"/>
      <c r="B23" s="297"/>
      <c r="C23" s="298"/>
      <c r="D23" s="299"/>
      <c r="E23" s="300"/>
      <c r="F23" s="300"/>
      <c r="G23" s="301"/>
      <c r="H23" s="302"/>
      <c r="I23" s="236"/>
      <c r="J23" s="277"/>
      <c r="K23" s="236"/>
    </row>
    <row r="24" spans="1:11" ht="19.350000000000001" customHeight="1" x14ac:dyDescent="0.25">
      <c r="A24" s="303"/>
      <c r="B24" s="304"/>
      <c r="C24" s="305"/>
      <c r="D24" s="262"/>
      <c r="E24" s="263"/>
      <c r="F24" s="263"/>
      <c r="G24" s="263"/>
      <c r="H24" s="263"/>
      <c r="I24" s="236"/>
      <c r="J24" s="277"/>
      <c r="K24" s="236"/>
    </row>
    <row r="25" spans="1:11" ht="19.350000000000001" customHeight="1" x14ac:dyDescent="0.25">
      <c r="A25" s="306" t="s">
        <v>288</v>
      </c>
      <c r="B25" s="307"/>
      <c r="C25" s="308"/>
      <c r="D25" s="236"/>
      <c r="E25" s="263"/>
      <c r="F25" s="263"/>
      <c r="G25" s="263"/>
      <c r="H25" s="263"/>
      <c r="I25" s="236"/>
      <c r="J25" s="277"/>
      <c r="K25" s="236"/>
    </row>
    <row r="26" spans="1:11" ht="19.350000000000001" customHeight="1" x14ac:dyDescent="0.25">
      <c r="B26" s="244">
        <v>2018</v>
      </c>
      <c r="C26" s="310"/>
      <c r="D26" s="236"/>
      <c r="E26" s="263"/>
      <c r="F26" s="263"/>
      <c r="G26" s="263"/>
      <c r="H26" s="263"/>
      <c r="I26" s="236"/>
      <c r="J26" s="277"/>
      <c r="K26" s="236"/>
    </row>
    <row r="27" spans="1:11" ht="19.350000000000001" customHeight="1" x14ac:dyDescent="0.25">
      <c r="A27" s="309" t="s">
        <v>289</v>
      </c>
      <c r="B27" s="234">
        <v>29.797999999999998</v>
      </c>
      <c r="C27" s="310" t="s">
        <v>290</v>
      </c>
      <c r="D27" s="236"/>
      <c r="E27" s="263"/>
      <c r="F27" s="263"/>
      <c r="G27" s="263"/>
      <c r="H27" s="263"/>
      <c r="I27" s="236"/>
      <c r="J27" s="277"/>
      <c r="K27" s="236"/>
    </row>
    <row r="28" spans="1:11" ht="19.350000000000001" customHeight="1" x14ac:dyDescent="0.25">
      <c r="A28" s="309" t="s">
        <v>291</v>
      </c>
      <c r="B28" s="234">
        <v>67.709999999999994</v>
      </c>
      <c r="C28" s="310" t="s">
        <v>290</v>
      </c>
      <c r="D28" s="236"/>
      <c r="E28" s="263"/>
      <c r="F28" s="263"/>
      <c r="G28" s="263"/>
      <c r="H28" s="263"/>
      <c r="I28" s="236"/>
      <c r="J28" s="277"/>
      <c r="K28" s="236"/>
    </row>
    <row r="29" spans="1:11" ht="19.350000000000001" customHeight="1" x14ac:dyDescent="0.25">
      <c r="A29" s="311" t="s">
        <v>292</v>
      </c>
      <c r="B29" s="312">
        <v>2.74</v>
      </c>
      <c r="C29" s="313" t="s">
        <v>290</v>
      </c>
      <c r="D29" s="236"/>
      <c r="E29" s="263"/>
      <c r="F29" s="263"/>
      <c r="G29" s="263"/>
      <c r="H29" s="263"/>
      <c r="I29" s="236"/>
      <c r="J29" s="277"/>
      <c r="K29" s="236"/>
    </row>
    <row r="30" spans="1:11" ht="19.350000000000001" customHeight="1" x14ac:dyDescent="0.25">
      <c r="A30" s="314"/>
      <c r="B30" s="271"/>
      <c r="C30" s="264"/>
      <c r="D30" s="236"/>
      <c r="E30" s="263"/>
      <c r="F30" s="263"/>
      <c r="G30" s="263"/>
      <c r="H30" s="263"/>
      <c r="I30" s="236"/>
      <c r="J30" s="277"/>
      <c r="K30" s="236"/>
    </row>
    <row r="31" spans="1:11" ht="19.350000000000001" customHeight="1" x14ac:dyDescent="0.25">
      <c r="A31" s="315" t="s">
        <v>293</v>
      </c>
      <c r="B31" s="234"/>
      <c r="C31" s="310"/>
      <c r="D31" s="236"/>
      <c r="E31" s="263"/>
      <c r="F31" s="263"/>
      <c r="G31" s="263"/>
      <c r="H31" s="263"/>
      <c r="I31" s="236"/>
      <c r="J31" s="277"/>
      <c r="K31" s="236"/>
    </row>
    <row r="32" spans="1:11" ht="19.350000000000001" customHeight="1" thickBot="1" x14ac:dyDescent="0.3">
      <c r="A32" s="316"/>
      <c r="B32" s="317"/>
      <c r="C32" s="318"/>
      <c r="D32" s="262"/>
      <c r="E32" s="263"/>
      <c r="F32" s="263"/>
      <c r="G32" s="263"/>
      <c r="H32" s="263"/>
      <c r="I32" s="236"/>
      <c r="J32" s="277"/>
      <c r="K32" s="236"/>
    </row>
    <row r="33" spans="1:11" ht="19.350000000000001" customHeight="1" x14ac:dyDescent="0.25">
      <c r="A33" s="319"/>
      <c r="B33" s="263"/>
      <c r="C33" s="263"/>
      <c r="D33" s="263"/>
      <c r="E33" s="263"/>
      <c r="F33" s="263"/>
      <c r="G33" s="263"/>
      <c r="H33" s="263"/>
      <c r="I33" s="236"/>
      <c r="J33" s="277"/>
      <c r="K33" s="236"/>
    </row>
  </sheetData>
  <mergeCells count="1">
    <mergeCell ref="A3:J3"/>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7"/>
  </sheetPr>
  <dimension ref="A2:Z82"/>
  <sheetViews>
    <sheetView showGridLines="0" topLeftCell="A58" zoomScale="70" zoomScaleNormal="70" workbookViewId="0">
      <selection activeCell="G20" sqref="G20"/>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6" width="12.57031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2.28515625" style="26" customWidth="1"/>
    <col min="13" max="23" width="13.7109375" style="3" customWidth="1"/>
    <col min="24" max="24" width="15.7109375" style="3" customWidth="1"/>
    <col min="25" max="25" width="11" style="3" customWidth="1"/>
    <col min="26" max="26" width="11.140625" style="3" customWidth="1"/>
    <col min="27"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143</v>
      </c>
      <c r="B6" s="31">
        <f>Assumption_Nursery!D18*Assumption_Nursery!D179*Assumption_Nursery!D180*(1+Assumption_Nursery!D181)^Assumption_Nursery!D178</f>
        <v>0</v>
      </c>
      <c r="C6" s="31">
        <f>Assumption_Nursery!E18*Assumption_Nursery!E179*Assumption_Nursery!E180*(1+Assumption_Nursery!E181)^Assumption_Nursery!E178</f>
        <v>160650.00000000003</v>
      </c>
      <c r="D6" s="31">
        <f>Assumption_Nursery!F18*Assumption_Nursery!F179*Assumption_Nursery!F180*(1+Assumption_Nursery!F181)^Assumption_Nursery!F178</f>
        <v>409657.50000000006</v>
      </c>
      <c r="E6" s="31">
        <f>Assumption_Nursery!G18*Assumption_Nursery!G179*Assumption_Nursery!G180*(1+Assumption_Nursery!G181)^Assumption_Nursery!G178</f>
        <v>635132.98800000001</v>
      </c>
      <c r="F6" s="31">
        <f>Assumption_Nursery!H18*Assumption_Nursery!H179*Assumption_Nursery!H180*(1+Assumption_Nursery!H181)^Assumption_Nursery!H178</f>
        <v>852415.32600000012</v>
      </c>
      <c r="G6" s="31">
        <f>Assumption_Nursery!I18*Assumption_Nursery!I179*Assumption_Nursery!I180*(1+Assumption_Nursery!I181)^Assumption_Nursery!I178</f>
        <v>869463.6325200001</v>
      </c>
      <c r="H6" s="31">
        <f>Assumption_Nursery!J18*Assumption_Nursery!J179*Assumption_Nursery!J180*(1+Assumption_Nursery!J181)^Assumption_Nursery!J178</f>
        <v>842510.25991188013</v>
      </c>
      <c r="I6" s="31">
        <f>Assumption_Nursery!K18*Assumption_Nursery!K179*Assumption_Nursery!K180*(1+Assumption_Nursery!K181)^Assumption_Nursery!K178</f>
        <v>904589.96327380801</v>
      </c>
      <c r="J6" s="31">
        <f>Assumption_Nursery!L18*Assumption_Nursery!L179*Assumption_Nursery!L180*(1+Assumption_Nursery!L181)^Assumption_Nursery!L178</f>
        <v>922681.76253928419</v>
      </c>
      <c r="K6" s="31">
        <f>Assumption_Nursery!M18*Assumption_Nursery!M179*Assumption_Nursery!M180*(1+Assumption_Nursery!M181)^Assumption_Nursery!M178</f>
        <v>894078.62790056644</v>
      </c>
      <c r="L6" s="31">
        <f>Assumption_Nursery!N18*Assumption_Nursery!N179*Assumption_Nursery!N180*(1+Assumption_Nursery!N181)^Assumption_Nursery!N178</f>
        <v>959958.10574587132</v>
      </c>
      <c r="M6" s="31">
        <f>Assumption_Nursery!O18*Assumption_Nursery!O179*Assumption_Nursery!O180*(1+Assumption_Nursery!O181)^Assumption_Nursery!O178</f>
        <v>979157.26786078862</v>
      </c>
      <c r="N6" s="31">
        <f>Assumption_Nursery!P18*Assumption_Nursery!P179*Assumption_Nursery!P180*(1+Assumption_Nursery!P181)^Assumption_Nursery!P178</f>
        <v>948803.39255710435</v>
      </c>
      <c r="O6" s="31">
        <f>Assumption_Nursery!Q18*Assumption_Nursery!Q179*Assumption_Nursery!Q180*(1+Assumption_Nursery!Q181)^Assumption_Nursery!Q178</f>
        <v>1018715.2214823646</v>
      </c>
      <c r="P6" s="31">
        <f>Assumption_Nursery!R18*Assumption_Nursery!R179*Assumption_Nursery!R180*(1+Assumption_Nursery!R181)^Assumption_Nursery!R178</f>
        <v>1039089.525912012</v>
      </c>
      <c r="Q6" s="31">
        <f>Assumption_Nursery!S18*Assumption_Nursery!S179*Assumption_Nursery!S180*(1+Assumption_Nursery!S181)^Assumption_Nursery!S178</f>
        <v>1006877.7506087393</v>
      </c>
      <c r="R6" s="31">
        <f>Assumption_Nursery!T18*Assumption_Nursery!T179*Assumption_Nursery!T180*(1+Assumption_Nursery!T181)^Assumption_Nursery!T178</f>
        <v>1081068.7427588571</v>
      </c>
      <c r="S6" s="31">
        <f>Assumption_Nursery!U18*Assumption_Nursery!U179*Assumption_Nursery!U180*(1+Assumption_Nursery!U181)^Assumption_Nursery!U178</f>
        <v>1102690.1176140343</v>
      </c>
      <c r="T6" s="31">
        <f>Assumption_Nursery!V18*Assumption_Nursery!V179*Assumption_Nursery!V180*(1+Assumption_Nursery!V181)^Assumption_Nursery!V178</f>
        <v>1068506.7239679992</v>
      </c>
      <c r="U6" s="31">
        <f>Assumption_Nursery!W18*Assumption_Nursery!W179*Assumption_Nursery!W180*(1+Assumption_Nursery!W181)^Assumption_Nursery!W178</f>
        <v>1147238.7983656412</v>
      </c>
      <c r="V6" s="31">
        <f>Assumption_Nursery!X18*Assumption_Nursery!X179*Assumption_Nursery!X180*(1+Assumption_Nursery!X181)^Assumption_Nursery!X178</f>
        <v>1170183.5743329541</v>
      </c>
      <c r="W6" s="31">
        <f>Assumption_Nursery!Y18*Assumption_Nursery!Y179*Assumption_Nursery!Y180*(1+Assumption_Nursery!Y181)^Assumption_Nursery!Y178</f>
        <v>907126.3068229059</v>
      </c>
      <c r="X6" s="31">
        <f>Assumption_Nursery!Z18*Assumption_Nursery!Z179*Assumption_Nursery!Z180*(1+Assumption_Nursery!Z181)^Assumption_Nursery!Z178</f>
        <v>608729.49536800268</v>
      </c>
      <c r="Y6" s="31">
        <f>Assumption_Nursery!AA18*Assumption_Nursery!AA179*Assumption_Nursery!AA180*(1+Assumption_Nursery!AA181)^Assumption_Nursery!AA178</f>
        <v>248361.63411014507</v>
      </c>
      <c r="Z6" s="31">
        <f>Assumption_Nursery!AB18*Assumption_Nursery!AB179*Assumption_Nursery!AB180*(1+Assumption_Nursery!AB181)^Assumption_Nursery!AB178</f>
        <v>0</v>
      </c>
    </row>
    <row r="7" spans="1:26" s="12" customFormat="1" x14ac:dyDescent="0.25">
      <c r="A7" s="23" t="s">
        <v>53</v>
      </c>
      <c r="B7" s="38">
        <f>B6</f>
        <v>0</v>
      </c>
      <c r="C7" s="38">
        <f t="shared" ref="C7:Z7" si="0">C6</f>
        <v>160650.00000000003</v>
      </c>
      <c r="D7" s="38">
        <f t="shared" si="0"/>
        <v>409657.50000000006</v>
      </c>
      <c r="E7" s="38">
        <f t="shared" si="0"/>
        <v>635132.98800000001</v>
      </c>
      <c r="F7" s="38">
        <f t="shared" si="0"/>
        <v>852415.32600000012</v>
      </c>
      <c r="G7" s="38">
        <f t="shared" si="0"/>
        <v>869463.6325200001</v>
      </c>
      <c r="H7" s="38">
        <f t="shared" si="0"/>
        <v>842510.25991188013</v>
      </c>
      <c r="I7" s="38">
        <f t="shared" si="0"/>
        <v>904589.96327380801</v>
      </c>
      <c r="J7" s="38">
        <f t="shared" si="0"/>
        <v>922681.76253928419</v>
      </c>
      <c r="K7" s="38">
        <f t="shared" si="0"/>
        <v>894078.62790056644</v>
      </c>
      <c r="L7" s="38">
        <f t="shared" si="0"/>
        <v>959958.10574587132</v>
      </c>
      <c r="M7" s="38">
        <f t="shared" si="0"/>
        <v>979157.26786078862</v>
      </c>
      <c r="N7" s="38">
        <f t="shared" si="0"/>
        <v>948803.39255710435</v>
      </c>
      <c r="O7" s="38">
        <f t="shared" si="0"/>
        <v>1018715.2214823646</v>
      </c>
      <c r="P7" s="38">
        <f t="shared" si="0"/>
        <v>1039089.525912012</v>
      </c>
      <c r="Q7" s="38">
        <f t="shared" si="0"/>
        <v>1006877.7506087393</v>
      </c>
      <c r="R7" s="38">
        <f t="shared" si="0"/>
        <v>1081068.7427588571</v>
      </c>
      <c r="S7" s="38">
        <f t="shared" si="0"/>
        <v>1102690.1176140343</v>
      </c>
      <c r="T7" s="38">
        <f t="shared" si="0"/>
        <v>1068506.7239679992</v>
      </c>
      <c r="U7" s="38">
        <f t="shared" si="0"/>
        <v>1147238.7983656412</v>
      </c>
      <c r="V7" s="38">
        <f t="shared" si="0"/>
        <v>1170183.5743329541</v>
      </c>
      <c r="W7" s="38">
        <f t="shared" si="0"/>
        <v>907126.3068229059</v>
      </c>
      <c r="X7" s="38">
        <f t="shared" si="0"/>
        <v>608729.49536800268</v>
      </c>
      <c r="Y7" s="38">
        <f t="shared" si="0"/>
        <v>248361.63411014507</v>
      </c>
      <c r="Z7" s="38">
        <f t="shared" si="0"/>
        <v>0</v>
      </c>
    </row>
    <row r="8" spans="1:26" x14ac:dyDescent="0.25">
      <c r="A8" s="23"/>
      <c r="B8" s="41"/>
      <c r="C8" s="41"/>
      <c r="D8" s="41"/>
      <c r="E8" s="41"/>
      <c r="F8" s="41"/>
      <c r="G8" s="41"/>
      <c r="H8" s="41"/>
      <c r="I8" s="41"/>
      <c r="J8" s="41"/>
      <c r="K8" s="41"/>
    </row>
    <row r="9" spans="1:26" x14ac:dyDescent="0.25">
      <c r="A9" s="23" t="s">
        <v>20</v>
      </c>
    </row>
    <row r="10" spans="1:26" x14ac:dyDescent="0.25">
      <c r="A10" s="9" t="s">
        <v>61</v>
      </c>
      <c r="B10" s="33">
        <f>Assumption_Nursery!D18*Assumption_Nursery!D185</f>
        <v>0</v>
      </c>
      <c r="C10" s="33">
        <f>Assumption_Nursery!E18*Assumption_Nursery!E185</f>
        <v>40000</v>
      </c>
      <c r="D10" s="33">
        <f>Assumption_Nursery!F18*Assumption_Nursery!F185</f>
        <v>100000</v>
      </c>
      <c r="E10" s="33">
        <f>Assumption_Nursery!G18*Assumption_Nursery!G185</f>
        <v>160000</v>
      </c>
      <c r="F10" s="33">
        <f>Assumption_Nursery!H18*Assumption_Nursery!H185</f>
        <v>200000</v>
      </c>
      <c r="G10" s="33">
        <f>Assumption_Nursery!I18*Assumption_Nursery!I185</f>
        <v>200000</v>
      </c>
      <c r="H10" s="33">
        <f>Assumption_Nursery!J18*Assumption_Nursery!J185</f>
        <v>200000</v>
      </c>
      <c r="I10" s="33">
        <f>Assumption_Nursery!K18*Assumption_Nursery!K185</f>
        <v>200000</v>
      </c>
      <c r="J10" s="33">
        <f>Assumption_Nursery!L18*Assumption_Nursery!L185</f>
        <v>200000</v>
      </c>
      <c r="K10" s="33">
        <f>Assumption_Nursery!M18*Assumption_Nursery!M185</f>
        <v>200000</v>
      </c>
      <c r="L10" s="33">
        <f>Assumption_Nursery!N18*Assumption_Nursery!N185</f>
        <v>200000</v>
      </c>
      <c r="M10" s="33">
        <f>Assumption_Nursery!O18*Assumption_Nursery!O185</f>
        <v>200000</v>
      </c>
      <c r="N10" s="33">
        <f>Assumption_Nursery!P18*Assumption_Nursery!P185</f>
        <v>200000</v>
      </c>
      <c r="O10" s="33">
        <f>Assumption_Nursery!Q18*Assumption_Nursery!Q185</f>
        <v>200000</v>
      </c>
      <c r="P10" s="33">
        <f>Assumption_Nursery!R18*Assumption_Nursery!R185</f>
        <v>200000</v>
      </c>
      <c r="Q10" s="33">
        <f>Assumption_Nursery!S18*Assumption_Nursery!S185</f>
        <v>200000</v>
      </c>
      <c r="R10" s="33">
        <f>Assumption_Nursery!T18*Assumption_Nursery!T185</f>
        <v>200000</v>
      </c>
      <c r="S10" s="33">
        <f>Assumption_Nursery!U18*Assumption_Nursery!U185</f>
        <v>200000</v>
      </c>
      <c r="T10" s="33">
        <f>Assumption_Nursery!V18*Assumption_Nursery!V185</f>
        <v>200000</v>
      </c>
      <c r="U10" s="33">
        <f>Assumption_Nursery!W18*Assumption_Nursery!W185</f>
        <v>200000</v>
      </c>
      <c r="V10" s="33">
        <f>Assumption_Nursery!X18*Assumption_Nursery!X185</f>
        <v>200000</v>
      </c>
      <c r="W10" s="33">
        <f>Assumption_Nursery!Y18*Assumption_Nursery!Y185</f>
        <v>160000</v>
      </c>
      <c r="X10" s="33">
        <f>Assumption_Nursery!Z18*Assumption_Nursery!Z185</f>
        <v>100000</v>
      </c>
      <c r="Y10" s="33">
        <f>Assumption_Nursery!AA18*Assumption_Nursery!AA185</f>
        <v>40000</v>
      </c>
      <c r="Z10" s="33">
        <f>Assumption_Nursery!AB18*Assumption_Nursery!AB185</f>
        <v>0</v>
      </c>
    </row>
    <row r="11" spans="1:26" x14ac:dyDescent="0.25">
      <c r="A11" s="9" t="s">
        <v>62</v>
      </c>
      <c r="B11" s="33">
        <f>Assumption_Nursery!D18*Assumption_Nursery!D186</f>
        <v>0</v>
      </c>
      <c r="C11" s="33">
        <f>Assumption_Nursery!E18*Assumption_Nursery!E186</f>
        <v>85000.000000000015</v>
      </c>
      <c r="D11" s="33">
        <f>Assumption_Nursery!F18*Assumption_Nursery!F186</f>
        <v>212500.00000000003</v>
      </c>
      <c r="E11" s="33">
        <f>Assumption_Nursery!G18*Assumption_Nursery!G186</f>
        <v>340000.00000000006</v>
      </c>
      <c r="F11" s="33">
        <f>Assumption_Nursery!H18*Assumption_Nursery!H186</f>
        <v>425000.00000000006</v>
      </c>
      <c r="G11" s="33">
        <f>Assumption_Nursery!I18*Assumption_Nursery!I186</f>
        <v>425000.00000000006</v>
      </c>
      <c r="H11" s="33">
        <f>Assumption_Nursery!J18*Assumption_Nursery!J186</f>
        <v>425000.00000000006</v>
      </c>
      <c r="I11" s="33">
        <f>Assumption_Nursery!K18*Assumption_Nursery!K186</f>
        <v>425000.00000000006</v>
      </c>
      <c r="J11" s="33">
        <f>Assumption_Nursery!L18*Assumption_Nursery!L186</f>
        <v>425000.00000000006</v>
      </c>
      <c r="K11" s="33">
        <f>Assumption_Nursery!M18*Assumption_Nursery!M186</f>
        <v>425000.00000000006</v>
      </c>
      <c r="L11" s="33">
        <f>Assumption_Nursery!N18*Assumption_Nursery!N186</f>
        <v>425000.00000000006</v>
      </c>
      <c r="M11" s="33">
        <f>Assumption_Nursery!O18*Assumption_Nursery!O186</f>
        <v>425000.00000000006</v>
      </c>
      <c r="N11" s="33">
        <f>Assumption_Nursery!P18*Assumption_Nursery!P186</f>
        <v>425000.00000000006</v>
      </c>
      <c r="O11" s="33">
        <f>Assumption_Nursery!Q18*Assumption_Nursery!Q186</f>
        <v>425000.00000000006</v>
      </c>
      <c r="P11" s="33">
        <f>Assumption_Nursery!R18*Assumption_Nursery!R186</f>
        <v>425000.00000000006</v>
      </c>
      <c r="Q11" s="33">
        <f>Assumption_Nursery!S18*Assumption_Nursery!S186</f>
        <v>425000.00000000006</v>
      </c>
      <c r="R11" s="33">
        <f>Assumption_Nursery!T18*Assumption_Nursery!T186</f>
        <v>425000.00000000006</v>
      </c>
      <c r="S11" s="33">
        <f>Assumption_Nursery!U18*Assumption_Nursery!U186</f>
        <v>425000.00000000006</v>
      </c>
      <c r="T11" s="33">
        <f>Assumption_Nursery!V18*Assumption_Nursery!V186</f>
        <v>425000.00000000006</v>
      </c>
      <c r="U11" s="33">
        <f>Assumption_Nursery!W18*Assumption_Nursery!W186</f>
        <v>425000.00000000006</v>
      </c>
      <c r="V11" s="33">
        <f>Assumption_Nursery!X18*Assumption_Nursery!X186</f>
        <v>425000.00000000006</v>
      </c>
      <c r="W11" s="33">
        <f>Assumption_Nursery!Y18*Assumption_Nursery!Y186</f>
        <v>340000.00000000006</v>
      </c>
      <c r="X11" s="33">
        <f>Assumption_Nursery!Z18*Assumption_Nursery!Z186</f>
        <v>212500.00000000003</v>
      </c>
      <c r="Y11" s="33">
        <f>Assumption_Nursery!AA18*Assumption_Nursery!AA186</f>
        <v>85000.000000000015</v>
      </c>
      <c r="Z11" s="33">
        <f>Assumption_Nursery!AB18*Assumption_Nursery!AB186</f>
        <v>0</v>
      </c>
    </row>
    <row r="12" spans="1:26" x14ac:dyDescent="0.25">
      <c r="A12" s="9" t="s">
        <v>34</v>
      </c>
      <c r="B12" s="33">
        <f>Assumption_Nursery!D18*Assumption_Nursery!D187</f>
        <v>0</v>
      </c>
      <c r="C12" s="33">
        <f>Assumption_Nursery!E18*Assumption_Nursery!E187</f>
        <v>5000</v>
      </c>
      <c r="D12" s="33">
        <f>Assumption_Nursery!F18*Assumption_Nursery!F187</f>
        <v>12500</v>
      </c>
      <c r="E12" s="33">
        <f>Assumption_Nursery!G18*Assumption_Nursery!G187</f>
        <v>20299.999999999996</v>
      </c>
      <c r="F12" s="33">
        <f>Assumption_Nursery!H18*Assumption_Nursery!H187</f>
        <v>25000</v>
      </c>
      <c r="G12" s="33">
        <f>Assumption_Nursery!I18*Assumption_Nursery!I187</f>
        <v>25000</v>
      </c>
      <c r="H12" s="33">
        <f>Assumption_Nursery!J18*Assumption_Nursery!J187</f>
        <v>25374.999999999996</v>
      </c>
      <c r="I12" s="33">
        <f>Assumption_Nursery!K18*Assumption_Nursery!K187</f>
        <v>25000</v>
      </c>
      <c r="J12" s="33">
        <f>Assumption_Nursery!L18*Assumption_Nursery!L187</f>
        <v>25000</v>
      </c>
      <c r="K12" s="33">
        <f>Assumption_Nursery!M18*Assumption_Nursery!M187</f>
        <v>25374.999999999996</v>
      </c>
      <c r="L12" s="33">
        <f>Assumption_Nursery!N18*Assumption_Nursery!N187</f>
        <v>25000</v>
      </c>
      <c r="M12" s="33">
        <f>Assumption_Nursery!O18*Assumption_Nursery!O187</f>
        <v>25000</v>
      </c>
      <c r="N12" s="33">
        <f>Assumption_Nursery!P18*Assumption_Nursery!P187</f>
        <v>25374.999999999996</v>
      </c>
      <c r="O12" s="33">
        <f>Assumption_Nursery!Q18*Assumption_Nursery!Q187</f>
        <v>25000</v>
      </c>
      <c r="P12" s="33">
        <f>Assumption_Nursery!R18*Assumption_Nursery!R187</f>
        <v>25000</v>
      </c>
      <c r="Q12" s="33">
        <f>Assumption_Nursery!S18*Assumption_Nursery!S187</f>
        <v>25374.999999999996</v>
      </c>
      <c r="R12" s="33">
        <f>Assumption_Nursery!T18*Assumption_Nursery!T187</f>
        <v>25000</v>
      </c>
      <c r="S12" s="33">
        <f>Assumption_Nursery!U18*Assumption_Nursery!U187</f>
        <v>25000</v>
      </c>
      <c r="T12" s="33">
        <f>Assumption_Nursery!V18*Assumption_Nursery!V187</f>
        <v>25374.999999999996</v>
      </c>
      <c r="U12" s="33">
        <f>Assumption_Nursery!W18*Assumption_Nursery!W187</f>
        <v>25000</v>
      </c>
      <c r="V12" s="33">
        <f>Assumption_Nursery!X18*Assumption_Nursery!X187</f>
        <v>25000</v>
      </c>
      <c r="W12" s="33">
        <f>Assumption_Nursery!Y18*Assumption_Nursery!Y187</f>
        <v>20299.999999999996</v>
      </c>
      <c r="X12" s="33">
        <f>Assumption_Nursery!Z18*Assumption_Nursery!Z187</f>
        <v>12500</v>
      </c>
      <c r="Y12" s="33">
        <f>Assumption_Nursery!AA18*Assumption_Nursery!AA187</f>
        <v>5000</v>
      </c>
      <c r="Z12" s="33">
        <f>Assumption_Nursery!AB18*Assumption_Nursery!AB187</f>
        <v>0</v>
      </c>
    </row>
    <row r="13" spans="1:26" x14ac:dyDescent="0.25">
      <c r="A13" s="9" t="s">
        <v>141</v>
      </c>
      <c r="B13" s="33">
        <f>Assumption_Nursery!D18*Assumption_Nursery!D188</f>
        <v>0</v>
      </c>
      <c r="C13" s="33">
        <f>Assumption_Nursery!E18*Assumption_Nursery!E188</f>
        <v>4000</v>
      </c>
      <c r="D13" s="33">
        <f>Assumption_Nursery!F18*Assumption_Nursery!F188</f>
        <v>10000</v>
      </c>
      <c r="E13" s="33">
        <f>Assumption_Nursery!G18*Assumption_Nursery!G188</f>
        <v>16000</v>
      </c>
      <c r="F13" s="33">
        <f>Assumption_Nursery!H18*Assumption_Nursery!H188</f>
        <v>20000</v>
      </c>
      <c r="G13" s="33">
        <f>Assumption_Nursery!I18*Assumption_Nursery!I188</f>
        <v>20000</v>
      </c>
      <c r="H13" s="33">
        <f>Assumption_Nursery!J18*Assumption_Nursery!J188</f>
        <v>20000</v>
      </c>
      <c r="I13" s="33">
        <f>Assumption_Nursery!K18*Assumption_Nursery!K188</f>
        <v>20000</v>
      </c>
      <c r="J13" s="33">
        <f>Assumption_Nursery!L18*Assumption_Nursery!L188</f>
        <v>20000</v>
      </c>
      <c r="K13" s="33">
        <f>Assumption_Nursery!M18*Assumption_Nursery!M188</f>
        <v>20000</v>
      </c>
      <c r="L13" s="33">
        <f>Assumption_Nursery!N18*Assumption_Nursery!N188</f>
        <v>20000</v>
      </c>
      <c r="M13" s="33">
        <f>Assumption_Nursery!O18*Assumption_Nursery!O188</f>
        <v>20000</v>
      </c>
      <c r="N13" s="33">
        <f>Assumption_Nursery!P18*Assumption_Nursery!P188</f>
        <v>20000</v>
      </c>
      <c r="O13" s="33">
        <f>Assumption_Nursery!Q18*Assumption_Nursery!Q188</f>
        <v>20000</v>
      </c>
      <c r="P13" s="33">
        <f>Assumption_Nursery!R18*Assumption_Nursery!R188</f>
        <v>20000</v>
      </c>
      <c r="Q13" s="33">
        <f>Assumption_Nursery!S18*Assumption_Nursery!S188</f>
        <v>20000</v>
      </c>
      <c r="R13" s="33">
        <f>Assumption_Nursery!T18*Assumption_Nursery!T188</f>
        <v>20000</v>
      </c>
      <c r="S13" s="33">
        <f>Assumption_Nursery!U18*Assumption_Nursery!U188</f>
        <v>20000</v>
      </c>
      <c r="T13" s="33">
        <f>Assumption_Nursery!V18*Assumption_Nursery!V188</f>
        <v>20000</v>
      </c>
      <c r="U13" s="33">
        <f>Assumption_Nursery!W18*Assumption_Nursery!W188</f>
        <v>20000</v>
      </c>
      <c r="V13" s="33">
        <f>Assumption_Nursery!X18*Assumption_Nursery!X188</f>
        <v>20000</v>
      </c>
      <c r="W13" s="33">
        <f>Assumption_Nursery!Y18*Assumption_Nursery!Y188</f>
        <v>16000</v>
      </c>
      <c r="X13" s="33">
        <f>Assumption_Nursery!Z18*Assumption_Nursery!Z188</f>
        <v>10000</v>
      </c>
      <c r="Y13" s="33">
        <f>Assumption_Nursery!AA18*Assumption_Nursery!AA188</f>
        <v>4000</v>
      </c>
      <c r="Z13" s="33">
        <f>Assumption_Nursery!AB18*Assumption_Nursery!AB188</f>
        <v>0</v>
      </c>
    </row>
    <row r="14" spans="1:26" x14ac:dyDescent="0.25">
      <c r="A14" s="9" t="s">
        <v>12</v>
      </c>
      <c r="B14" s="33">
        <f>Assumption_Nursery!D189*Assumption_Nursery!D190*(1+Assumption_Nursery!D191)^Assumption_Nursery!D178*Assumption_Nursery!D18</f>
        <v>0</v>
      </c>
      <c r="C14" s="33">
        <f>Assumption_Nursery!E189*Assumption_Nursery!E190*(1+Assumption_Nursery!E191)^Assumption_Nursery!E178*Assumption_Nursery!E18</f>
        <v>42420</v>
      </c>
      <c r="D14" s="33">
        <f>Assumption_Nursery!F189*Assumption_Nursery!F190*(1+Assumption_Nursery!F191)^Assumption_Nursery!F178*Assumption_Nursery!F18</f>
        <v>107110.5</v>
      </c>
      <c r="E14" s="33">
        <f>Assumption_Nursery!G189*Assumption_Nursery!G190*(1+Assumption_Nursery!G191)^Assumption_Nursery!G178*Assumption_Nursery!G18</f>
        <v>173090.56799999997</v>
      </c>
      <c r="F14" s="33">
        <f>Assumption_Nursery!H189*Assumption_Nursery!H190*(1+Assumption_Nursery!H191)^Assumption_Nursery!H178*Assumption_Nursery!H18</f>
        <v>218526.84210000001</v>
      </c>
      <c r="G14" s="33">
        <f>Assumption_Nursery!I189*Assumption_Nursery!I190*(1+Assumption_Nursery!I191)^Assumption_Nursery!I178*Assumption_Nursery!I18</f>
        <v>220712.11052099997</v>
      </c>
      <c r="H14" s="33">
        <f>Assumption_Nursery!J189*Assumption_Nursery!J190*(1+Assumption_Nursery!J191)^Assumption_Nursery!J178*Assumption_Nursery!J18</f>
        <v>222919.23162621004</v>
      </c>
      <c r="I14" s="33">
        <f>Assumption_Nursery!K189*Assumption_Nursery!K190*(1+Assumption_Nursery!K191)^Assumption_Nursery!K178*Assumption_Nursery!K18</f>
        <v>225148.42394247209</v>
      </c>
      <c r="J14" s="33">
        <f>Assumption_Nursery!L189*Assumption_Nursery!L190*(1+Assumption_Nursery!L191)^Assumption_Nursery!L178*Assumption_Nursery!L18</f>
        <v>227399.90818189684</v>
      </c>
      <c r="K14" s="33">
        <f>Assumption_Nursery!M189*Assumption_Nursery!M190*(1+Assumption_Nursery!M191)^Assumption_Nursery!M178*Assumption_Nursery!M18</f>
        <v>229673.90726371581</v>
      </c>
      <c r="L14" s="33">
        <f>Assumption_Nursery!N189*Assumption_Nursery!N190*(1+Assumption_Nursery!N191)^Assumption_Nursery!N178*Assumption_Nursery!N18</f>
        <v>231970.64633635298</v>
      </c>
      <c r="M14" s="33">
        <f>Assumption_Nursery!O189*Assumption_Nursery!O190*(1+Assumption_Nursery!O191)^Assumption_Nursery!O178*Assumption_Nursery!O18</f>
        <v>234290.35279971649</v>
      </c>
      <c r="N14" s="33">
        <f>Assumption_Nursery!P189*Assumption_Nursery!P190*(1+Assumption_Nursery!P191)^Assumption_Nursery!P178*Assumption_Nursery!P18</f>
        <v>236633.25632771364</v>
      </c>
      <c r="O14" s="33">
        <f>Assumption_Nursery!Q189*Assumption_Nursery!Q190*(1+Assumption_Nursery!Q191)^Assumption_Nursery!Q178*Assumption_Nursery!Q18</f>
        <v>238999.5888909908</v>
      </c>
      <c r="P14" s="33">
        <f>Assumption_Nursery!R189*Assumption_Nursery!R190*(1+Assumption_Nursery!R191)^Assumption_Nursery!R178*Assumption_Nursery!R18</f>
        <v>241389.58477990073</v>
      </c>
      <c r="Q14" s="33">
        <f>Assumption_Nursery!S189*Assumption_Nursery!S190*(1+Assumption_Nursery!S191)^Assumption_Nursery!S178*Assumption_Nursery!S18</f>
        <v>243803.4806276997</v>
      </c>
      <c r="R14" s="33">
        <f>Assumption_Nursery!T189*Assumption_Nursery!T190*(1+Assumption_Nursery!T191)^Assumption_Nursery!T178*Assumption_Nursery!T18</f>
        <v>246241.51543397675</v>
      </c>
      <c r="S14" s="33">
        <f>Assumption_Nursery!U189*Assumption_Nursery!U190*(1+Assumption_Nursery!U191)^Assumption_Nursery!U178*Assumption_Nursery!U18</f>
        <v>248703.93058831652</v>
      </c>
      <c r="T14" s="33">
        <f>Assumption_Nursery!V189*Assumption_Nursery!V190*(1+Assumption_Nursery!V191)^Assumption_Nursery!V178*Assumption_Nursery!V18</f>
        <v>251190.96989419969</v>
      </c>
      <c r="U14" s="33">
        <f>Assumption_Nursery!W189*Assumption_Nursery!W190*(1+Assumption_Nursery!W191)^Assumption_Nursery!W178*Assumption_Nursery!W18</f>
        <v>253702.87959314164</v>
      </c>
      <c r="V14" s="33">
        <f>Assumption_Nursery!X189*Assumption_Nursery!X190*(1+Assumption_Nursery!X191)^Assumption_Nursery!X178*Assumption_Nursery!X18</f>
        <v>256239.9083890731</v>
      </c>
      <c r="W14" s="33">
        <f>Assumption_Nursery!Y189*Assumption_Nursery!Y190*(1+Assumption_Nursery!Y191)^Assumption_Nursery!Y178*Assumption_Nursery!Y18</f>
        <v>207041.84597837101</v>
      </c>
      <c r="X14" s="33">
        <f>Assumption_Nursery!Z189*Assumption_Nursery!Z190*(1+Assumption_Nursery!Z191)^Assumption_Nursery!Z178*Assumption_Nursery!Z18</f>
        <v>130695.16527384675</v>
      </c>
      <c r="Y14" s="33">
        <f>Assumption_Nursery!AA189*Assumption_Nursery!AA190*(1+Assumption_Nursery!AA191)^Assumption_Nursery!AA178*Assumption_Nursery!AA18</f>
        <v>52800.846770634074</v>
      </c>
      <c r="Z14" s="33">
        <f>Assumption_Nursery!AB189*Assumption_Nursery!AB190*(1+Assumption_Nursery!AB191)^Assumption_Nursery!AB178*Assumption_Nursery!AB18</f>
        <v>0</v>
      </c>
    </row>
    <row r="15" spans="1:26" s="50" customFormat="1" x14ac:dyDescent="0.25">
      <c r="A15" s="52" t="s">
        <v>131</v>
      </c>
      <c r="B15" s="49">
        <f>Assumption_Nursery!D43</f>
        <v>0</v>
      </c>
      <c r="C15" s="49">
        <f>Assumption_Nursery!E43</f>
        <v>74400</v>
      </c>
      <c r="D15" s="49">
        <f>Assumption_Nursery!F43</f>
        <v>111600</v>
      </c>
      <c r="E15" s="49">
        <f>Assumption_Nursery!G43</f>
        <v>111600</v>
      </c>
      <c r="F15" s="49">
        <f>Assumption_Nursery!H43</f>
        <v>74400</v>
      </c>
      <c r="G15" s="49">
        <f>Assumption_Nursery!I43</f>
        <v>0</v>
      </c>
      <c r="H15" s="49">
        <f>Assumption_Nursery!J43</f>
        <v>0</v>
      </c>
      <c r="I15" s="49">
        <f>Assumption_Nursery!K43</f>
        <v>0</v>
      </c>
      <c r="J15" s="49">
        <f>Assumption_Nursery!L43</f>
        <v>0</v>
      </c>
      <c r="K15" s="49">
        <f>Assumption_Nursery!M43</f>
        <v>0</v>
      </c>
      <c r="L15" s="49">
        <f>Assumption_Nursery!N43</f>
        <v>0</v>
      </c>
      <c r="M15" s="49">
        <f>Assumption_Nursery!O43</f>
        <v>0</v>
      </c>
      <c r="N15" s="49">
        <f>Assumption_Nursery!P43</f>
        <v>0</v>
      </c>
      <c r="O15" s="49">
        <f>Assumption_Nursery!Q43</f>
        <v>0</v>
      </c>
      <c r="P15" s="49">
        <f>Assumption_Nursery!R43</f>
        <v>0</v>
      </c>
      <c r="Q15" s="49">
        <f>Assumption_Nursery!S43</f>
        <v>0</v>
      </c>
      <c r="R15" s="49">
        <f>Assumption_Nursery!T43</f>
        <v>0</v>
      </c>
      <c r="S15" s="49">
        <f>Assumption_Nursery!U43</f>
        <v>0</v>
      </c>
      <c r="T15" s="49">
        <f>Assumption_Nursery!V43</f>
        <v>0</v>
      </c>
      <c r="U15" s="49">
        <f>Assumption_Nursery!W43</f>
        <v>0</v>
      </c>
      <c r="V15" s="49">
        <f>Assumption_Nursery!X43</f>
        <v>0</v>
      </c>
      <c r="W15" s="49">
        <f>Assumption_Nursery!Y43</f>
        <v>0</v>
      </c>
      <c r="X15" s="49">
        <f>Assumption_Nursery!Z43</f>
        <v>0</v>
      </c>
      <c r="Y15" s="49">
        <f>Assumption_Nursery!AA43</f>
        <v>0</v>
      </c>
      <c r="Z15" s="49">
        <f>Assumption_Nursery!AB43</f>
        <v>0</v>
      </c>
    </row>
    <row r="16" spans="1:26" x14ac:dyDescent="0.25">
      <c r="A16" s="117" t="s">
        <v>54</v>
      </c>
      <c r="B16" s="37">
        <f t="shared" ref="B16:Z16" si="1">SUM(B10:B15)</f>
        <v>0</v>
      </c>
      <c r="C16" s="37">
        <f t="shared" si="1"/>
        <v>250820</v>
      </c>
      <c r="D16" s="37">
        <f t="shared" si="1"/>
        <v>553710.5</v>
      </c>
      <c r="E16" s="37">
        <f t="shared" si="1"/>
        <v>820990.56799999997</v>
      </c>
      <c r="F16" s="37">
        <f t="shared" si="1"/>
        <v>962926.84210000001</v>
      </c>
      <c r="G16" s="37">
        <f t="shared" si="1"/>
        <v>890712.110521</v>
      </c>
      <c r="H16" s="37">
        <f t="shared" si="1"/>
        <v>893294.23162621004</v>
      </c>
      <c r="I16" s="37">
        <f t="shared" si="1"/>
        <v>895148.42394247209</v>
      </c>
      <c r="J16" s="37">
        <f t="shared" si="1"/>
        <v>897399.9081818969</v>
      </c>
      <c r="K16" s="37">
        <f t="shared" si="1"/>
        <v>900048.90726371575</v>
      </c>
      <c r="L16" s="37">
        <f t="shared" si="1"/>
        <v>901970.64633635292</v>
      </c>
      <c r="M16" s="37">
        <f t="shared" si="1"/>
        <v>904290.35279971652</v>
      </c>
      <c r="N16" s="37">
        <f t="shared" si="1"/>
        <v>907008.25632771361</v>
      </c>
      <c r="O16" s="37">
        <f t="shared" si="1"/>
        <v>908999.58889099082</v>
      </c>
      <c r="P16" s="37">
        <f t="shared" si="1"/>
        <v>911389.58477990073</v>
      </c>
      <c r="Q16" s="37">
        <f t="shared" si="1"/>
        <v>914178.48062769976</v>
      </c>
      <c r="R16" s="37">
        <f t="shared" si="1"/>
        <v>916241.51543397678</v>
      </c>
      <c r="S16" s="37">
        <f t="shared" si="1"/>
        <v>918703.93058831652</v>
      </c>
      <c r="T16" s="37">
        <f t="shared" si="1"/>
        <v>921565.96989419963</v>
      </c>
      <c r="U16" s="37">
        <f t="shared" si="1"/>
        <v>923702.87959314161</v>
      </c>
      <c r="V16" s="37">
        <f t="shared" si="1"/>
        <v>926239.9083890731</v>
      </c>
      <c r="W16" s="37">
        <f t="shared" si="1"/>
        <v>743341.84597837098</v>
      </c>
      <c r="X16" s="37">
        <f t="shared" si="1"/>
        <v>465695.16527384677</v>
      </c>
      <c r="Y16" s="37">
        <f t="shared" si="1"/>
        <v>186800.84677063406</v>
      </c>
      <c r="Z16" s="37">
        <f t="shared" si="1"/>
        <v>0</v>
      </c>
    </row>
    <row r="17" spans="1:26" x14ac:dyDescent="0.25">
      <c r="B17" s="32"/>
      <c r="C17" s="32"/>
      <c r="D17" s="32"/>
      <c r="E17" s="32"/>
      <c r="F17" s="32"/>
      <c r="G17" s="32"/>
      <c r="H17" s="32"/>
      <c r="I17" s="32"/>
      <c r="J17" s="32"/>
      <c r="K17" s="32"/>
      <c r="L17" s="32"/>
    </row>
    <row r="18" spans="1:26" x14ac:dyDescent="0.25">
      <c r="A18" s="23" t="s">
        <v>55</v>
      </c>
      <c r="B18" s="34">
        <f t="shared" ref="B18:Z18" si="2">B7-B16</f>
        <v>0</v>
      </c>
      <c r="C18" s="34">
        <f t="shared" si="2"/>
        <v>-90169.999999999971</v>
      </c>
      <c r="D18" s="34">
        <f t="shared" si="2"/>
        <v>-144052.99999999994</v>
      </c>
      <c r="E18" s="34">
        <f t="shared" si="2"/>
        <v>-185857.57999999996</v>
      </c>
      <c r="F18" s="34">
        <f t="shared" si="2"/>
        <v>-110511.51609999989</v>
      </c>
      <c r="G18" s="34">
        <f t="shared" si="2"/>
        <v>-21248.478000999894</v>
      </c>
      <c r="H18" s="34">
        <f t="shared" si="2"/>
        <v>-50783.971714329906</v>
      </c>
      <c r="I18" s="34">
        <f t="shared" si="2"/>
        <v>9441.5393313359236</v>
      </c>
      <c r="J18" s="34">
        <f t="shared" si="2"/>
        <v>25281.854357387288</v>
      </c>
      <c r="K18" s="34">
        <f t="shared" si="2"/>
        <v>-5970.2793631493114</v>
      </c>
      <c r="L18" s="34">
        <f t="shared" si="2"/>
        <v>57987.4594095184</v>
      </c>
      <c r="M18" s="34">
        <f t="shared" si="2"/>
        <v>74866.915061072097</v>
      </c>
      <c r="N18" s="34">
        <f t="shared" si="2"/>
        <v>41795.136229390744</v>
      </c>
      <c r="O18" s="34">
        <f t="shared" si="2"/>
        <v>109715.63259137375</v>
      </c>
      <c r="P18" s="34">
        <f t="shared" si="2"/>
        <v>127699.94113211124</v>
      </c>
      <c r="Q18" s="34">
        <f t="shared" si="2"/>
        <v>92699.269981039572</v>
      </c>
      <c r="R18" s="34">
        <f t="shared" si="2"/>
        <v>164827.22732488031</v>
      </c>
      <c r="S18" s="34">
        <f t="shared" si="2"/>
        <v>183986.18702571781</v>
      </c>
      <c r="T18" s="34">
        <f t="shared" si="2"/>
        <v>146940.75407379959</v>
      </c>
      <c r="U18" s="34">
        <f t="shared" si="2"/>
        <v>223535.91877249954</v>
      </c>
      <c r="V18" s="34">
        <f t="shared" si="2"/>
        <v>243943.66594388103</v>
      </c>
      <c r="W18" s="34">
        <f t="shared" si="2"/>
        <v>163784.46084453491</v>
      </c>
      <c r="X18" s="34">
        <f t="shared" si="2"/>
        <v>143034.33009415591</v>
      </c>
      <c r="Y18" s="34">
        <f t="shared" si="2"/>
        <v>61560.787339511007</v>
      </c>
      <c r="Z18" s="34">
        <f t="shared" si="2"/>
        <v>0</v>
      </c>
    </row>
    <row r="19" spans="1:26" x14ac:dyDescent="0.25">
      <c r="B19" s="32"/>
      <c r="C19" s="32"/>
      <c r="D19" s="32"/>
      <c r="E19" s="32"/>
      <c r="F19" s="32"/>
      <c r="G19" s="32"/>
      <c r="H19" s="32"/>
      <c r="I19" s="32"/>
      <c r="J19" s="32"/>
      <c r="K19" s="32"/>
      <c r="L19" s="32"/>
    </row>
    <row r="20" spans="1:26" s="12" customFormat="1" x14ac:dyDescent="0.25">
      <c r="A20" s="10" t="s">
        <v>319</v>
      </c>
      <c r="B20" s="345">
        <f>B7/(1+Assumption_Nursery!$C76)^BaU_Nursery!B4</f>
        <v>0</v>
      </c>
      <c r="C20" s="345">
        <f>C7/(1+Assumption_Nursery!$C76)^BaU_Nursery!C4</f>
        <v>151556.60377358494</v>
      </c>
      <c r="D20" s="345">
        <f>D7/(1+Assumption_Nursery!$C76)^BaU_Nursery!D4</f>
        <v>364593.71662513353</v>
      </c>
      <c r="E20" s="345">
        <f>E7/(1+Assumption_Nursery!$C76)^BaU_Nursery!E4</f>
        <v>533269.90401472349</v>
      </c>
      <c r="F20" s="345">
        <f>F7/(1+Assumption_Nursery!$C76)^BaU_Nursery!F4</f>
        <v>675192.77817157144</v>
      </c>
      <c r="G20" s="345">
        <f>G7/(1+Assumption_Nursery!$C76)^BaU_Nursery!G4</f>
        <v>649713.80541038001</v>
      </c>
      <c r="H20" s="345">
        <f>H7/(1+Assumption_Nursery!$C76)^BaU_Nursery!H4</f>
        <v>593936.48815345112</v>
      </c>
      <c r="I20" s="345">
        <f>I7/(1+Assumption_Nursery!$C76)^BaU_Nursery!I4</f>
        <v>601603.98998661374</v>
      </c>
      <c r="J20" s="345">
        <f>J7/(1+Assumption_Nursery!$C76)^BaU_Nursery!J4</f>
        <v>578901.95262862835</v>
      </c>
      <c r="K20" s="345">
        <f>K7/(1+Assumption_Nursery!$C76)^BaU_Nursery!K4</f>
        <v>529203.76612937823</v>
      </c>
      <c r="L20" s="345">
        <f>L7/(1+Assumption_Nursery!$C76)^BaU_Nursery!L4</f>
        <v>536035.59230582498</v>
      </c>
      <c r="M20" s="345">
        <f>M7/(1+Assumption_Nursery!$C76)^BaU_Nursery!M4</f>
        <v>515807.83410560497</v>
      </c>
      <c r="N20" s="345">
        <f>N7/(1+Assumption_Nursery!$C76)^BaU_Nursery!N4</f>
        <v>471526.21815880312</v>
      </c>
      <c r="O20" s="345">
        <f>O7/(1+Assumption_Nursery!$C76)^BaU_Nursery!O4</f>
        <v>477613.44838329602</v>
      </c>
      <c r="P20" s="345">
        <f>P7/(1+Assumption_Nursery!$C76)^BaU_Nursery!P4</f>
        <v>459590.29938769998</v>
      </c>
      <c r="Q20" s="345">
        <f>Q7/(1+Assumption_Nursery!$C76)^BaU_Nursery!Q4</f>
        <v>420134.90576101985</v>
      </c>
      <c r="R20" s="345">
        <f>R7/(1+Assumption_Nursery!$C76)^BaU_Nursery!R4</f>
        <v>425558.69302506495</v>
      </c>
      <c r="S20" s="345">
        <f>S7/(1+Assumption_Nursery!$C76)^BaU_Nursery!S4</f>
        <v>409499.87442034553</v>
      </c>
      <c r="T20" s="345">
        <f>T7/(1+Assumption_Nursery!$C76)^BaU_Nursery!T4</f>
        <v>374344.69652199512</v>
      </c>
      <c r="U20" s="345">
        <f>U7/(1+Assumption_Nursery!$C76)^BaU_Nursery!U4</f>
        <v>379177.34900936933</v>
      </c>
      <c r="V20" s="345">
        <f>V7/(1+Assumption_Nursery!$C76)^BaU_Nursery!V4</f>
        <v>364868.76980146865</v>
      </c>
      <c r="W20" s="345">
        <f>W7/(1+Assumption_Nursery!$C76)^BaU_Nursery!W4</f>
        <v>266836.10410386644</v>
      </c>
      <c r="X20" s="345">
        <f>X7/(1+Assumption_Nursery!$C76)^BaU_Nursery!X4</f>
        <v>168925.53760299389</v>
      </c>
      <c r="Y20" s="345">
        <f>Y7/(1+Assumption_Nursery!$C76)^BaU_Nursery!Y4</f>
        <v>65020.395605680649</v>
      </c>
      <c r="Z20" s="345">
        <f>Z7/(1+Assumption_Nursery!$C76)^BaU_Nursery!Z4</f>
        <v>0</v>
      </c>
    </row>
    <row r="21" spans="1:26" s="12" customFormat="1" x14ac:dyDescent="0.25">
      <c r="A21" s="10" t="s">
        <v>320</v>
      </c>
      <c r="B21" s="345">
        <f>B16/(1+Assumption_Nursery!$C77)^BaU_Nursery!B5</f>
        <v>0</v>
      </c>
      <c r="C21" s="345">
        <f>C16/(1+Assumption_Nursery!$C77)^BaU_Nursery!C5</f>
        <v>250820</v>
      </c>
      <c r="D21" s="345">
        <f>D16/(1+Assumption_Nursery!$C77)^BaU_Nursery!D5</f>
        <v>553710.5</v>
      </c>
      <c r="E21" s="345">
        <f>E16/(1+Assumption_Nursery!$C77)^BaU_Nursery!E5</f>
        <v>820990.56799999997</v>
      </c>
      <c r="F21" s="345">
        <f>F16/(1+Assumption_Nursery!$C77)^BaU_Nursery!F5</f>
        <v>962926.84210000001</v>
      </c>
      <c r="G21" s="345">
        <f>G16/(1+Assumption_Nursery!$C77)^BaU_Nursery!G5</f>
        <v>890712.110521</v>
      </c>
      <c r="H21" s="345">
        <f>H16/(1+Assumption_Nursery!$C77)^BaU_Nursery!H5</f>
        <v>893294.23162621004</v>
      </c>
      <c r="I21" s="345">
        <f>I16/(1+Assumption_Nursery!$C77)^BaU_Nursery!I5</f>
        <v>895148.42394247209</v>
      </c>
      <c r="J21" s="345">
        <f>J16/(1+Assumption_Nursery!$C77)^BaU_Nursery!J5</f>
        <v>897399.9081818969</v>
      </c>
      <c r="K21" s="345">
        <f>K16/(1+Assumption_Nursery!$C77)^BaU_Nursery!K5</f>
        <v>900048.90726371575</v>
      </c>
      <c r="L21" s="345">
        <f>L16/(1+Assumption_Nursery!$C77)^BaU_Nursery!L5</f>
        <v>901970.64633635292</v>
      </c>
      <c r="M21" s="345">
        <f>M16/(1+Assumption_Nursery!$C77)^BaU_Nursery!M5</f>
        <v>904290.35279971652</v>
      </c>
      <c r="N21" s="345">
        <f>N16/(1+Assumption_Nursery!$C77)^BaU_Nursery!N5</f>
        <v>907008.25632771361</v>
      </c>
      <c r="O21" s="345">
        <f>O16/(1+Assumption_Nursery!$C77)^BaU_Nursery!O5</f>
        <v>908999.58889099082</v>
      </c>
      <c r="P21" s="345">
        <f>P16/(1+Assumption_Nursery!$C77)^BaU_Nursery!P5</f>
        <v>911389.58477990073</v>
      </c>
      <c r="Q21" s="345">
        <f>Q16/(1+Assumption_Nursery!$C77)^BaU_Nursery!Q5</f>
        <v>914178.48062769976</v>
      </c>
      <c r="R21" s="345">
        <f>R16/(1+Assumption_Nursery!$C77)^BaU_Nursery!R5</f>
        <v>916241.51543397678</v>
      </c>
      <c r="S21" s="345">
        <f>S16/(1+Assumption_Nursery!$C77)^BaU_Nursery!S5</f>
        <v>918703.93058831652</v>
      </c>
      <c r="T21" s="345">
        <f>T16/(1+Assumption_Nursery!$C77)^BaU_Nursery!T5</f>
        <v>921565.96989419963</v>
      </c>
      <c r="U21" s="345">
        <f>U16/(1+Assumption_Nursery!$C77)^BaU_Nursery!U5</f>
        <v>923702.87959314161</v>
      </c>
      <c r="V21" s="345">
        <f>V16/(1+Assumption_Nursery!$C77)^BaU_Nursery!V5</f>
        <v>926239.9083890731</v>
      </c>
      <c r="W21" s="345">
        <f>W16/(1+Assumption_Nursery!$C77)^BaU_Nursery!W5</f>
        <v>743341.84597837098</v>
      </c>
      <c r="X21" s="345">
        <f>X16/(1+Assumption_Nursery!$C77)^BaU_Nursery!X5</f>
        <v>465695.16527384677</v>
      </c>
      <c r="Y21" s="345">
        <f>Y16/(1+Assumption_Nursery!$C77)^BaU_Nursery!Y5</f>
        <v>186800.84677063406</v>
      </c>
      <c r="Z21" s="345">
        <f>Z16/(1+Assumption_Nursery!$C77)^BaU_Nursery!Z5</f>
        <v>0</v>
      </c>
    </row>
    <row r="22" spans="1:26" x14ac:dyDescent="0.25">
      <c r="B22" s="32"/>
      <c r="C22" s="32"/>
      <c r="D22" s="32"/>
      <c r="E22" s="32"/>
      <c r="F22" s="32"/>
      <c r="G22" s="32"/>
      <c r="H22" s="32"/>
      <c r="I22" s="32"/>
      <c r="J22" s="32"/>
      <c r="K22" s="32"/>
      <c r="L22" s="32"/>
    </row>
    <row r="23" spans="1:26" s="12" customFormat="1" x14ac:dyDescent="0.25">
      <c r="A23" s="25" t="s">
        <v>318</v>
      </c>
      <c r="B23" s="35">
        <f>NPV(Assumption_Hatchery!C76,C18:Z18)+B18</f>
        <v>187882.57201791971</v>
      </c>
      <c r="C23" s="40"/>
      <c r="D23" s="40"/>
      <c r="E23" s="40"/>
      <c r="F23" s="40"/>
      <c r="G23" s="40"/>
      <c r="H23" s="40"/>
      <c r="I23" s="40"/>
      <c r="J23" s="40"/>
      <c r="K23" s="40"/>
      <c r="L23" s="40"/>
    </row>
    <row r="25" spans="1:26" s="12" customFormat="1" x14ac:dyDescent="0.25">
      <c r="A25" s="25" t="s">
        <v>238</v>
      </c>
      <c r="B25" s="36">
        <f>IRR(B18:Z18)</f>
        <v>8.4984624681674559E-2</v>
      </c>
      <c r="C25" s="4"/>
      <c r="D25" s="4"/>
      <c r="E25" s="4"/>
      <c r="F25" s="4"/>
      <c r="G25" s="4"/>
      <c r="H25" s="4"/>
      <c r="I25" s="4"/>
      <c r="J25" s="4"/>
      <c r="K25" s="4"/>
      <c r="L25" s="4"/>
    </row>
    <row r="28" spans="1:26" s="1" customFormat="1" x14ac:dyDescent="0.25">
      <c r="A28" s="24"/>
      <c r="B28" s="42"/>
      <c r="C28" s="42"/>
      <c r="D28" s="42"/>
      <c r="E28" s="42"/>
      <c r="F28" s="42"/>
      <c r="G28" s="42"/>
      <c r="H28" s="42"/>
      <c r="I28" s="42"/>
      <c r="J28" s="42"/>
      <c r="K28" s="42"/>
      <c r="L28" s="42"/>
    </row>
    <row r="30" spans="1:26" ht="38.25" customHeight="1" x14ac:dyDescent="0.25">
      <c r="A30" s="11" t="s">
        <v>332</v>
      </c>
      <c r="B30" s="30"/>
      <c r="C30" s="69"/>
      <c r="D30" s="70"/>
      <c r="E30" s="30"/>
      <c r="F30" s="116" t="s">
        <v>90</v>
      </c>
      <c r="G30" s="30"/>
      <c r="H30" s="30"/>
      <c r="I30" s="30"/>
      <c r="J30" s="30"/>
      <c r="K30" s="30"/>
      <c r="L30" s="30"/>
      <c r="M30" s="11"/>
    </row>
    <row r="31" spans="1:26" ht="38.25" customHeight="1" x14ac:dyDescent="0.25">
      <c r="A31" s="11"/>
      <c r="B31" s="30"/>
      <c r="C31" s="69"/>
      <c r="D31" s="70"/>
      <c r="E31" s="30"/>
      <c r="F31" s="116"/>
      <c r="G31" s="30"/>
      <c r="H31" s="30"/>
      <c r="I31" s="30"/>
      <c r="J31" s="30"/>
      <c r="K31" s="30"/>
      <c r="L31" s="30"/>
      <c r="M31" s="11"/>
    </row>
    <row r="32" spans="1:26" x14ac:dyDescent="0.25">
      <c r="A32" s="10" t="s">
        <v>19</v>
      </c>
      <c r="B32" s="26">
        <v>0</v>
      </c>
      <c r="C32" s="26">
        <v>1</v>
      </c>
      <c r="D32" s="26">
        <v>2</v>
      </c>
      <c r="E32" s="26">
        <v>3</v>
      </c>
      <c r="F32" s="26">
        <v>4</v>
      </c>
      <c r="G32" s="26">
        <v>5</v>
      </c>
      <c r="H32" s="26">
        <v>6</v>
      </c>
      <c r="I32" s="26">
        <v>7</v>
      </c>
      <c r="J32" s="26">
        <v>8</v>
      </c>
      <c r="K32" s="26">
        <v>9</v>
      </c>
      <c r="L32" s="26">
        <v>10</v>
      </c>
      <c r="M32" s="26">
        <v>11</v>
      </c>
      <c r="N32" s="26">
        <v>12</v>
      </c>
      <c r="O32" s="26">
        <v>13</v>
      </c>
      <c r="P32" s="26">
        <v>14</v>
      </c>
      <c r="Q32" s="26">
        <v>15</v>
      </c>
      <c r="R32" s="26">
        <v>16</v>
      </c>
      <c r="S32" s="26">
        <v>17</v>
      </c>
      <c r="T32" s="26">
        <v>18</v>
      </c>
      <c r="U32" s="26">
        <v>19</v>
      </c>
      <c r="V32" s="26">
        <v>20</v>
      </c>
      <c r="W32" s="26">
        <v>21</v>
      </c>
      <c r="X32" s="26">
        <v>22</v>
      </c>
      <c r="Y32" s="26">
        <v>23</v>
      </c>
      <c r="Z32" s="26">
        <v>24</v>
      </c>
    </row>
    <row r="33" spans="1:26" x14ac:dyDescent="0.25">
      <c r="A33" s="23" t="s">
        <v>3</v>
      </c>
    </row>
    <row r="34" spans="1:26" x14ac:dyDescent="0.25">
      <c r="A34" s="10" t="str">
        <f t="shared" ref="A34:Z34" si="3">A6</f>
        <v>Small Crab Sale ($)</v>
      </c>
      <c r="B34" s="31">
        <f t="shared" si="3"/>
        <v>0</v>
      </c>
      <c r="C34" s="31">
        <f t="shared" si="3"/>
        <v>160650.00000000003</v>
      </c>
      <c r="D34" s="31">
        <f t="shared" si="3"/>
        <v>409657.50000000006</v>
      </c>
      <c r="E34" s="31">
        <f t="shared" si="3"/>
        <v>635132.98800000001</v>
      </c>
      <c r="F34" s="31">
        <f t="shared" si="3"/>
        <v>852415.32600000012</v>
      </c>
      <c r="G34" s="31">
        <f t="shared" si="3"/>
        <v>869463.6325200001</v>
      </c>
      <c r="H34" s="31">
        <f t="shared" si="3"/>
        <v>842510.25991188013</v>
      </c>
      <c r="I34" s="31">
        <f t="shared" si="3"/>
        <v>904589.96327380801</v>
      </c>
      <c r="J34" s="31">
        <f t="shared" si="3"/>
        <v>922681.76253928419</v>
      </c>
      <c r="K34" s="31">
        <f t="shared" si="3"/>
        <v>894078.62790056644</v>
      </c>
      <c r="L34" s="31">
        <f t="shared" si="3"/>
        <v>959958.10574587132</v>
      </c>
      <c r="M34" s="31">
        <f t="shared" si="3"/>
        <v>979157.26786078862</v>
      </c>
      <c r="N34" s="31">
        <f t="shared" si="3"/>
        <v>948803.39255710435</v>
      </c>
      <c r="O34" s="31">
        <f t="shared" si="3"/>
        <v>1018715.2214823646</v>
      </c>
      <c r="P34" s="31">
        <f t="shared" si="3"/>
        <v>1039089.525912012</v>
      </c>
      <c r="Q34" s="31">
        <f t="shared" si="3"/>
        <v>1006877.7506087393</v>
      </c>
      <c r="R34" s="31">
        <f t="shared" si="3"/>
        <v>1081068.7427588571</v>
      </c>
      <c r="S34" s="31">
        <f t="shared" si="3"/>
        <v>1102690.1176140343</v>
      </c>
      <c r="T34" s="31">
        <f t="shared" si="3"/>
        <v>1068506.7239679992</v>
      </c>
      <c r="U34" s="31">
        <f t="shared" si="3"/>
        <v>1147238.7983656412</v>
      </c>
      <c r="V34" s="31">
        <f t="shared" si="3"/>
        <v>1170183.5743329541</v>
      </c>
      <c r="W34" s="31">
        <f t="shared" si="3"/>
        <v>907126.3068229059</v>
      </c>
      <c r="X34" s="31">
        <f t="shared" si="3"/>
        <v>608729.49536800268</v>
      </c>
      <c r="Y34" s="31">
        <f t="shared" si="3"/>
        <v>248361.63411014507</v>
      </c>
      <c r="Z34" s="31">
        <f t="shared" si="3"/>
        <v>0</v>
      </c>
    </row>
    <row r="35" spans="1:26" s="12" customFormat="1" x14ac:dyDescent="0.25">
      <c r="A35" s="23" t="s">
        <v>53</v>
      </c>
      <c r="B35" s="38">
        <f t="shared" ref="B35:Z35" si="4">B7</f>
        <v>0</v>
      </c>
      <c r="C35" s="38">
        <f t="shared" si="4"/>
        <v>160650.00000000003</v>
      </c>
      <c r="D35" s="38">
        <f t="shared" si="4"/>
        <v>409657.50000000006</v>
      </c>
      <c r="E35" s="38">
        <f t="shared" si="4"/>
        <v>635132.98800000001</v>
      </c>
      <c r="F35" s="38">
        <f t="shared" si="4"/>
        <v>852415.32600000012</v>
      </c>
      <c r="G35" s="38">
        <f t="shared" si="4"/>
        <v>869463.6325200001</v>
      </c>
      <c r="H35" s="38">
        <f t="shared" si="4"/>
        <v>842510.25991188013</v>
      </c>
      <c r="I35" s="38">
        <f t="shared" si="4"/>
        <v>904589.96327380801</v>
      </c>
      <c r="J35" s="38">
        <f t="shared" si="4"/>
        <v>922681.76253928419</v>
      </c>
      <c r="K35" s="38">
        <f t="shared" si="4"/>
        <v>894078.62790056644</v>
      </c>
      <c r="L35" s="38">
        <f t="shared" si="4"/>
        <v>959958.10574587132</v>
      </c>
      <c r="M35" s="38">
        <f t="shared" si="4"/>
        <v>979157.26786078862</v>
      </c>
      <c r="N35" s="38">
        <f t="shared" si="4"/>
        <v>948803.39255710435</v>
      </c>
      <c r="O35" s="38">
        <f t="shared" si="4"/>
        <v>1018715.2214823646</v>
      </c>
      <c r="P35" s="38">
        <f t="shared" si="4"/>
        <v>1039089.525912012</v>
      </c>
      <c r="Q35" s="38">
        <f t="shared" si="4"/>
        <v>1006877.7506087393</v>
      </c>
      <c r="R35" s="38">
        <f t="shared" si="4"/>
        <v>1081068.7427588571</v>
      </c>
      <c r="S35" s="38">
        <f t="shared" si="4"/>
        <v>1102690.1176140343</v>
      </c>
      <c r="T35" s="38">
        <f t="shared" si="4"/>
        <v>1068506.7239679992</v>
      </c>
      <c r="U35" s="38">
        <f t="shared" si="4"/>
        <v>1147238.7983656412</v>
      </c>
      <c r="V35" s="38">
        <f t="shared" si="4"/>
        <v>1170183.5743329541</v>
      </c>
      <c r="W35" s="38">
        <f t="shared" si="4"/>
        <v>907126.3068229059</v>
      </c>
      <c r="X35" s="38">
        <f t="shared" si="4"/>
        <v>608729.49536800268</v>
      </c>
      <c r="Y35" s="38">
        <f t="shared" si="4"/>
        <v>248361.63411014507</v>
      </c>
      <c r="Z35" s="38">
        <f t="shared" si="4"/>
        <v>0</v>
      </c>
    </row>
    <row r="36" spans="1:26" x14ac:dyDescent="0.25">
      <c r="A36" s="23"/>
      <c r="B36" s="41"/>
      <c r="C36" s="41"/>
      <c r="D36" s="41"/>
      <c r="E36" s="41"/>
      <c r="F36" s="41"/>
      <c r="G36" s="41"/>
      <c r="H36" s="41"/>
      <c r="I36" s="41"/>
      <c r="J36" s="41"/>
      <c r="K36" s="41"/>
    </row>
    <row r="37" spans="1:26" x14ac:dyDescent="0.25">
      <c r="A37" s="23" t="s">
        <v>20</v>
      </c>
    </row>
    <row r="38" spans="1:26" x14ac:dyDescent="0.25">
      <c r="A38" s="9" t="str">
        <f t="shared" ref="A38:Z38" si="5">A10</f>
        <v>Crab Nursery Establishment</v>
      </c>
      <c r="B38" s="33">
        <f t="shared" si="5"/>
        <v>0</v>
      </c>
      <c r="C38" s="33">
        <f t="shared" si="5"/>
        <v>40000</v>
      </c>
      <c r="D38" s="33">
        <f t="shared" si="5"/>
        <v>100000</v>
      </c>
      <c r="E38" s="33">
        <f t="shared" si="5"/>
        <v>160000</v>
      </c>
      <c r="F38" s="33">
        <f t="shared" si="5"/>
        <v>200000</v>
      </c>
      <c r="G38" s="33">
        <f t="shared" si="5"/>
        <v>200000</v>
      </c>
      <c r="H38" s="33">
        <f t="shared" si="5"/>
        <v>200000</v>
      </c>
      <c r="I38" s="33">
        <f t="shared" si="5"/>
        <v>200000</v>
      </c>
      <c r="J38" s="33">
        <f t="shared" si="5"/>
        <v>200000</v>
      </c>
      <c r="K38" s="33">
        <f t="shared" si="5"/>
        <v>200000</v>
      </c>
      <c r="L38" s="33">
        <f t="shared" si="5"/>
        <v>200000</v>
      </c>
      <c r="M38" s="33">
        <f t="shared" si="5"/>
        <v>200000</v>
      </c>
      <c r="N38" s="33">
        <f t="shared" si="5"/>
        <v>200000</v>
      </c>
      <c r="O38" s="33">
        <f t="shared" si="5"/>
        <v>200000</v>
      </c>
      <c r="P38" s="33">
        <f t="shared" si="5"/>
        <v>200000</v>
      </c>
      <c r="Q38" s="33">
        <f t="shared" si="5"/>
        <v>200000</v>
      </c>
      <c r="R38" s="33">
        <f t="shared" si="5"/>
        <v>200000</v>
      </c>
      <c r="S38" s="33">
        <f t="shared" si="5"/>
        <v>200000</v>
      </c>
      <c r="T38" s="33">
        <f t="shared" si="5"/>
        <v>200000</v>
      </c>
      <c r="U38" s="33">
        <f t="shared" si="5"/>
        <v>200000</v>
      </c>
      <c r="V38" s="33">
        <f t="shared" si="5"/>
        <v>200000</v>
      </c>
      <c r="W38" s="33">
        <f t="shared" si="5"/>
        <v>160000</v>
      </c>
      <c r="X38" s="33">
        <f t="shared" si="5"/>
        <v>100000</v>
      </c>
      <c r="Y38" s="33">
        <f t="shared" si="5"/>
        <v>40000</v>
      </c>
      <c r="Z38" s="33">
        <f t="shared" si="5"/>
        <v>0</v>
      </c>
    </row>
    <row r="39" spans="1:26" x14ac:dyDescent="0.25">
      <c r="A39" s="9" t="str">
        <f t="shared" ref="A39:Z39" si="6">A11</f>
        <v>Operation Cost (Crablet purchase)</v>
      </c>
      <c r="B39" s="33">
        <f t="shared" si="6"/>
        <v>0</v>
      </c>
      <c r="C39" s="33">
        <f t="shared" si="6"/>
        <v>85000.000000000015</v>
      </c>
      <c r="D39" s="33">
        <f t="shared" si="6"/>
        <v>212500.00000000003</v>
      </c>
      <c r="E39" s="33">
        <f t="shared" si="6"/>
        <v>340000.00000000006</v>
      </c>
      <c r="F39" s="33">
        <f t="shared" si="6"/>
        <v>425000.00000000006</v>
      </c>
      <c r="G39" s="33">
        <f t="shared" si="6"/>
        <v>425000.00000000006</v>
      </c>
      <c r="H39" s="33">
        <f t="shared" si="6"/>
        <v>425000.00000000006</v>
      </c>
      <c r="I39" s="33">
        <f t="shared" si="6"/>
        <v>425000.00000000006</v>
      </c>
      <c r="J39" s="33">
        <f t="shared" si="6"/>
        <v>425000.00000000006</v>
      </c>
      <c r="K39" s="33">
        <f t="shared" si="6"/>
        <v>425000.00000000006</v>
      </c>
      <c r="L39" s="33">
        <f t="shared" si="6"/>
        <v>425000.00000000006</v>
      </c>
      <c r="M39" s="33">
        <f t="shared" si="6"/>
        <v>425000.00000000006</v>
      </c>
      <c r="N39" s="33">
        <f t="shared" si="6"/>
        <v>425000.00000000006</v>
      </c>
      <c r="O39" s="33">
        <f t="shared" si="6"/>
        <v>425000.00000000006</v>
      </c>
      <c r="P39" s="33">
        <f t="shared" si="6"/>
        <v>425000.00000000006</v>
      </c>
      <c r="Q39" s="33">
        <f t="shared" si="6"/>
        <v>425000.00000000006</v>
      </c>
      <c r="R39" s="33">
        <f t="shared" si="6"/>
        <v>425000.00000000006</v>
      </c>
      <c r="S39" s="33">
        <f t="shared" si="6"/>
        <v>425000.00000000006</v>
      </c>
      <c r="T39" s="33">
        <f t="shared" si="6"/>
        <v>425000.00000000006</v>
      </c>
      <c r="U39" s="33">
        <f t="shared" si="6"/>
        <v>425000.00000000006</v>
      </c>
      <c r="V39" s="33">
        <f t="shared" si="6"/>
        <v>425000.00000000006</v>
      </c>
      <c r="W39" s="33">
        <f t="shared" si="6"/>
        <v>340000.00000000006</v>
      </c>
      <c r="X39" s="33">
        <f t="shared" si="6"/>
        <v>212500.00000000003</v>
      </c>
      <c r="Y39" s="33">
        <f t="shared" si="6"/>
        <v>85000.000000000015</v>
      </c>
      <c r="Z39" s="33">
        <f t="shared" si="6"/>
        <v>0</v>
      </c>
    </row>
    <row r="40" spans="1:26" x14ac:dyDescent="0.25">
      <c r="A40" s="9" t="str">
        <f t="shared" ref="A40:Z40" si="7">A12</f>
        <v>Feed</v>
      </c>
      <c r="B40" s="33">
        <f t="shared" si="7"/>
        <v>0</v>
      </c>
      <c r="C40" s="33">
        <f t="shared" si="7"/>
        <v>5000</v>
      </c>
      <c r="D40" s="33">
        <f t="shared" si="7"/>
        <v>12500</v>
      </c>
      <c r="E40" s="33">
        <f t="shared" si="7"/>
        <v>20299.999999999996</v>
      </c>
      <c r="F40" s="33">
        <f t="shared" si="7"/>
        <v>25000</v>
      </c>
      <c r="G40" s="33">
        <f t="shared" si="7"/>
        <v>25000</v>
      </c>
      <c r="H40" s="33">
        <f t="shared" si="7"/>
        <v>25374.999999999996</v>
      </c>
      <c r="I40" s="33">
        <f t="shared" si="7"/>
        <v>25000</v>
      </c>
      <c r="J40" s="33">
        <f t="shared" si="7"/>
        <v>25000</v>
      </c>
      <c r="K40" s="33">
        <f t="shared" si="7"/>
        <v>25374.999999999996</v>
      </c>
      <c r="L40" s="33">
        <f t="shared" si="7"/>
        <v>25000</v>
      </c>
      <c r="M40" s="33">
        <f t="shared" si="7"/>
        <v>25000</v>
      </c>
      <c r="N40" s="33">
        <f t="shared" si="7"/>
        <v>25374.999999999996</v>
      </c>
      <c r="O40" s="33">
        <f t="shared" si="7"/>
        <v>25000</v>
      </c>
      <c r="P40" s="33">
        <f t="shared" si="7"/>
        <v>25000</v>
      </c>
      <c r="Q40" s="33">
        <f t="shared" si="7"/>
        <v>25374.999999999996</v>
      </c>
      <c r="R40" s="33">
        <f t="shared" si="7"/>
        <v>25000</v>
      </c>
      <c r="S40" s="33">
        <f t="shared" si="7"/>
        <v>25000</v>
      </c>
      <c r="T40" s="33">
        <f t="shared" si="7"/>
        <v>25374.999999999996</v>
      </c>
      <c r="U40" s="33">
        <f t="shared" si="7"/>
        <v>25000</v>
      </c>
      <c r="V40" s="33">
        <f t="shared" si="7"/>
        <v>25000</v>
      </c>
      <c r="W40" s="33">
        <f t="shared" si="7"/>
        <v>20299.999999999996</v>
      </c>
      <c r="X40" s="33">
        <f t="shared" si="7"/>
        <v>12500</v>
      </c>
      <c r="Y40" s="33">
        <f t="shared" si="7"/>
        <v>5000</v>
      </c>
      <c r="Z40" s="33">
        <f t="shared" si="7"/>
        <v>0</v>
      </c>
    </row>
    <row r="41" spans="1:26" x14ac:dyDescent="0.25">
      <c r="A41" s="9" t="str">
        <f t="shared" ref="A41:Z41" si="8">A13</f>
        <v>Land rent</v>
      </c>
      <c r="B41" s="33">
        <f t="shared" si="8"/>
        <v>0</v>
      </c>
      <c r="C41" s="33">
        <f t="shared" si="8"/>
        <v>4000</v>
      </c>
      <c r="D41" s="33">
        <f t="shared" si="8"/>
        <v>10000</v>
      </c>
      <c r="E41" s="33">
        <f t="shared" si="8"/>
        <v>16000</v>
      </c>
      <c r="F41" s="33">
        <f t="shared" si="8"/>
        <v>20000</v>
      </c>
      <c r="G41" s="33">
        <f t="shared" si="8"/>
        <v>20000</v>
      </c>
      <c r="H41" s="33">
        <f t="shared" si="8"/>
        <v>20000</v>
      </c>
      <c r="I41" s="33">
        <f t="shared" si="8"/>
        <v>20000</v>
      </c>
      <c r="J41" s="33">
        <f t="shared" si="8"/>
        <v>20000</v>
      </c>
      <c r="K41" s="33">
        <f t="shared" si="8"/>
        <v>20000</v>
      </c>
      <c r="L41" s="33">
        <f t="shared" si="8"/>
        <v>20000</v>
      </c>
      <c r="M41" s="33">
        <f t="shared" si="8"/>
        <v>20000</v>
      </c>
      <c r="N41" s="33">
        <f t="shared" si="8"/>
        <v>20000</v>
      </c>
      <c r="O41" s="33">
        <f t="shared" si="8"/>
        <v>20000</v>
      </c>
      <c r="P41" s="33">
        <f t="shared" si="8"/>
        <v>20000</v>
      </c>
      <c r="Q41" s="33">
        <f t="shared" si="8"/>
        <v>20000</v>
      </c>
      <c r="R41" s="33">
        <f t="shared" si="8"/>
        <v>20000</v>
      </c>
      <c r="S41" s="33">
        <f t="shared" si="8"/>
        <v>20000</v>
      </c>
      <c r="T41" s="33">
        <f t="shared" si="8"/>
        <v>20000</v>
      </c>
      <c r="U41" s="33">
        <f t="shared" si="8"/>
        <v>20000</v>
      </c>
      <c r="V41" s="33">
        <f t="shared" si="8"/>
        <v>20000</v>
      </c>
      <c r="W41" s="33">
        <f t="shared" si="8"/>
        <v>16000</v>
      </c>
      <c r="X41" s="33">
        <f t="shared" si="8"/>
        <v>10000</v>
      </c>
      <c r="Y41" s="33">
        <f t="shared" si="8"/>
        <v>4000</v>
      </c>
      <c r="Z41" s="33">
        <f t="shared" si="8"/>
        <v>0</v>
      </c>
    </row>
    <row r="42" spans="1:26" x14ac:dyDescent="0.25">
      <c r="A42" s="9" t="str">
        <f t="shared" ref="A42:Z42" si="9">A14</f>
        <v>Labor</v>
      </c>
      <c r="B42" s="33">
        <f t="shared" si="9"/>
        <v>0</v>
      </c>
      <c r="C42" s="33">
        <f t="shared" si="9"/>
        <v>42420</v>
      </c>
      <c r="D42" s="33">
        <f t="shared" si="9"/>
        <v>107110.5</v>
      </c>
      <c r="E42" s="33">
        <f t="shared" si="9"/>
        <v>173090.56799999997</v>
      </c>
      <c r="F42" s="33">
        <f t="shared" si="9"/>
        <v>218526.84210000001</v>
      </c>
      <c r="G42" s="33">
        <f t="shared" si="9"/>
        <v>220712.11052099997</v>
      </c>
      <c r="H42" s="33">
        <f t="shared" si="9"/>
        <v>222919.23162621004</v>
      </c>
      <c r="I42" s="33">
        <f t="shared" si="9"/>
        <v>225148.42394247209</v>
      </c>
      <c r="J42" s="33">
        <f t="shared" si="9"/>
        <v>227399.90818189684</v>
      </c>
      <c r="K42" s="33">
        <f t="shared" si="9"/>
        <v>229673.90726371581</v>
      </c>
      <c r="L42" s="33">
        <f t="shared" si="9"/>
        <v>231970.64633635298</v>
      </c>
      <c r="M42" s="33">
        <f t="shared" si="9"/>
        <v>234290.35279971649</v>
      </c>
      <c r="N42" s="33">
        <f t="shared" si="9"/>
        <v>236633.25632771364</v>
      </c>
      <c r="O42" s="33">
        <f t="shared" si="9"/>
        <v>238999.5888909908</v>
      </c>
      <c r="P42" s="33">
        <f t="shared" si="9"/>
        <v>241389.58477990073</v>
      </c>
      <c r="Q42" s="33">
        <f t="shared" si="9"/>
        <v>243803.4806276997</v>
      </c>
      <c r="R42" s="33">
        <f t="shared" si="9"/>
        <v>246241.51543397675</v>
      </c>
      <c r="S42" s="33">
        <f t="shared" si="9"/>
        <v>248703.93058831652</v>
      </c>
      <c r="T42" s="33">
        <f t="shared" si="9"/>
        <v>251190.96989419969</v>
      </c>
      <c r="U42" s="33">
        <f t="shared" si="9"/>
        <v>253702.87959314164</v>
      </c>
      <c r="V42" s="33">
        <f t="shared" si="9"/>
        <v>256239.9083890731</v>
      </c>
      <c r="W42" s="33">
        <f t="shared" si="9"/>
        <v>207041.84597837101</v>
      </c>
      <c r="X42" s="33">
        <f t="shared" si="9"/>
        <v>130695.16527384675</v>
      </c>
      <c r="Y42" s="33">
        <f t="shared" si="9"/>
        <v>52800.846770634074</v>
      </c>
      <c r="Z42" s="33">
        <f t="shared" si="9"/>
        <v>0</v>
      </c>
    </row>
    <row r="43" spans="1:26" s="50" customFormat="1" x14ac:dyDescent="0.25">
      <c r="A43" s="52" t="str">
        <f>A15</f>
        <v>Debt Service</v>
      </c>
      <c r="B43" s="49">
        <f>Assumption_Nursery!D53</f>
        <v>0</v>
      </c>
      <c r="C43" s="49">
        <f>Assumption_Nursery!E53</f>
        <v>24800</v>
      </c>
      <c r="D43" s="49">
        <f>Assumption_Nursery!F53</f>
        <v>37200</v>
      </c>
      <c r="E43" s="49">
        <f>Assumption_Nursery!G53</f>
        <v>37200</v>
      </c>
      <c r="F43" s="49">
        <f>Assumption_Nursery!H53</f>
        <v>24800</v>
      </c>
      <c r="G43" s="49">
        <f>Assumption_Nursery!I53</f>
        <v>0</v>
      </c>
      <c r="H43" s="49">
        <f>Assumption_Nursery!J53</f>
        <v>0</v>
      </c>
      <c r="I43" s="49">
        <f>Assumption_Nursery!K53</f>
        <v>0</v>
      </c>
      <c r="J43" s="49">
        <f>Assumption_Nursery!L53</f>
        <v>0</v>
      </c>
      <c r="K43" s="49">
        <f>Assumption_Nursery!M53</f>
        <v>0</v>
      </c>
      <c r="L43" s="49">
        <f>Assumption_Nursery!N53</f>
        <v>0</v>
      </c>
      <c r="M43" s="49">
        <f>Assumption_Nursery!O53</f>
        <v>0</v>
      </c>
      <c r="N43" s="49">
        <f>Assumption_Nursery!P53</f>
        <v>0</v>
      </c>
      <c r="O43" s="49">
        <f>Assumption_Nursery!Q53</f>
        <v>0</v>
      </c>
      <c r="P43" s="49">
        <f>Assumption_Nursery!R53</f>
        <v>0</v>
      </c>
      <c r="Q43" s="49">
        <f>Assumption_Nursery!S53</f>
        <v>0</v>
      </c>
      <c r="R43" s="49">
        <f>Assumption_Nursery!T53</f>
        <v>0</v>
      </c>
      <c r="S43" s="49">
        <f>Assumption_Nursery!U53</f>
        <v>0</v>
      </c>
      <c r="T43" s="49">
        <f>Assumption_Nursery!V53</f>
        <v>0</v>
      </c>
      <c r="U43" s="49">
        <f>Assumption_Nursery!W53</f>
        <v>0</v>
      </c>
      <c r="V43" s="49">
        <f>Assumption_Nursery!X53</f>
        <v>0</v>
      </c>
      <c r="W43" s="49">
        <f>Assumption_Nursery!Y53</f>
        <v>0</v>
      </c>
      <c r="X43" s="49">
        <f>Assumption_Nursery!Z53</f>
        <v>0</v>
      </c>
      <c r="Y43" s="49">
        <f>Assumption_Nursery!AA53</f>
        <v>0</v>
      </c>
      <c r="Z43" s="49">
        <f>Assumption_Nursery!AB53</f>
        <v>0</v>
      </c>
    </row>
    <row r="44" spans="1:26" x14ac:dyDescent="0.25">
      <c r="A44" s="117" t="s">
        <v>54</v>
      </c>
      <c r="B44" s="37">
        <f t="shared" ref="B44:Z44" si="10">SUM(B38:B43)</f>
        <v>0</v>
      </c>
      <c r="C44" s="37">
        <f t="shared" si="10"/>
        <v>201220</v>
      </c>
      <c r="D44" s="37">
        <f t="shared" si="10"/>
        <v>479310.5</v>
      </c>
      <c r="E44" s="37">
        <f t="shared" si="10"/>
        <v>746590.56799999997</v>
      </c>
      <c r="F44" s="37">
        <f t="shared" si="10"/>
        <v>913326.84210000001</v>
      </c>
      <c r="G44" s="37">
        <f t="shared" si="10"/>
        <v>890712.110521</v>
      </c>
      <c r="H44" s="37">
        <f t="shared" si="10"/>
        <v>893294.23162621004</v>
      </c>
      <c r="I44" s="37">
        <f t="shared" si="10"/>
        <v>895148.42394247209</v>
      </c>
      <c r="J44" s="37">
        <f t="shared" si="10"/>
        <v>897399.9081818969</v>
      </c>
      <c r="K44" s="37">
        <f t="shared" si="10"/>
        <v>900048.90726371575</v>
      </c>
      <c r="L44" s="37">
        <f t="shared" si="10"/>
        <v>901970.64633635292</v>
      </c>
      <c r="M44" s="37">
        <f t="shared" si="10"/>
        <v>904290.35279971652</v>
      </c>
      <c r="N44" s="37">
        <f t="shared" si="10"/>
        <v>907008.25632771361</v>
      </c>
      <c r="O44" s="37">
        <f t="shared" si="10"/>
        <v>908999.58889099082</v>
      </c>
      <c r="P44" s="37">
        <f t="shared" si="10"/>
        <v>911389.58477990073</v>
      </c>
      <c r="Q44" s="37">
        <f t="shared" si="10"/>
        <v>914178.48062769976</v>
      </c>
      <c r="R44" s="37">
        <f t="shared" si="10"/>
        <v>916241.51543397678</v>
      </c>
      <c r="S44" s="37">
        <f t="shared" si="10"/>
        <v>918703.93058831652</v>
      </c>
      <c r="T44" s="37">
        <f t="shared" si="10"/>
        <v>921565.96989419963</v>
      </c>
      <c r="U44" s="37">
        <f t="shared" si="10"/>
        <v>923702.87959314161</v>
      </c>
      <c r="V44" s="37">
        <f t="shared" si="10"/>
        <v>926239.9083890731</v>
      </c>
      <c r="W44" s="37">
        <f t="shared" si="10"/>
        <v>743341.84597837098</v>
      </c>
      <c r="X44" s="37">
        <f t="shared" si="10"/>
        <v>465695.16527384677</v>
      </c>
      <c r="Y44" s="37">
        <f t="shared" si="10"/>
        <v>186800.84677063406</v>
      </c>
      <c r="Z44" s="37">
        <f t="shared" si="10"/>
        <v>0</v>
      </c>
    </row>
    <row r="45" spans="1:26" x14ac:dyDescent="0.25">
      <c r="B45" s="32"/>
      <c r="C45" s="32"/>
      <c r="D45" s="32"/>
      <c r="E45" s="32"/>
      <c r="F45" s="32"/>
      <c r="G45" s="32"/>
      <c r="H45" s="32"/>
      <c r="I45" s="32"/>
      <c r="J45" s="32"/>
      <c r="K45" s="32"/>
      <c r="L45" s="32"/>
    </row>
    <row r="46" spans="1:26" x14ac:dyDescent="0.25">
      <c r="A46" s="23" t="s">
        <v>55</v>
      </c>
      <c r="B46" s="34">
        <f t="shared" ref="B46:Z46" si="11">B35-B44</f>
        <v>0</v>
      </c>
      <c r="C46" s="34">
        <f t="shared" si="11"/>
        <v>-40569.999999999971</v>
      </c>
      <c r="D46" s="34">
        <f t="shared" si="11"/>
        <v>-69652.999999999942</v>
      </c>
      <c r="E46" s="34">
        <f t="shared" si="11"/>
        <v>-111457.57999999996</v>
      </c>
      <c r="F46" s="34">
        <f t="shared" si="11"/>
        <v>-60911.516099999892</v>
      </c>
      <c r="G46" s="34">
        <f t="shared" si="11"/>
        <v>-21248.478000999894</v>
      </c>
      <c r="H46" s="34">
        <f t="shared" si="11"/>
        <v>-50783.971714329906</v>
      </c>
      <c r="I46" s="34">
        <f t="shared" si="11"/>
        <v>9441.5393313359236</v>
      </c>
      <c r="J46" s="34">
        <f t="shared" si="11"/>
        <v>25281.854357387288</v>
      </c>
      <c r="K46" s="34">
        <f t="shared" si="11"/>
        <v>-5970.2793631493114</v>
      </c>
      <c r="L46" s="34">
        <f t="shared" si="11"/>
        <v>57987.4594095184</v>
      </c>
      <c r="M46" s="34">
        <f t="shared" si="11"/>
        <v>74866.915061072097</v>
      </c>
      <c r="N46" s="34">
        <f t="shared" si="11"/>
        <v>41795.136229390744</v>
      </c>
      <c r="O46" s="34">
        <f t="shared" si="11"/>
        <v>109715.63259137375</v>
      </c>
      <c r="P46" s="34">
        <f t="shared" si="11"/>
        <v>127699.94113211124</v>
      </c>
      <c r="Q46" s="34">
        <f t="shared" si="11"/>
        <v>92699.269981039572</v>
      </c>
      <c r="R46" s="34">
        <f t="shared" si="11"/>
        <v>164827.22732488031</v>
      </c>
      <c r="S46" s="34">
        <f t="shared" si="11"/>
        <v>183986.18702571781</v>
      </c>
      <c r="T46" s="34">
        <f t="shared" si="11"/>
        <v>146940.75407379959</v>
      </c>
      <c r="U46" s="34">
        <f t="shared" si="11"/>
        <v>223535.91877249954</v>
      </c>
      <c r="V46" s="34">
        <f t="shared" si="11"/>
        <v>243943.66594388103</v>
      </c>
      <c r="W46" s="34">
        <f t="shared" si="11"/>
        <v>163784.46084453491</v>
      </c>
      <c r="X46" s="34">
        <f t="shared" si="11"/>
        <v>143034.33009415591</v>
      </c>
      <c r="Y46" s="34">
        <f t="shared" si="11"/>
        <v>61560.787339511007</v>
      </c>
      <c r="Z46" s="34">
        <f t="shared" si="11"/>
        <v>0</v>
      </c>
    </row>
    <row r="47" spans="1:26" x14ac:dyDescent="0.25">
      <c r="B47" s="32"/>
      <c r="C47" s="32"/>
      <c r="D47" s="32"/>
      <c r="E47" s="32"/>
      <c r="F47" s="32"/>
      <c r="G47" s="32"/>
      <c r="H47" s="32"/>
      <c r="I47" s="32"/>
      <c r="J47" s="32"/>
      <c r="K47" s="32"/>
      <c r="L47" s="32"/>
    </row>
    <row r="48" spans="1:26" s="12" customFormat="1" x14ac:dyDescent="0.25">
      <c r="A48" s="10" t="s">
        <v>319</v>
      </c>
      <c r="B48" s="345">
        <f>B35/(1+Assumption_Nursery!$C104)^BaU_Nursery!B32</f>
        <v>0</v>
      </c>
      <c r="C48" s="345">
        <f>C35/(1+Assumption_Nursery!$C104)^BaU_Nursery!C32</f>
        <v>160650.00000000003</v>
      </c>
      <c r="D48" s="345">
        <f>D35/(1+Assumption_Nursery!$C104)^BaU_Nursery!D32</f>
        <v>409657.50000000006</v>
      </c>
      <c r="E48" s="345">
        <f>E35/(1+Assumption_Nursery!$C104)^BaU_Nursery!E32</f>
        <v>635132.98800000001</v>
      </c>
      <c r="F48" s="345">
        <f>F35/(1+Assumption_Nursery!$C104)^BaU_Nursery!F32</f>
        <v>852415.32600000012</v>
      </c>
      <c r="G48" s="345">
        <f>G35/(1+Assumption_Nursery!$C104)^BaU_Nursery!G32</f>
        <v>869463.6325200001</v>
      </c>
      <c r="H48" s="345">
        <f>H35/(1+Assumption_Nursery!$C104)^BaU_Nursery!H32</f>
        <v>842510.25991188013</v>
      </c>
      <c r="I48" s="345">
        <f>I35/(1+Assumption_Nursery!$C104)^BaU_Nursery!I32</f>
        <v>904589.96327380801</v>
      </c>
      <c r="J48" s="345">
        <f>J35/(1+Assumption_Nursery!$C104)^BaU_Nursery!J32</f>
        <v>922681.76253928419</v>
      </c>
      <c r="K48" s="345">
        <f>K35/(1+Assumption_Nursery!$C104)^BaU_Nursery!K32</f>
        <v>894078.62790056644</v>
      </c>
      <c r="L48" s="345">
        <f>L35/(1+Assumption_Nursery!$C104)^BaU_Nursery!L32</f>
        <v>959958.10574587132</v>
      </c>
      <c r="M48" s="345">
        <f>M35/(1+Assumption_Nursery!$C104)^BaU_Nursery!M32</f>
        <v>979157.26786078862</v>
      </c>
      <c r="N48" s="345">
        <f>N35/(1+Assumption_Nursery!$C104)^BaU_Nursery!N32</f>
        <v>948803.39255710435</v>
      </c>
      <c r="O48" s="345">
        <f>O35/(1+Assumption_Nursery!$C104)^BaU_Nursery!O32</f>
        <v>1018715.2214823646</v>
      </c>
      <c r="P48" s="345">
        <f>P35/(1+Assumption_Nursery!$C104)^BaU_Nursery!P32</f>
        <v>1039089.525912012</v>
      </c>
      <c r="Q48" s="345">
        <f>Q35/(1+Assumption_Nursery!$C104)^BaU_Nursery!Q32</f>
        <v>1006877.7506087393</v>
      </c>
      <c r="R48" s="345">
        <f>R35/(1+Assumption_Nursery!$C104)^BaU_Nursery!R32</f>
        <v>1081068.7427588571</v>
      </c>
      <c r="S48" s="345">
        <f>S35/(1+Assumption_Nursery!$C104)^BaU_Nursery!S32</f>
        <v>1102690.1176140343</v>
      </c>
      <c r="T48" s="345">
        <f>T35/(1+Assumption_Nursery!$C104)^BaU_Nursery!T32</f>
        <v>1068506.7239679992</v>
      </c>
      <c r="U48" s="345">
        <f>U35/(1+Assumption_Nursery!$C104)^BaU_Nursery!U32</f>
        <v>1147238.7983656412</v>
      </c>
      <c r="V48" s="345">
        <f>V35/(1+Assumption_Nursery!$C104)^BaU_Nursery!V32</f>
        <v>1170183.5743329541</v>
      </c>
      <c r="W48" s="345">
        <f>W35/(1+Assumption_Nursery!$C104)^BaU_Nursery!W32</f>
        <v>907126.3068229059</v>
      </c>
      <c r="X48" s="345">
        <f>X35/(1+Assumption_Nursery!$C104)^BaU_Nursery!X32</f>
        <v>608729.49536800268</v>
      </c>
      <c r="Y48" s="345">
        <f>Y35/(1+Assumption_Nursery!$C104)^BaU_Nursery!Y32</f>
        <v>248361.63411014507</v>
      </c>
      <c r="Z48" s="345">
        <f>Z35/(1+Assumption_Nursery!$C104)^BaU_Nursery!Z32</f>
        <v>0</v>
      </c>
    </row>
    <row r="49" spans="1:26" s="12" customFormat="1" x14ac:dyDescent="0.25">
      <c r="A49" s="10" t="s">
        <v>320</v>
      </c>
      <c r="B49" s="345">
        <f>B44/(1+Assumption_Nursery!$C76)^BaU_Nursery!B32</f>
        <v>0</v>
      </c>
      <c r="C49" s="345">
        <f>C44/(1+Assumption_Nursery!$C76)^BaU_Nursery!C32</f>
        <v>189830.18867924527</v>
      </c>
      <c r="D49" s="345">
        <f>D44/(1+Assumption_Nursery!$C76)^BaU_Nursery!D32</f>
        <v>426584.63866144529</v>
      </c>
      <c r="E49" s="345">
        <f>E44/(1+Assumption_Nursery!$C76)^BaU_Nursery!E32</f>
        <v>626851.83742283878</v>
      </c>
      <c r="F49" s="345">
        <f>F44/(1+Assumption_Nursery!$C76)^BaU_Nursery!F32</f>
        <v>723440.40409260208</v>
      </c>
      <c r="G49" s="345">
        <f>G44/(1+Assumption_Nursery!$C76)^BaU_Nursery!G32</f>
        <v>665591.90425759181</v>
      </c>
      <c r="H49" s="345">
        <f>H44/(1+Assumption_Nursery!$C76)^BaU_Nursery!H32</f>
        <v>629737.1842988584</v>
      </c>
      <c r="I49" s="345">
        <f>I44/(1+Assumption_Nursery!$C76)^BaU_Nursery!I32</f>
        <v>595324.82709076372</v>
      </c>
      <c r="J49" s="345">
        <f>J44/(1+Assumption_Nursery!$C76)^BaU_Nursery!J32</f>
        <v>563039.80443434126</v>
      </c>
      <c r="K49" s="345">
        <f>K44/(1+Assumption_Nursery!$C76)^BaU_Nursery!K32</f>
        <v>532737.56531127135</v>
      </c>
      <c r="L49" s="345">
        <f>L44/(1+Assumption_Nursery!$C76)^BaU_Nursery!L32</f>
        <v>503655.69784497248</v>
      </c>
      <c r="M49" s="345">
        <f>M44/(1+Assumption_Nursery!$C76)^BaU_Nursery!M32</f>
        <v>476368.87718687818</v>
      </c>
      <c r="N49" s="345">
        <f>N44/(1+Assumption_Nursery!$C76)^BaU_Nursery!N32</f>
        <v>450755.31590626878</v>
      </c>
      <c r="O49" s="345">
        <f>O44/(1+Assumption_Nursery!$C76)^BaU_Nursery!O32</f>
        <v>426174.47847444413</v>
      </c>
      <c r="P49" s="345">
        <f>P44/(1+Assumption_Nursery!$C76)^BaU_Nursery!P32</f>
        <v>403108.49227373977</v>
      </c>
      <c r="Q49" s="345">
        <f>Q44/(1+Assumption_Nursery!$C76)^BaU_Nursery!Q32</f>
        <v>381454.73924224114</v>
      </c>
      <c r="R49" s="345">
        <f>R44/(1+Assumption_Nursery!$C76)^BaU_Nursery!R32</f>
        <v>360675.06753394526</v>
      </c>
      <c r="S49" s="345">
        <f>S44/(1+Assumption_Nursery!$C76)^BaU_Nursery!S32</f>
        <v>341173.95104566892</v>
      </c>
      <c r="T49" s="345">
        <f>T44/(1+Assumption_Nursery!$C76)^BaU_Nursery!T32</f>
        <v>322864.9156683961</v>
      </c>
      <c r="U49" s="345">
        <f>U44/(1+Assumption_Nursery!$C76)^BaU_Nursery!U32</f>
        <v>305295.81954115484</v>
      </c>
      <c r="V49" s="345">
        <f>V44/(1+Assumption_Nursery!$C76)^BaU_Nursery!V32</f>
        <v>288805.98166624666</v>
      </c>
      <c r="W49" s="345">
        <f>W44/(1+Assumption_Nursery!$C76)^BaU_Nursery!W32</f>
        <v>218658.02006441852</v>
      </c>
      <c r="X49" s="345">
        <f>X44/(1+Assumption_Nursery!$C76)^BaU_Nursery!X32</f>
        <v>129232.78196901178</v>
      </c>
      <c r="Y49" s="345">
        <f>Y44/(1+Assumption_Nursery!$C76)^BaU_Nursery!Y32</f>
        <v>48903.950080777089</v>
      </c>
      <c r="Z49" s="345">
        <f>Z44/(1+Assumption_Nursery!$C76)^BaU_Nursery!Z32</f>
        <v>0</v>
      </c>
    </row>
    <row r="50" spans="1:26" x14ac:dyDescent="0.25">
      <c r="B50" s="32"/>
      <c r="C50" s="32"/>
      <c r="D50" s="32"/>
      <c r="E50" s="32"/>
      <c r="F50" s="32"/>
      <c r="G50" s="32"/>
      <c r="H50" s="32"/>
      <c r="I50" s="32"/>
      <c r="J50" s="32"/>
      <c r="K50" s="32"/>
      <c r="L50" s="32"/>
    </row>
    <row r="51" spans="1:26" s="12" customFormat="1" x14ac:dyDescent="0.25">
      <c r="A51" s="25" t="s">
        <v>318</v>
      </c>
      <c r="B51" s="35">
        <f>NPV(Assumption_Hatchery!C76,C46:Z46)+B46</f>
        <v>402646.28033937688</v>
      </c>
      <c r="C51" s="40"/>
      <c r="D51" s="40"/>
      <c r="E51" s="40"/>
      <c r="F51" s="40"/>
      <c r="G51" s="40"/>
      <c r="H51" s="40"/>
      <c r="I51" s="40"/>
      <c r="J51" s="40"/>
      <c r="K51" s="40"/>
      <c r="L51" s="40"/>
    </row>
    <row r="53" spans="1:26" s="12" customFormat="1" x14ac:dyDescent="0.25">
      <c r="A53" s="25" t="s">
        <v>238</v>
      </c>
      <c r="B53" s="36">
        <f>IRR(B46:Z46)</f>
        <v>0.1332566241757549</v>
      </c>
      <c r="C53" s="4"/>
      <c r="D53" s="4"/>
      <c r="E53" s="4"/>
      <c r="F53" s="4"/>
      <c r="G53" s="4"/>
      <c r="H53" s="4"/>
      <c r="I53" s="4"/>
      <c r="J53" s="4"/>
      <c r="K53" s="4"/>
      <c r="L53" s="4"/>
    </row>
    <row r="55" spans="1:26" ht="38.25" customHeight="1" x14ac:dyDescent="0.25">
      <c r="A55" s="11"/>
      <c r="B55" s="30"/>
      <c r="C55" s="69"/>
      <c r="D55" s="70"/>
      <c r="E55" s="30"/>
      <c r="F55" s="116"/>
      <c r="G55" s="30"/>
      <c r="H55" s="30"/>
      <c r="I55" s="30"/>
      <c r="J55" s="30"/>
      <c r="K55" s="30"/>
      <c r="L55" s="30"/>
      <c r="M55" s="11"/>
    </row>
    <row r="56" spans="1:26" s="1" customFormat="1" x14ac:dyDescent="0.25">
      <c r="A56" s="24"/>
      <c r="B56" s="42"/>
      <c r="C56" s="42"/>
      <c r="D56" s="42"/>
      <c r="E56" s="42"/>
      <c r="F56" s="42"/>
      <c r="G56" s="42"/>
      <c r="H56" s="42"/>
      <c r="I56" s="42"/>
      <c r="J56" s="42"/>
      <c r="K56" s="42"/>
      <c r="L56" s="42"/>
    </row>
    <row r="58" spans="1:26" ht="26.25" x14ac:dyDescent="0.25">
      <c r="F58" s="19" t="s">
        <v>92</v>
      </c>
    </row>
    <row r="59" spans="1:26" ht="38.25" customHeight="1" x14ac:dyDescent="0.25">
      <c r="A59" s="11" t="s">
        <v>332</v>
      </c>
      <c r="B59" s="30"/>
      <c r="C59" s="69"/>
      <c r="D59" s="70"/>
      <c r="E59" s="30"/>
      <c r="F59" s="30"/>
      <c r="G59" s="30"/>
      <c r="H59" s="30"/>
      <c r="I59" s="30"/>
      <c r="J59" s="30"/>
      <c r="K59" s="30"/>
      <c r="L59" s="30"/>
      <c r="M59" s="11"/>
    </row>
    <row r="61" spans="1:26" x14ac:dyDescent="0.25">
      <c r="A61" s="10" t="s">
        <v>19</v>
      </c>
      <c r="B61" s="26">
        <v>0</v>
      </c>
      <c r="C61" s="26">
        <v>1</v>
      </c>
      <c r="D61" s="26">
        <v>2</v>
      </c>
      <c r="E61" s="26">
        <v>3</v>
      </c>
      <c r="F61" s="26">
        <v>4</v>
      </c>
      <c r="G61" s="26">
        <v>5</v>
      </c>
      <c r="H61" s="26">
        <v>6</v>
      </c>
      <c r="I61" s="26">
        <v>7</v>
      </c>
      <c r="J61" s="26">
        <v>8</v>
      </c>
      <c r="K61" s="26">
        <v>9</v>
      </c>
      <c r="L61" s="26">
        <v>10</v>
      </c>
      <c r="M61" s="26">
        <v>11</v>
      </c>
      <c r="N61" s="26">
        <v>12</v>
      </c>
      <c r="O61" s="26">
        <v>13</v>
      </c>
      <c r="P61" s="26">
        <v>14</v>
      </c>
      <c r="Q61" s="26">
        <v>15</v>
      </c>
      <c r="R61" s="26">
        <v>16</v>
      </c>
      <c r="S61" s="26">
        <v>17</v>
      </c>
      <c r="T61" s="26">
        <v>18</v>
      </c>
      <c r="U61" s="26">
        <v>19</v>
      </c>
      <c r="V61" s="26">
        <v>20</v>
      </c>
      <c r="W61" s="26">
        <v>21</v>
      </c>
      <c r="X61" s="26">
        <v>22</v>
      </c>
      <c r="Y61" s="26">
        <v>23</v>
      </c>
      <c r="Z61" s="26">
        <v>24</v>
      </c>
    </row>
    <row r="62" spans="1:26" x14ac:dyDescent="0.25">
      <c r="A62" s="23" t="s">
        <v>3</v>
      </c>
    </row>
    <row r="63" spans="1:26" x14ac:dyDescent="0.25">
      <c r="A63" s="10" t="str">
        <f>A34</f>
        <v>Small Crab Sale ($)</v>
      </c>
      <c r="B63" s="31">
        <f t="shared" ref="B63:Z63" si="12">B6</f>
        <v>0</v>
      </c>
      <c r="C63" s="31">
        <f t="shared" si="12"/>
        <v>160650.00000000003</v>
      </c>
      <c r="D63" s="31">
        <f t="shared" si="12"/>
        <v>409657.50000000006</v>
      </c>
      <c r="E63" s="31">
        <f t="shared" si="12"/>
        <v>635132.98800000001</v>
      </c>
      <c r="F63" s="31">
        <f t="shared" si="12"/>
        <v>852415.32600000012</v>
      </c>
      <c r="G63" s="31">
        <f t="shared" si="12"/>
        <v>869463.6325200001</v>
      </c>
      <c r="H63" s="31">
        <f t="shared" si="12"/>
        <v>842510.25991188013</v>
      </c>
      <c r="I63" s="31">
        <f t="shared" si="12"/>
        <v>904589.96327380801</v>
      </c>
      <c r="J63" s="31">
        <f t="shared" si="12"/>
        <v>922681.76253928419</v>
      </c>
      <c r="K63" s="31">
        <f t="shared" si="12"/>
        <v>894078.62790056644</v>
      </c>
      <c r="L63" s="31">
        <f t="shared" si="12"/>
        <v>959958.10574587132</v>
      </c>
      <c r="M63" s="31">
        <f t="shared" si="12"/>
        <v>979157.26786078862</v>
      </c>
      <c r="N63" s="31">
        <f t="shared" si="12"/>
        <v>948803.39255710435</v>
      </c>
      <c r="O63" s="31">
        <f t="shared" si="12"/>
        <v>1018715.2214823646</v>
      </c>
      <c r="P63" s="31">
        <f t="shared" si="12"/>
        <v>1039089.525912012</v>
      </c>
      <c r="Q63" s="31">
        <f t="shared" si="12"/>
        <v>1006877.7506087393</v>
      </c>
      <c r="R63" s="31">
        <f t="shared" si="12"/>
        <v>1081068.7427588571</v>
      </c>
      <c r="S63" s="31">
        <f t="shared" si="12"/>
        <v>1102690.1176140343</v>
      </c>
      <c r="T63" s="31">
        <f t="shared" si="12"/>
        <v>1068506.7239679992</v>
      </c>
      <c r="U63" s="31">
        <f t="shared" si="12"/>
        <v>1147238.7983656412</v>
      </c>
      <c r="V63" s="31">
        <f t="shared" si="12"/>
        <v>1170183.5743329541</v>
      </c>
      <c r="W63" s="31">
        <f t="shared" si="12"/>
        <v>907126.3068229059</v>
      </c>
      <c r="X63" s="31">
        <f t="shared" si="12"/>
        <v>608729.49536800268</v>
      </c>
      <c r="Y63" s="31">
        <f t="shared" si="12"/>
        <v>248361.63411014507</v>
      </c>
      <c r="Z63" s="31">
        <f t="shared" si="12"/>
        <v>0</v>
      </c>
    </row>
    <row r="64" spans="1:26" s="12" customFormat="1" x14ac:dyDescent="0.25">
      <c r="A64" s="23" t="s">
        <v>53</v>
      </c>
      <c r="B64" s="38">
        <f t="shared" ref="B64:Z64" si="13">B7</f>
        <v>0</v>
      </c>
      <c r="C64" s="38">
        <f t="shared" si="13"/>
        <v>160650.00000000003</v>
      </c>
      <c r="D64" s="38">
        <f t="shared" si="13"/>
        <v>409657.50000000006</v>
      </c>
      <c r="E64" s="38">
        <f t="shared" si="13"/>
        <v>635132.98800000001</v>
      </c>
      <c r="F64" s="38">
        <f t="shared" si="13"/>
        <v>852415.32600000012</v>
      </c>
      <c r="G64" s="38">
        <f t="shared" si="13"/>
        <v>869463.6325200001</v>
      </c>
      <c r="H64" s="38">
        <f t="shared" si="13"/>
        <v>842510.25991188013</v>
      </c>
      <c r="I64" s="38">
        <f t="shared" si="13"/>
        <v>904589.96327380801</v>
      </c>
      <c r="J64" s="38">
        <f t="shared" si="13"/>
        <v>922681.76253928419</v>
      </c>
      <c r="K64" s="38">
        <f t="shared" si="13"/>
        <v>894078.62790056644</v>
      </c>
      <c r="L64" s="38">
        <f t="shared" si="13"/>
        <v>959958.10574587132</v>
      </c>
      <c r="M64" s="38">
        <f t="shared" si="13"/>
        <v>979157.26786078862</v>
      </c>
      <c r="N64" s="38">
        <f t="shared" si="13"/>
        <v>948803.39255710435</v>
      </c>
      <c r="O64" s="38">
        <f t="shared" si="13"/>
        <v>1018715.2214823646</v>
      </c>
      <c r="P64" s="38">
        <f t="shared" si="13"/>
        <v>1039089.525912012</v>
      </c>
      <c r="Q64" s="38">
        <f t="shared" si="13"/>
        <v>1006877.7506087393</v>
      </c>
      <c r="R64" s="38">
        <f t="shared" si="13"/>
        <v>1081068.7427588571</v>
      </c>
      <c r="S64" s="38">
        <f t="shared" si="13"/>
        <v>1102690.1176140343</v>
      </c>
      <c r="T64" s="38">
        <f t="shared" si="13"/>
        <v>1068506.7239679992</v>
      </c>
      <c r="U64" s="38">
        <f t="shared" si="13"/>
        <v>1147238.7983656412</v>
      </c>
      <c r="V64" s="38">
        <f t="shared" si="13"/>
        <v>1170183.5743329541</v>
      </c>
      <c r="W64" s="38">
        <f t="shared" si="13"/>
        <v>907126.3068229059</v>
      </c>
      <c r="X64" s="38">
        <f t="shared" si="13"/>
        <v>608729.49536800268</v>
      </c>
      <c r="Y64" s="38">
        <f t="shared" si="13"/>
        <v>248361.63411014507</v>
      </c>
      <c r="Z64" s="38">
        <f t="shared" si="13"/>
        <v>0</v>
      </c>
    </row>
    <row r="65" spans="1:26" x14ac:dyDescent="0.25">
      <c r="A65" s="23"/>
      <c r="B65" s="41"/>
      <c r="C65" s="41"/>
      <c r="D65" s="41"/>
      <c r="E65" s="41"/>
      <c r="F65" s="41"/>
      <c r="G65" s="41"/>
      <c r="H65" s="41"/>
      <c r="I65" s="41"/>
      <c r="J65" s="41"/>
      <c r="K65" s="41"/>
    </row>
    <row r="66" spans="1:26" x14ac:dyDescent="0.25">
      <c r="A66" s="23" t="s">
        <v>20</v>
      </c>
    </row>
    <row r="67" spans="1:26" x14ac:dyDescent="0.25">
      <c r="A67" s="9" t="str">
        <f t="shared" ref="A67:Z67" si="14">A10</f>
        <v>Crab Nursery Establishment</v>
      </c>
      <c r="B67" s="33">
        <f t="shared" si="14"/>
        <v>0</v>
      </c>
      <c r="C67" s="33">
        <f t="shared" si="14"/>
        <v>40000</v>
      </c>
      <c r="D67" s="33">
        <f t="shared" si="14"/>
        <v>100000</v>
      </c>
      <c r="E67" s="33">
        <f t="shared" si="14"/>
        <v>160000</v>
      </c>
      <c r="F67" s="33">
        <f t="shared" si="14"/>
        <v>200000</v>
      </c>
      <c r="G67" s="33">
        <f t="shared" si="14"/>
        <v>200000</v>
      </c>
      <c r="H67" s="33">
        <f t="shared" si="14"/>
        <v>200000</v>
      </c>
      <c r="I67" s="33">
        <f t="shared" si="14"/>
        <v>200000</v>
      </c>
      <c r="J67" s="33">
        <f t="shared" si="14"/>
        <v>200000</v>
      </c>
      <c r="K67" s="33">
        <f t="shared" si="14"/>
        <v>200000</v>
      </c>
      <c r="L67" s="33">
        <f t="shared" si="14"/>
        <v>200000</v>
      </c>
      <c r="M67" s="33">
        <f t="shared" si="14"/>
        <v>200000</v>
      </c>
      <c r="N67" s="33">
        <f t="shared" si="14"/>
        <v>200000</v>
      </c>
      <c r="O67" s="33">
        <f t="shared" si="14"/>
        <v>200000</v>
      </c>
      <c r="P67" s="33">
        <f t="shared" si="14"/>
        <v>200000</v>
      </c>
      <c r="Q67" s="33">
        <f t="shared" si="14"/>
        <v>200000</v>
      </c>
      <c r="R67" s="33">
        <f t="shared" si="14"/>
        <v>200000</v>
      </c>
      <c r="S67" s="33">
        <f t="shared" si="14"/>
        <v>200000</v>
      </c>
      <c r="T67" s="33">
        <f t="shared" si="14"/>
        <v>200000</v>
      </c>
      <c r="U67" s="33">
        <f t="shared" si="14"/>
        <v>200000</v>
      </c>
      <c r="V67" s="33">
        <f t="shared" si="14"/>
        <v>200000</v>
      </c>
      <c r="W67" s="33">
        <f t="shared" si="14"/>
        <v>160000</v>
      </c>
      <c r="X67" s="33">
        <f t="shared" si="14"/>
        <v>100000</v>
      </c>
      <c r="Y67" s="33">
        <f t="shared" si="14"/>
        <v>40000</v>
      </c>
      <c r="Z67" s="33">
        <f t="shared" si="14"/>
        <v>0</v>
      </c>
    </row>
    <row r="68" spans="1:26" x14ac:dyDescent="0.25">
      <c r="A68" s="9" t="str">
        <f t="shared" ref="A68:Z68" si="15">A11</f>
        <v>Operation Cost (Crablet purchase)</v>
      </c>
      <c r="B68" s="33">
        <f t="shared" si="15"/>
        <v>0</v>
      </c>
      <c r="C68" s="33">
        <f t="shared" si="15"/>
        <v>85000.000000000015</v>
      </c>
      <c r="D68" s="33">
        <f t="shared" si="15"/>
        <v>212500.00000000003</v>
      </c>
      <c r="E68" s="33">
        <f t="shared" si="15"/>
        <v>340000.00000000006</v>
      </c>
      <c r="F68" s="33">
        <f t="shared" si="15"/>
        <v>425000.00000000006</v>
      </c>
      <c r="G68" s="33">
        <f t="shared" si="15"/>
        <v>425000.00000000006</v>
      </c>
      <c r="H68" s="33">
        <f t="shared" si="15"/>
        <v>425000.00000000006</v>
      </c>
      <c r="I68" s="33">
        <f t="shared" si="15"/>
        <v>425000.00000000006</v>
      </c>
      <c r="J68" s="33">
        <f t="shared" si="15"/>
        <v>425000.00000000006</v>
      </c>
      <c r="K68" s="33">
        <f t="shared" si="15"/>
        <v>425000.00000000006</v>
      </c>
      <c r="L68" s="33">
        <f t="shared" si="15"/>
        <v>425000.00000000006</v>
      </c>
      <c r="M68" s="33">
        <f t="shared" si="15"/>
        <v>425000.00000000006</v>
      </c>
      <c r="N68" s="33">
        <f t="shared" si="15"/>
        <v>425000.00000000006</v>
      </c>
      <c r="O68" s="33">
        <f t="shared" si="15"/>
        <v>425000.00000000006</v>
      </c>
      <c r="P68" s="33">
        <f t="shared" si="15"/>
        <v>425000.00000000006</v>
      </c>
      <c r="Q68" s="33">
        <f t="shared" si="15"/>
        <v>425000.00000000006</v>
      </c>
      <c r="R68" s="33">
        <f t="shared" si="15"/>
        <v>425000.00000000006</v>
      </c>
      <c r="S68" s="33">
        <f t="shared" si="15"/>
        <v>425000.00000000006</v>
      </c>
      <c r="T68" s="33">
        <f t="shared" si="15"/>
        <v>425000.00000000006</v>
      </c>
      <c r="U68" s="33">
        <f t="shared" si="15"/>
        <v>425000.00000000006</v>
      </c>
      <c r="V68" s="33">
        <f t="shared" si="15"/>
        <v>425000.00000000006</v>
      </c>
      <c r="W68" s="33">
        <f t="shared" si="15"/>
        <v>340000.00000000006</v>
      </c>
      <c r="X68" s="33">
        <f t="shared" si="15"/>
        <v>212500.00000000003</v>
      </c>
      <c r="Y68" s="33">
        <f t="shared" si="15"/>
        <v>85000.000000000015</v>
      </c>
      <c r="Z68" s="33">
        <f t="shared" si="15"/>
        <v>0</v>
      </c>
    </row>
    <row r="69" spans="1:26" x14ac:dyDescent="0.25">
      <c r="A69" s="9" t="str">
        <f t="shared" ref="A69:Z69" si="16">A12</f>
        <v>Feed</v>
      </c>
      <c r="B69" s="33">
        <f t="shared" si="16"/>
        <v>0</v>
      </c>
      <c r="C69" s="33">
        <f t="shared" si="16"/>
        <v>5000</v>
      </c>
      <c r="D69" s="33">
        <f t="shared" si="16"/>
        <v>12500</v>
      </c>
      <c r="E69" s="33">
        <f t="shared" si="16"/>
        <v>20299.999999999996</v>
      </c>
      <c r="F69" s="33">
        <f t="shared" si="16"/>
        <v>25000</v>
      </c>
      <c r="G69" s="33">
        <f t="shared" si="16"/>
        <v>25000</v>
      </c>
      <c r="H69" s="33">
        <f t="shared" si="16"/>
        <v>25374.999999999996</v>
      </c>
      <c r="I69" s="33">
        <f t="shared" si="16"/>
        <v>25000</v>
      </c>
      <c r="J69" s="33">
        <f t="shared" si="16"/>
        <v>25000</v>
      </c>
      <c r="K69" s="33">
        <f t="shared" si="16"/>
        <v>25374.999999999996</v>
      </c>
      <c r="L69" s="33">
        <f t="shared" si="16"/>
        <v>25000</v>
      </c>
      <c r="M69" s="33">
        <f t="shared" si="16"/>
        <v>25000</v>
      </c>
      <c r="N69" s="33">
        <f t="shared" si="16"/>
        <v>25374.999999999996</v>
      </c>
      <c r="O69" s="33">
        <f t="shared" si="16"/>
        <v>25000</v>
      </c>
      <c r="P69" s="33">
        <f t="shared" si="16"/>
        <v>25000</v>
      </c>
      <c r="Q69" s="33">
        <f t="shared" si="16"/>
        <v>25374.999999999996</v>
      </c>
      <c r="R69" s="33">
        <f t="shared" si="16"/>
        <v>25000</v>
      </c>
      <c r="S69" s="33">
        <f t="shared" si="16"/>
        <v>25000</v>
      </c>
      <c r="T69" s="33">
        <f t="shared" si="16"/>
        <v>25374.999999999996</v>
      </c>
      <c r="U69" s="33">
        <f t="shared" si="16"/>
        <v>25000</v>
      </c>
      <c r="V69" s="33">
        <f t="shared" si="16"/>
        <v>25000</v>
      </c>
      <c r="W69" s="33">
        <f t="shared" si="16"/>
        <v>20299.999999999996</v>
      </c>
      <c r="X69" s="33">
        <f t="shared" si="16"/>
        <v>12500</v>
      </c>
      <c r="Y69" s="33">
        <f t="shared" si="16"/>
        <v>5000</v>
      </c>
      <c r="Z69" s="33">
        <f t="shared" si="16"/>
        <v>0</v>
      </c>
    </row>
    <row r="70" spans="1:26" x14ac:dyDescent="0.25">
      <c r="A70" s="9" t="str">
        <f t="shared" ref="A70:Z70" si="17">A13</f>
        <v>Land rent</v>
      </c>
      <c r="B70" s="33">
        <f t="shared" si="17"/>
        <v>0</v>
      </c>
      <c r="C70" s="33">
        <f t="shared" si="17"/>
        <v>4000</v>
      </c>
      <c r="D70" s="33">
        <f t="shared" si="17"/>
        <v>10000</v>
      </c>
      <c r="E70" s="33">
        <f t="shared" si="17"/>
        <v>16000</v>
      </c>
      <c r="F70" s="33">
        <f t="shared" si="17"/>
        <v>20000</v>
      </c>
      <c r="G70" s="33">
        <f t="shared" si="17"/>
        <v>20000</v>
      </c>
      <c r="H70" s="33">
        <f t="shared" si="17"/>
        <v>20000</v>
      </c>
      <c r="I70" s="33">
        <f t="shared" si="17"/>
        <v>20000</v>
      </c>
      <c r="J70" s="33">
        <f t="shared" si="17"/>
        <v>20000</v>
      </c>
      <c r="K70" s="33">
        <f t="shared" si="17"/>
        <v>20000</v>
      </c>
      <c r="L70" s="33">
        <f t="shared" si="17"/>
        <v>20000</v>
      </c>
      <c r="M70" s="33">
        <f t="shared" si="17"/>
        <v>20000</v>
      </c>
      <c r="N70" s="33">
        <f t="shared" si="17"/>
        <v>20000</v>
      </c>
      <c r="O70" s="33">
        <f t="shared" si="17"/>
        <v>20000</v>
      </c>
      <c r="P70" s="33">
        <f t="shared" si="17"/>
        <v>20000</v>
      </c>
      <c r="Q70" s="33">
        <f t="shared" si="17"/>
        <v>20000</v>
      </c>
      <c r="R70" s="33">
        <f t="shared" si="17"/>
        <v>20000</v>
      </c>
      <c r="S70" s="33">
        <f t="shared" si="17"/>
        <v>20000</v>
      </c>
      <c r="T70" s="33">
        <f t="shared" si="17"/>
        <v>20000</v>
      </c>
      <c r="U70" s="33">
        <f t="shared" si="17"/>
        <v>20000</v>
      </c>
      <c r="V70" s="33">
        <f t="shared" si="17"/>
        <v>20000</v>
      </c>
      <c r="W70" s="33">
        <f t="shared" si="17"/>
        <v>16000</v>
      </c>
      <c r="X70" s="33">
        <f t="shared" si="17"/>
        <v>10000</v>
      </c>
      <c r="Y70" s="33">
        <f t="shared" si="17"/>
        <v>4000</v>
      </c>
      <c r="Z70" s="33">
        <f t="shared" si="17"/>
        <v>0</v>
      </c>
    </row>
    <row r="71" spans="1:26" x14ac:dyDescent="0.25">
      <c r="A71" s="9" t="str">
        <f t="shared" ref="A71:Z71" si="18">A14</f>
        <v>Labor</v>
      </c>
      <c r="B71" s="33">
        <f t="shared" si="18"/>
        <v>0</v>
      </c>
      <c r="C71" s="33">
        <f t="shared" si="18"/>
        <v>42420</v>
      </c>
      <c r="D71" s="33">
        <f t="shared" si="18"/>
        <v>107110.5</v>
      </c>
      <c r="E71" s="33">
        <f t="shared" si="18"/>
        <v>173090.56799999997</v>
      </c>
      <c r="F71" s="33">
        <f t="shared" si="18"/>
        <v>218526.84210000001</v>
      </c>
      <c r="G71" s="33">
        <f t="shared" si="18"/>
        <v>220712.11052099997</v>
      </c>
      <c r="H71" s="33">
        <f t="shared" si="18"/>
        <v>222919.23162621004</v>
      </c>
      <c r="I71" s="33">
        <f t="shared" si="18"/>
        <v>225148.42394247209</v>
      </c>
      <c r="J71" s="33">
        <f t="shared" si="18"/>
        <v>227399.90818189684</v>
      </c>
      <c r="K71" s="33">
        <f t="shared" si="18"/>
        <v>229673.90726371581</v>
      </c>
      <c r="L71" s="33">
        <f t="shared" si="18"/>
        <v>231970.64633635298</v>
      </c>
      <c r="M71" s="33">
        <f t="shared" si="18"/>
        <v>234290.35279971649</v>
      </c>
      <c r="N71" s="33">
        <f t="shared" si="18"/>
        <v>236633.25632771364</v>
      </c>
      <c r="O71" s="33">
        <f t="shared" si="18"/>
        <v>238999.5888909908</v>
      </c>
      <c r="P71" s="33">
        <f t="shared" si="18"/>
        <v>241389.58477990073</v>
      </c>
      <c r="Q71" s="33">
        <f t="shared" si="18"/>
        <v>243803.4806276997</v>
      </c>
      <c r="R71" s="33">
        <f t="shared" si="18"/>
        <v>246241.51543397675</v>
      </c>
      <c r="S71" s="33">
        <f t="shared" si="18"/>
        <v>248703.93058831652</v>
      </c>
      <c r="T71" s="33">
        <f t="shared" si="18"/>
        <v>251190.96989419969</v>
      </c>
      <c r="U71" s="33">
        <f t="shared" si="18"/>
        <v>253702.87959314164</v>
      </c>
      <c r="V71" s="33">
        <f t="shared" si="18"/>
        <v>256239.9083890731</v>
      </c>
      <c r="W71" s="33">
        <f t="shared" si="18"/>
        <v>207041.84597837101</v>
      </c>
      <c r="X71" s="33">
        <f t="shared" si="18"/>
        <v>130695.16527384675</v>
      </c>
      <c r="Y71" s="33">
        <f t="shared" si="18"/>
        <v>52800.846770634074</v>
      </c>
      <c r="Z71" s="33">
        <f t="shared" si="18"/>
        <v>0</v>
      </c>
    </row>
    <row r="72" spans="1:26" s="50" customFormat="1" x14ac:dyDescent="0.25">
      <c r="A72" s="52" t="s">
        <v>131</v>
      </c>
      <c r="B72" s="49">
        <f>B15*Assumption_Nursery!$C33</f>
        <v>0</v>
      </c>
      <c r="C72" s="49">
        <f>C15*Assumption_Nursery!$C33</f>
        <v>0</v>
      </c>
      <c r="D72" s="49">
        <f>D15*Assumption_Nursery!$C33</f>
        <v>0</v>
      </c>
      <c r="E72" s="49">
        <f>E15*Assumption_Nursery!$C33</f>
        <v>0</v>
      </c>
      <c r="F72" s="49">
        <f>F15*Assumption_Nursery!$C33</f>
        <v>0</v>
      </c>
      <c r="G72" s="49">
        <f>G15*Assumption_Nursery!$C33</f>
        <v>0</v>
      </c>
      <c r="H72" s="49">
        <f>H15*Assumption_Nursery!$C33</f>
        <v>0</v>
      </c>
      <c r="I72" s="49">
        <f>I15*Assumption_Nursery!$C33</f>
        <v>0</v>
      </c>
      <c r="J72" s="49">
        <f>J15*Assumption_Nursery!$C33</f>
        <v>0</v>
      </c>
      <c r="K72" s="49">
        <f>K15*Assumption_Nursery!$C33</f>
        <v>0</v>
      </c>
      <c r="L72" s="49">
        <f>L15*Assumption_Nursery!$C33</f>
        <v>0</v>
      </c>
      <c r="M72" s="49">
        <f>M15*Assumption_Nursery!$C33</f>
        <v>0</v>
      </c>
      <c r="N72" s="49">
        <f>N15*Assumption_Nursery!$C33</f>
        <v>0</v>
      </c>
      <c r="O72" s="49">
        <f>O15*Assumption_Nursery!$C33</f>
        <v>0</v>
      </c>
      <c r="P72" s="49">
        <f>P15*Assumption_Nursery!$C33</f>
        <v>0</v>
      </c>
      <c r="Q72" s="49">
        <f>Q15*Assumption_Nursery!$C33</f>
        <v>0</v>
      </c>
      <c r="R72" s="49">
        <f>R15*Assumption_Nursery!$C33</f>
        <v>0</v>
      </c>
      <c r="S72" s="49">
        <f>S15*Assumption_Nursery!$C33</f>
        <v>0</v>
      </c>
      <c r="T72" s="49">
        <f>T15*Assumption_Nursery!$C33</f>
        <v>0</v>
      </c>
      <c r="U72" s="49">
        <f>U15*Assumption_Nursery!$C33</f>
        <v>0</v>
      </c>
      <c r="V72" s="49">
        <f>V15*Assumption_Nursery!$C33</f>
        <v>0</v>
      </c>
      <c r="W72" s="49">
        <f>W15*Assumption_Nursery!$C33</f>
        <v>0</v>
      </c>
      <c r="X72" s="49">
        <f>X15*Assumption_Nursery!$C33</f>
        <v>0</v>
      </c>
      <c r="Y72" s="49">
        <f>Y15*Assumption_Nursery!$C33</f>
        <v>0</v>
      </c>
      <c r="Z72" s="49">
        <f>Z15*Assumption_Nursery!$C33</f>
        <v>0</v>
      </c>
    </row>
    <row r="73" spans="1:26" x14ac:dyDescent="0.25">
      <c r="A73" s="117" t="s">
        <v>54</v>
      </c>
      <c r="B73" s="37">
        <f t="shared" ref="B73:Z73" si="19">SUM(B67:B72)</f>
        <v>0</v>
      </c>
      <c r="C73" s="37">
        <f t="shared" si="19"/>
        <v>176420</v>
      </c>
      <c r="D73" s="37">
        <f t="shared" si="19"/>
        <v>442110.5</v>
      </c>
      <c r="E73" s="37">
        <f t="shared" si="19"/>
        <v>709390.56799999997</v>
      </c>
      <c r="F73" s="37">
        <f t="shared" si="19"/>
        <v>888526.84210000001</v>
      </c>
      <c r="G73" s="37">
        <f t="shared" si="19"/>
        <v>890712.110521</v>
      </c>
      <c r="H73" s="37">
        <f t="shared" si="19"/>
        <v>893294.23162621004</v>
      </c>
      <c r="I73" s="37">
        <f t="shared" si="19"/>
        <v>895148.42394247209</v>
      </c>
      <c r="J73" s="37">
        <f t="shared" si="19"/>
        <v>897399.9081818969</v>
      </c>
      <c r="K73" s="37">
        <f t="shared" si="19"/>
        <v>900048.90726371575</v>
      </c>
      <c r="L73" s="37">
        <f t="shared" si="19"/>
        <v>901970.64633635292</v>
      </c>
      <c r="M73" s="37">
        <f t="shared" si="19"/>
        <v>904290.35279971652</v>
      </c>
      <c r="N73" s="37">
        <f t="shared" si="19"/>
        <v>907008.25632771361</v>
      </c>
      <c r="O73" s="37">
        <f t="shared" si="19"/>
        <v>908999.58889099082</v>
      </c>
      <c r="P73" s="37">
        <f t="shared" si="19"/>
        <v>911389.58477990073</v>
      </c>
      <c r="Q73" s="37">
        <f t="shared" si="19"/>
        <v>914178.48062769976</v>
      </c>
      <c r="R73" s="37">
        <f t="shared" si="19"/>
        <v>916241.51543397678</v>
      </c>
      <c r="S73" s="37">
        <f t="shared" si="19"/>
        <v>918703.93058831652</v>
      </c>
      <c r="T73" s="37">
        <f t="shared" si="19"/>
        <v>921565.96989419963</v>
      </c>
      <c r="U73" s="37">
        <f t="shared" si="19"/>
        <v>923702.87959314161</v>
      </c>
      <c r="V73" s="37">
        <f t="shared" si="19"/>
        <v>926239.9083890731</v>
      </c>
      <c r="W73" s="37">
        <f t="shared" si="19"/>
        <v>743341.84597837098</v>
      </c>
      <c r="X73" s="37">
        <f t="shared" si="19"/>
        <v>465695.16527384677</v>
      </c>
      <c r="Y73" s="37">
        <f t="shared" si="19"/>
        <v>186800.84677063406</v>
      </c>
      <c r="Z73" s="37">
        <f t="shared" si="19"/>
        <v>0</v>
      </c>
    </row>
    <row r="74" spans="1:26" x14ac:dyDescent="0.25">
      <c r="B74" s="32"/>
      <c r="C74" s="32"/>
      <c r="D74" s="32"/>
      <c r="E74" s="32"/>
      <c r="F74" s="32"/>
      <c r="G74" s="32"/>
      <c r="H74" s="32"/>
      <c r="I74" s="32"/>
      <c r="J74" s="32"/>
      <c r="K74" s="32"/>
      <c r="L74" s="32"/>
    </row>
    <row r="75" spans="1:26" x14ac:dyDescent="0.25">
      <c r="A75" s="23" t="s">
        <v>55</v>
      </c>
      <c r="B75" s="34">
        <f t="shared" ref="B75:Z75" si="20">B64-B73</f>
        <v>0</v>
      </c>
      <c r="C75" s="34">
        <f t="shared" si="20"/>
        <v>-15769.999999999971</v>
      </c>
      <c r="D75" s="34">
        <f t="shared" si="20"/>
        <v>-32452.999999999942</v>
      </c>
      <c r="E75" s="34">
        <f t="shared" si="20"/>
        <v>-74257.579999999958</v>
      </c>
      <c r="F75" s="34">
        <f t="shared" si="20"/>
        <v>-36111.516099999892</v>
      </c>
      <c r="G75" s="34">
        <f t="shared" si="20"/>
        <v>-21248.478000999894</v>
      </c>
      <c r="H75" s="34">
        <f t="shared" si="20"/>
        <v>-50783.971714329906</v>
      </c>
      <c r="I75" s="34">
        <f t="shared" si="20"/>
        <v>9441.5393313359236</v>
      </c>
      <c r="J75" s="34">
        <f t="shared" si="20"/>
        <v>25281.854357387288</v>
      </c>
      <c r="K75" s="34">
        <f t="shared" si="20"/>
        <v>-5970.2793631493114</v>
      </c>
      <c r="L75" s="34">
        <f t="shared" si="20"/>
        <v>57987.4594095184</v>
      </c>
      <c r="M75" s="34">
        <f t="shared" si="20"/>
        <v>74866.915061072097</v>
      </c>
      <c r="N75" s="34">
        <f t="shared" si="20"/>
        <v>41795.136229390744</v>
      </c>
      <c r="O75" s="34">
        <f t="shared" si="20"/>
        <v>109715.63259137375</v>
      </c>
      <c r="P75" s="34">
        <f t="shared" si="20"/>
        <v>127699.94113211124</v>
      </c>
      <c r="Q75" s="34">
        <f t="shared" si="20"/>
        <v>92699.269981039572</v>
      </c>
      <c r="R75" s="34">
        <f t="shared" si="20"/>
        <v>164827.22732488031</v>
      </c>
      <c r="S75" s="34">
        <f t="shared" si="20"/>
        <v>183986.18702571781</v>
      </c>
      <c r="T75" s="34">
        <f t="shared" si="20"/>
        <v>146940.75407379959</v>
      </c>
      <c r="U75" s="34">
        <f t="shared" si="20"/>
        <v>223535.91877249954</v>
      </c>
      <c r="V75" s="34">
        <f t="shared" si="20"/>
        <v>243943.66594388103</v>
      </c>
      <c r="W75" s="34">
        <f t="shared" si="20"/>
        <v>163784.46084453491</v>
      </c>
      <c r="X75" s="34">
        <f t="shared" si="20"/>
        <v>143034.33009415591</v>
      </c>
      <c r="Y75" s="34">
        <f t="shared" si="20"/>
        <v>61560.787339511007</v>
      </c>
      <c r="Z75" s="34">
        <f t="shared" si="20"/>
        <v>0</v>
      </c>
    </row>
    <row r="76" spans="1:26" x14ac:dyDescent="0.25">
      <c r="B76" s="32"/>
      <c r="C76" s="32"/>
      <c r="D76" s="32"/>
      <c r="E76" s="32"/>
      <c r="F76" s="32"/>
      <c r="G76" s="32"/>
      <c r="H76" s="32"/>
      <c r="I76" s="32"/>
      <c r="J76" s="32"/>
      <c r="K76" s="32"/>
      <c r="L76" s="32"/>
    </row>
    <row r="77" spans="1:26" s="12" customFormat="1" x14ac:dyDescent="0.25">
      <c r="A77" s="10" t="s">
        <v>319</v>
      </c>
      <c r="B77" s="345">
        <f>B64/(1+Assumption_Nursery!$C76)^BaU_Nursery!B61</f>
        <v>0</v>
      </c>
      <c r="C77" s="345">
        <f>C64/(1+Assumption_Nursery!$C76)^BaU_Nursery!C61</f>
        <v>151556.60377358494</v>
      </c>
      <c r="D77" s="345">
        <f>D64/(1+Assumption_Nursery!$C76)^BaU_Nursery!D61</f>
        <v>364593.71662513353</v>
      </c>
      <c r="E77" s="345">
        <f>E64/(1+Assumption_Nursery!$C76)^BaU_Nursery!E61</f>
        <v>533269.90401472349</v>
      </c>
      <c r="F77" s="345">
        <f>F64/(1+Assumption_Nursery!$C76)^BaU_Nursery!F61</f>
        <v>675192.77817157144</v>
      </c>
      <c r="G77" s="345">
        <f>G64/(1+Assumption_Nursery!$C76)^BaU_Nursery!G61</f>
        <v>649713.80541038001</v>
      </c>
      <c r="H77" s="345">
        <f>H64/(1+Assumption_Nursery!$C76)^BaU_Nursery!H61</f>
        <v>593936.48815345112</v>
      </c>
      <c r="I77" s="345">
        <f>I64/(1+Assumption_Nursery!$C76)^BaU_Nursery!I61</f>
        <v>601603.98998661374</v>
      </c>
      <c r="J77" s="345">
        <f>J64/(1+Assumption_Nursery!$C76)^BaU_Nursery!J61</f>
        <v>578901.95262862835</v>
      </c>
      <c r="K77" s="345">
        <f>K64/(1+Assumption_Nursery!$C76)^BaU_Nursery!K61</f>
        <v>529203.76612937823</v>
      </c>
      <c r="L77" s="345">
        <f>L64/(1+Assumption_Nursery!$C76)^BaU_Nursery!L61</f>
        <v>536035.59230582498</v>
      </c>
      <c r="M77" s="345">
        <f>M64/(1+Assumption_Nursery!$C76)^BaU_Nursery!M61</f>
        <v>515807.83410560497</v>
      </c>
      <c r="N77" s="345">
        <f>N64/(1+Assumption_Nursery!$C76)^BaU_Nursery!N61</f>
        <v>471526.21815880312</v>
      </c>
      <c r="O77" s="345">
        <f>O64/(1+Assumption_Nursery!$C76)^BaU_Nursery!O61</f>
        <v>477613.44838329602</v>
      </c>
      <c r="P77" s="345">
        <f>P64/(1+Assumption_Nursery!$C76)^BaU_Nursery!P61</f>
        <v>459590.29938769998</v>
      </c>
      <c r="Q77" s="345">
        <f>Q64/(1+Assumption_Nursery!$C76)^BaU_Nursery!Q61</f>
        <v>420134.90576101985</v>
      </c>
      <c r="R77" s="345">
        <f>R64/(1+Assumption_Nursery!$C76)^BaU_Nursery!R61</f>
        <v>425558.69302506495</v>
      </c>
      <c r="S77" s="345">
        <f>S64/(1+Assumption_Nursery!$C76)^BaU_Nursery!S61</f>
        <v>409499.87442034553</v>
      </c>
      <c r="T77" s="345">
        <f>T64/(1+Assumption_Nursery!$C76)^BaU_Nursery!T61</f>
        <v>374344.69652199512</v>
      </c>
      <c r="U77" s="345">
        <f>U64/(1+Assumption_Nursery!$C76)^BaU_Nursery!U61</f>
        <v>379177.34900936933</v>
      </c>
      <c r="V77" s="345">
        <f>V64/(1+Assumption_Nursery!$C76)^BaU_Nursery!V61</f>
        <v>364868.76980146865</v>
      </c>
      <c r="W77" s="345">
        <f>W64/(1+Assumption_Nursery!$C76)^BaU_Nursery!W61</f>
        <v>266836.10410386644</v>
      </c>
      <c r="X77" s="345">
        <f>X64/(1+Assumption_Nursery!$C76)^BaU_Nursery!X61</f>
        <v>168925.53760299389</v>
      </c>
      <c r="Y77" s="345">
        <f>Y64/(1+Assumption_Nursery!$C76)^BaU_Nursery!Y61</f>
        <v>65020.395605680649</v>
      </c>
      <c r="Z77" s="345">
        <f>Z64/(1+Assumption_Nursery!$C76)^BaU_Nursery!Z61</f>
        <v>0</v>
      </c>
    </row>
    <row r="78" spans="1:26" s="12" customFormat="1" x14ac:dyDescent="0.25">
      <c r="A78" s="10" t="s">
        <v>320</v>
      </c>
      <c r="B78" s="345">
        <f>B73/(1+Assumption_Nursery!$C76)^BaU_Nursery!B61</f>
        <v>0</v>
      </c>
      <c r="C78" s="345">
        <f>C73/(1+Assumption_Nursery!$C76)^BaU_Nursery!C61</f>
        <v>166433.96226415093</v>
      </c>
      <c r="D78" s="345">
        <f>D73/(1+Assumption_Nursery!$C76)^BaU_Nursery!D61</f>
        <v>393476.77109291556</v>
      </c>
      <c r="E78" s="345">
        <f>E73/(1+Assumption_Nursery!$C76)^BaU_Nursery!E61</f>
        <v>595618.00009403715</v>
      </c>
      <c r="F78" s="345">
        <f>F73/(1+Assumption_Nursery!$C76)^BaU_Nursery!F61</f>
        <v>703796.4812442991</v>
      </c>
      <c r="G78" s="345">
        <f>G73/(1+Assumption_Nursery!$C76)^BaU_Nursery!G61</f>
        <v>665591.90425759181</v>
      </c>
      <c r="H78" s="345">
        <f>H73/(1+Assumption_Nursery!$C76)^BaU_Nursery!H61</f>
        <v>629737.1842988584</v>
      </c>
      <c r="I78" s="345">
        <f>I73/(1+Assumption_Nursery!$C76)^BaU_Nursery!I61</f>
        <v>595324.82709076372</v>
      </c>
      <c r="J78" s="345">
        <f>J73/(1+Assumption_Nursery!$C76)^BaU_Nursery!J61</f>
        <v>563039.80443434126</v>
      </c>
      <c r="K78" s="345">
        <f>K73/(1+Assumption_Nursery!$C76)^BaU_Nursery!K61</f>
        <v>532737.56531127135</v>
      </c>
      <c r="L78" s="345">
        <f>L73/(1+Assumption_Nursery!$C76)^BaU_Nursery!L61</f>
        <v>503655.69784497248</v>
      </c>
      <c r="M78" s="345">
        <f>M73/(1+Assumption_Nursery!$C76)^BaU_Nursery!M61</f>
        <v>476368.87718687818</v>
      </c>
      <c r="N78" s="345">
        <f>N73/(1+Assumption_Nursery!$C76)^BaU_Nursery!N61</f>
        <v>450755.31590626878</v>
      </c>
      <c r="O78" s="345">
        <f>O73/(1+Assumption_Nursery!$C76)^BaU_Nursery!O61</f>
        <v>426174.47847444413</v>
      </c>
      <c r="P78" s="345">
        <f>P73/(1+Assumption_Nursery!$C76)^BaU_Nursery!P61</f>
        <v>403108.49227373977</v>
      </c>
      <c r="Q78" s="345">
        <f>Q73/(1+Assumption_Nursery!$C76)^BaU_Nursery!Q61</f>
        <v>381454.73924224114</v>
      </c>
      <c r="R78" s="345">
        <f>R73/(1+Assumption_Nursery!$C76)^BaU_Nursery!R61</f>
        <v>360675.06753394526</v>
      </c>
      <c r="S78" s="345">
        <f>S73/(1+Assumption_Nursery!$C76)^BaU_Nursery!S61</f>
        <v>341173.95104566892</v>
      </c>
      <c r="T78" s="345">
        <f>T73/(1+Assumption_Nursery!$C76)^BaU_Nursery!T61</f>
        <v>322864.9156683961</v>
      </c>
      <c r="U78" s="345">
        <f>U73/(1+Assumption_Nursery!$C76)^BaU_Nursery!U61</f>
        <v>305295.81954115484</v>
      </c>
      <c r="V78" s="345">
        <f>V73/(1+Assumption_Nursery!$C76)^BaU_Nursery!V61</f>
        <v>288805.98166624666</v>
      </c>
      <c r="W78" s="345">
        <f>W73/(1+Assumption_Nursery!$C76)^BaU_Nursery!W61</f>
        <v>218658.02006441852</v>
      </c>
      <c r="X78" s="345">
        <f>X73/(1+Assumption_Nursery!$C76)^BaU_Nursery!X61</f>
        <v>129232.78196901178</v>
      </c>
      <c r="Y78" s="345">
        <f>Y73/(1+Assumption_Nursery!$C76)^BaU_Nursery!Y61</f>
        <v>48903.950080777089</v>
      </c>
      <c r="Z78" s="345">
        <f>Z73/(1+Assumption_Nursery!$C76)^BaU_Nursery!Z61</f>
        <v>0</v>
      </c>
    </row>
    <row r="79" spans="1:26" x14ac:dyDescent="0.25">
      <c r="B79" s="32"/>
      <c r="C79" s="32"/>
      <c r="D79" s="32"/>
      <c r="E79" s="32"/>
      <c r="F79" s="32"/>
      <c r="G79" s="32"/>
      <c r="H79" s="32"/>
      <c r="I79" s="32"/>
      <c r="J79" s="32"/>
      <c r="K79" s="32"/>
      <c r="L79" s="32"/>
    </row>
    <row r="80" spans="1:26" s="12" customFormat="1" x14ac:dyDescent="0.25">
      <c r="A80" s="25" t="s">
        <v>318</v>
      </c>
      <c r="B80" s="35">
        <f>NPV(Assumption_Hatchery!C76,C75:Z75)+B75</f>
        <v>510028.13450010534</v>
      </c>
      <c r="C80" s="40"/>
      <c r="D80" s="40"/>
      <c r="E80" s="40"/>
      <c r="F80" s="40"/>
      <c r="G80" s="40"/>
      <c r="H80" s="40"/>
      <c r="I80" s="40"/>
      <c r="J80" s="40"/>
      <c r="K80" s="40"/>
      <c r="L80" s="40"/>
    </row>
    <row r="82" spans="1:12" s="12" customFormat="1" x14ac:dyDescent="0.25">
      <c r="A82" s="25" t="s">
        <v>238</v>
      </c>
      <c r="B82" s="36">
        <f>IRR(B75:Z75)</f>
        <v>0.18052562288918339</v>
      </c>
      <c r="C82" s="4"/>
      <c r="D82" s="4"/>
      <c r="E82" s="4"/>
      <c r="F82" s="4"/>
      <c r="G82" s="4"/>
      <c r="H82" s="4"/>
      <c r="I82" s="4"/>
      <c r="J82" s="4"/>
      <c r="K82" s="4"/>
      <c r="L82" s="4"/>
    </row>
  </sheetData>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7"/>
  </sheetPr>
  <dimension ref="A2:Z82"/>
  <sheetViews>
    <sheetView showGridLines="0" topLeftCell="A37" zoomScale="85" zoomScaleNormal="85" workbookViewId="0">
      <selection activeCell="F91" sqref="F91"/>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6" width="12.57031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2.28515625" style="26" customWidth="1"/>
    <col min="13" max="23" width="13.7109375" style="3" customWidth="1"/>
    <col min="24" max="24" width="15.7109375" style="3" customWidth="1"/>
    <col min="25" max="25" width="11" style="3" customWidth="1"/>
    <col min="26" max="26" width="12.85546875" style="3" customWidth="1"/>
    <col min="27"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143</v>
      </c>
      <c r="B6" s="31">
        <f>Assumption_Nursery!D18*Assumption_Nursery!D179*Assumption_Nursery!D180*(1+Assumption_Nursery!D181)^Assumption_Nursery!D178</f>
        <v>0</v>
      </c>
      <c r="C6" s="31">
        <f>Assumption_Nursery!E18*Assumption_Nursery!E179*Assumption_Nursery!E180*(1+Assumption_Nursery!E181)^Assumption_Nursery!E178</f>
        <v>160650.00000000003</v>
      </c>
      <c r="D6" s="31">
        <f>Assumption_Nursery!F18*Assumption_Nursery!F179*Assumption_Nursery!F180*(1+Assumption_Nursery!F181)^Assumption_Nursery!F178</f>
        <v>409657.50000000006</v>
      </c>
      <c r="E6" s="154">
        <f>Assumption_Nursery!G18*Assumption_Nursery!G179*Assumption_Nursery!G180*(1+Assumption_Nursery!G181)^Assumption_Nursery!G178*(1+Assumption_Nursery!$S151)</f>
        <v>597025.00871999993</v>
      </c>
      <c r="F6" s="31">
        <f>Assumption_Nursery!H18*Assumption_Nursery!H179*Assumption_Nursery!H180*(1+Assumption_Nursery!H181)^Assumption_Nursery!H178</f>
        <v>852415.32600000012</v>
      </c>
      <c r="G6" s="31">
        <f>Assumption_Nursery!I18*Assumption_Nursery!I179*Assumption_Nursery!I180*(1+Assumption_Nursery!I181)^Assumption_Nursery!I178</f>
        <v>869463.6325200001</v>
      </c>
      <c r="H6" s="154">
        <f>Assumption_Nursery!J18*Assumption_Nursery!J179*Assumption_Nursery!J180*(1+Assumption_Nursery!J181)^Assumption_Nursery!J178*(1+Assumption_Nursery!$S151)</f>
        <v>791959.64431716723</v>
      </c>
      <c r="I6" s="31">
        <f>Assumption_Nursery!K18*Assumption_Nursery!K179*Assumption_Nursery!K180*(1+Assumption_Nursery!K181)^Assumption_Nursery!K178</f>
        <v>904589.96327380801</v>
      </c>
      <c r="J6" s="31">
        <f>Assumption_Nursery!L18*Assumption_Nursery!L179*Assumption_Nursery!L180*(1+Assumption_Nursery!L181)^Assumption_Nursery!L178</f>
        <v>922681.76253928419</v>
      </c>
      <c r="K6" s="154">
        <f>Assumption_Nursery!M18*Assumption_Nursery!M179*Assumption_Nursery!M180*(1+Assumption_Nursery!M181)^Assumption_Nursery!M178*(1+Assumption_Nursery!$S151)</f>
        <v>840433.91022653237</v>
      </c>
      <c r="L6" s="31">
        <f>Assumption_Nursery!N18*Assumption_Nursery!N179*Assumption_Nursery!N180*(1+Assumption_Nursery!N181)^Assumption_Nursery!N178</f>
        <v>959958.10574587132</v>
      </c>
      <c r="M6" s="31">
        <f>Assumption_Nursery!O18*Assumption_Nursery!O179*Assumption_Nursery!O180*(1+Assumption_Nursery!O181)^Assumption_Nursery!O178</f>
        <v>979157.26786078862</v>
      </c>
      <c r="N6" s="154">
        <f>Assumption_Nursery!P18*Assumption_Nursery!P179*Assumption_Nursery!P180*(1+Assumption_Nursery!P181)^Assumption_Nursery!P178*(1+Assumption_Nursery!$S151)</f>
        <v>891875.18900367804</v>
      </c>
      <c r="O6" s="31">
        <f>Assumption_Nursery!Q18*Assumption_Nursery!Q179*Assumption_Nursery!Q180*(1+Assumption_Nursery!Q181)^Assumption_Nursery!Q178</f>
        <v>1018715.2214823646</v>
      </c>
      <c r="P6" s="31">
        <f>Assumption_Nursery!R18*Assumption_Nursery!R179*Assumption_Nursery!R180*(1+Assumption_Nursery!R181)^Assumption_Nursery!R178</f>
        <v>1039089.525912012</v>
      </c>
      <c r="Q6" s="154">
        <f>Assumption_Nursery!S18*Assumption_Nursery!S179*Assumption_Nursery!S180*(1+Assumption_Nursery!S181)^Assumption_Nursery!S178*(1+Assumption_Nursery!$S151)</f>
        <v>946465.08557221491</v>
      </c>
      <c r="R6" s="31">
        <f>Assumption_Nursery!T18*Assumption_Nursery!T179*Assumption_Nursery!T180*(1+Assumption_Nursery!T181)^Assumption_Nursery!T178</f>
        <v>1081068.7427588571</v>
      </c>
      <c r="S6" s="31">
        <f>Assumption_Nursery!U18*Assumption_Nursery!U179*Assumption_Nursery!U180*(1+Assumption_Nursery!U181)^Assumption_Nursery!U178</f>
        <v>1102690.1176140343</v>
      </c>
      <c r="T6" s="154">
        <f>Assumption_Nursery!V18*Assumption_Nursery!V179*Assumption_Nursery!V180*(1+Assumption_Nursery!V181)^Assumption_Nursery!V178*(1+Assumption_Nursery!$S151)</f>
        <v>1004396.3205299192</v>
      </c>
      <c r="U6" s="31">
        <f>Assumption_Nursery!W18*Assumption_Nursery!W179*Assumption_Nursery!W180*(1+Assumption_Nursery!W181)^Assumption_Nursery!W178</f>
        <v>1147238.7983656412</v>
      </c>
      <c r="V6" s="31">
        <f>Assumption_Nursery!X18*Assumption_Nursery!X179*Assumption_Nursery!X180*(1+Assumption_Nursery!X181)^Assumption_Nursery!X178</f>
        <v>1170183.5743329541</v>
      </c>
      <c r="W6" s="154">
        <f>Assumption_Nursery!Y18*Assumption_Nursery!Y179*Assumption_Nursery!Y180*(1+Assumption_Nursery!Y181)^Assumption_Nursery!Y178*(1+Assumption_Nursery!$S151)</f>
        <v>852698.72841353144</v>
      </c>
      <c r="X6" s="31">
        <f>Assumption_Nursery!Z18*Assumption_Nursery!Z179*Assumption_Nursery!Z180*(1+Assumption_Nursery!Z181)^Assumption_Nursery!Z178</f>
        <v>608729.49536800268</v>
      </c>
      <c r="Y6" s="31">
        <f>Assumption_Nursery!AA18*Assumption_Nursery!AA179*Assumption_Nursery!AA180*(1+Assumption_Nursery!AA181)^Assumption_Nursery!AA178</f>
        <v>248361.63411014507</v>
      </c>
      <c r="Z6" s="154">
        <f>Assumption_Nursery!AB18*Assumption_Nursery!AB179*Assumption_Nursery!AB180*(1+Assumption_Nursery!AB181)^Assumption_Nursery!AB178*(1+Assumption_Nursery!$S151)</f>
        <v>0</v>
      </c>
    </row>
    <row r="7" spans="1:26" s="12" customFormat="1" x14ac:dyDescent="0.25">
      <c r="A7" s="23" t="s">
        <v>53</v>
      </c>
      <c r="B7" s="38">
        <f>B6</f>
        <v>0</v>
      </c>
      <c r="C7" s="38">
        <f t="shared" ref="C7:Z7" si="0">C6</f>
        <v>160650.00000000003</v>
      </c>
      <c r="D7" s="38">
        <f t="shared" si="0"/>
        <v>409657.50000000006</v>
      </c>
      <c r="E7" s="38">
        <f t="shared" si="0"/>
        <v>597025.00871999993</v>
      </c>
      <c r="F7" s="38">
        <f t="shared" si="0"/>
        <v>852415.32600000012</v>
      </c>
      <c r="G7" s="38">
        <f t="shared" si="0"/>
        <v>869463.6325200001</v>
      </c>
      <c r="H7" s="38">
        <f t="shared" si="0"/>
        <v>791959.64431716723</v>
      </c>
      <c r="I7" s="38">
        <f t="shared" si="0"/>
        <v>904589.96327380801</v>
      </c>
      <c r="J7" s="38">
        <f t="shared" si="0"/>
        <v>922681.76253928419</v>
      </c>
      <c r="K7" s="38">
        <f t="shared" si="0"/>
        <v>840433.91022653237</v>
      </c>
      <c r="L7" s="38">
        <f t="shared" si="0"/>
        <v>959958.10574587132</v>
      </c>
      <c r="M7" s="38">
        <f t="shared" si="0"/>
        <v>979157.26786078862</v>
      </c>
      <c r="N7" s="38">
        <f t="shared" si="0"/>
        <v>891875.18900367804</v>
      </c>
      <c r="O7" s="38">
        <f t="shared" si="0"/>
        <v>1018715.2214823646</v>
      </c>
      <c r="P7" s="38">
        <f t="shared" si="0"/>
        <v>1039089.525912012</v>
      </c>
      <c r="Q7" s="38">
        <f t="shared" si="0"/>
        <v>946465.08557221491</v>
      </c>
      <c r="R7" s="38">
        <f t="shared" si="0"/>
        <v>1081068.7427588571</v>
      </c>
      <c r="S7" s="38">
        <f t="shared" si="0"/>
        <v>1102690.1176140343</v>
      </c>
      <c r="T7" s="38">
        <f t="shared" si="0"/>
        <v>1004396.3205299192</v>
      </c>
      <c r="U7" s="38">
        <f t="shared" si="0"/>
        <v>1147238.7983656412</v>
      </c>
      <c r="V7" s="38">
        <f t="shared" si="0"/>
        <v>1170183.5743329541</v>
      </c>
      <c r="W7" s="38">
        <f t="shared" si="0"/>
        <v>852698.72841353144</v>
      </c>
      <c r="X7" s="38">
        <f t="shared" si="0"/>
        <v>608729.49536800268</v>
      </c>
      <c r="Y7" s="38">
        <f t="shared" si="0"/>
        <v>248361.63411014507</v>
      </c>
      <c r="Z7" s="38">
        <f t="shared" si="0"/>
        <v>0</v>
      </c>
    </row>
    <row r="8" spans="1:26" x14ac:dyDescent="0.25">
      <c r="A8" s="23"/>
      <c r="B8" s="41"/>
      <c r="C8" s="41"/>
      <c r="D8" s="41"/>
      <c r="E8" s="41"/>
      <c r="F8" s="41"/>
      <c r="G8" s="41"/>
      <c r="H8" s="41"/>
      <c r="I8" s="41"/>
      <c r="J8" s="41"/>
      <c r="K8" s="41"/>
    </row>
    <row r="9" spans="1:26" x14ac:dyDescent="0.25">
      <c r="A9" s="23" t="s">
        <v>20</v>
      </c>
    </row>
    <row r="10" spans="1:26" x14ac:dyDescent="0.25">
      <c r="A10" s="9" t="s">
        <v>61</v>
      </c>
      <c r="B10" s="33">
        <f>Assumption_Nursery!D18*Assumption_Nursery!D185</f>
        <v>0</v>
      </c>
      <c r="C10" s="33">
        <f>Assumption_Nursery!E18*Assumption_Nursery!E185</f>
        <v>40000</v>
      </c>
      <c r="D10" s="33">
        <f>Assumption_Nursery!F18*Assumption_Nursery!F185</f>
        <v>100000</v>
      </c>
      <c r="E10" s="33">
        <f>Assumption_Nursery!G18*Assumption_Nursery!G185</f>
        <v>160000</v>
      </c>
      <c r="F10" s="33">
        <f>Assumption_Nursery!H18*Assumption_Nursery!H185</f>
        <v>200000</v>
      </c>
      <c r="G10" s="33">
        <f>Assumption_Nursery!I18*Assumption_Nursery!I185</f>
        <v>200000</v>
      </c>
      <c r="H10" s="33">
        <f>Assumption_Nursery!J18*Assumption_Nursery!J185</f>
        <v>200000</v>
      </c>
      <c r="I10" s="33">
        <f>Assumption_Nursery!K18*Assumption_Nursery!K185</f>
        <v>200000</v>
      </c>
      <c r="J10" s="33">
        <f>Assumption_Nursery!L18*Assumption_Nursery!L185</f>
        <v>200000</v>
      </c>
      <c r="K10" s="33">
        <f>Assumption_Nursery!M18*Assumption_Nursery!M185</f>
        <v>200000</v>
      </c>
      <c r="L10" s="33">
        <f>Assumption_Nursery!N18*Assumption_Nursery!N185</f>
        <v>200000</v>
      </c>
      <c r="M10" s="33">
        <f>Assumption_Nursery!O18*Assumption_Nursery!O185</f>
        <v>200000</v>
      </c>
      <c r="N10" s="33">
        <f>Assumption_Nursery!P18*Assumption_Nursery!P185</f>
        <v>200000</v>
      </c>
      <c r="O10" s="33">
        <f>Assumption_Nursery!Q18*Assumption_Nursery!Q185</f>
        <v>200000</v>
      </c>
      <c r="P10" s="33">
        <f>Assumption_Nursery!R18*Assumption_Nursery!R185</f>
        <v>200000</v>
      </c>
      <c r="Q10" s="33">
        <f>Assumption_Nursery!S18*Assumption_Nursery!S185</f>
        <v>200000</v>
      </c>
      <c r="R10" s="33">
        <f>Assumption_Nursery!T18*Assumption_Nursery!T185</f>
        <v>200000</v>
      </c>
      <c r="S10" s="33">
        <f>Assumption_Nursery!U18*Assumption_Nursery!U185</f>
        <v>200000</v>
      </c>
      <c r="T10" s="33">
        <f>Assumption_Nursery!V18*Assumption_Nursery!V185</f>
        <v>200000</v>
      </c>
      <c r="U10" s="33">
        <f>Assumption_Nursery!W18*Assumption_Nursery!W185</f>
        <v>200000</v>
      </c>
      <c r="V10" s="33">
        <f>Assumption_Nursery!X18*Assumption_Nursery!X185</f>
        <v>200000</v>
      </c>
      <c r="W10" s="33">
        <f>Assumption_Nursery!Y18*Assumption_Nursery!Y185</f>
        <v>160000</v>
      </c>
      <c r="X10" s="33">
        <f>Assumption_Nursery!Z18*Assumption_Nursery!Z185</f>
        <v>100000</v>
      </c>
      <c r="Y10" s="33">
        <f>Assumption_Nursery!AA18*Assumption_Nursery!AA185</f>
        <v>40000</v>
      </c>
      <c r="Z10" s="33">
        <f>Assumption_Nursery!AB18*Assumption_Nursery!AB185</f>
        <v>0</v>
      </c>
    </row>
    <row r="11" spans="1:26" x14ac:dyDescent="0.25">
      <c r="A11" s="9" t="s">
        <v>62</v>
      </c>
      <c r="B11" s="33">
        <f>Assumption_Nursery!D18*Assumption_Nursery!D186</f>
        <v>0</v>
      </c>
      <c r="C11" s="33">
        <f>Assumption_Nursery!E18*Assumption_Nursery!E186</f>
        <v>85000.000000000015</v>
      </c>
      <c r="D11" s="33">
        <f>Assumption_Nursery!F18*Assumption_Nursery!F186</f>
        <v>212500.00000000003</v>
      </c>
      <c r="E11" s="33">
        <f>Assumption_Nursery!G18*Assumption_Nursery!G186</f>
        <v>340000.00000000006</v>
      </c>
      <c r="F11" s="33">
        <f>Assumption_Nursery!H18*Assumption_Nursery!H186</f>
        <v>425000.00000000006</v>
      </c>
      <c r="G11" s="33">
        <f>Assumption_Nursery!I18*Assumption_Nursery!I186</f>
        <v>425000.00000000006</v>
      </c>
      <c r="H11" s="33">
        <f>Assumption_Nursery!J18*Assumption_Nursery!J186</f>
        <v>425000.00000000006</v>
      </c>
      <c r="I11" s="33">
        <f>Assumption_Nursery!K18*Assumption_Nursery!K186</f>
        <v>425000.00000000006</v>
      </c>
      <c r="J11" s="33">
        <f>Assumption_Nursery!L18*Assumption_Nursery!L186</f>
        <v>425000.00000000006</v>
      </c>
      <c r="K11" s="33">
        <f>Assumption_Nursery!M18*Assumption_Nursery!M186</f>
        <v>425000.00000000006</v>
      </c>
      <c r="L11" s="33">
        <f>Assumption_Nursery!N18*Assumption_Nursery!N186</f>
        <v>425000.00000000006</v>
      </c>
      <c r="M11" s="33">
        <f>Assumption_Nursery!O18*Assumption_Nursery!O186</f>
        <v>425000.00000000006</v>
      </c>
      <c r="N11" s="33">
        <f>Assumption_Nursery!P18*Assumption_Nursery!P186</f>
        <v>425000.00000000006</v>
      </c>
      <c r="O11" s="33">
        <f>Assumption_Nursery!Q18*Assumption_Nursery!Q186</f>
        <v>425000.00000000006</v>
      </c>
      <c r="P11" s="33">
        <f>Assumption_Nursery!R18*Assumption_Nursery!R186</f>
        <v>425000.00000000006</v>
      </c>
      <c r="Q11" s="33">
        <f>Assumption_Nursery!S18*Assumption_Nursery!S186</f>
        <v>425000.00000000006</v>
      </c>
      <c r="R11" s="33">
        <f>Assumption_Nursery!T18*Assumption_Nursery!T186</f>
        <v>425000.00000000006</v>
      </c>
      <c r="S11" s="33">
        <f>Assumption_Nursery!U18*Assumption_Nursery!U186</f>
        <v>425000.00000000006</v>
      </c>
      <c r="T11" s="33">
        <f>Assumption_Nursery!V18*Assumption_Nursery!V186</f>
        <v>425000.00000000006</v>
      </c>
      <c r="U11" s="33">
        <f>Assumption_Nursery!W18*Assumption_Nursery!W186</f>
        <v>425000.00000000006</v>
      </c>
      <c r="V11" s="33">
        <f>Assumption_Nursery!X18*Assumption_Nursery!X186</f>
        <v>425000.00000000006</v>
      </c>
      <c r="W11" s="33">
        <f>Assumption_Nursery!Y18*Assumption_Nursery!Y186</f>
        <v>340000.00000000006</v>
      </c>
      <c r="X11" s="33">
        <f>Assumption_Nursery!Z18*Assumption_Nursery!Z186</f>
        <v>212500.00000000003</v>
      </c>
      <c r="Y11" s="33">
        <f>Assumption_Nursery!AA18*Assumption_Nursery!AA186</f>
        <v>85000.000000000015</v>
      </c>
      <c r="Z11" s="33">
        <f>Assumption_Nursery!AB18*Assumption_Nursery!AB186</f>
        <v>0</v>
      </c>
    </row>
    <row r="12" spans="1:26" x14ac:dyDescent="0.25">
      <c r="A12" s="9" t="s">
        <v>34</v>
      </c>
      <c r="B12" s="33">
        <f>Assumption_Nursery!D18*Assumption_Nursery!D187</f>
        <v>0</v>
      </c>
      <c r="C12" s="33">
        <f>Assumption_Nursery!E18*Assumption_Nursery!E187</f>
        <v>5000</v>
      </c>
      <c r="D12" s="33">
        <f>Assumption_Nursery!F18*Assumption_Nursery!F187</f>
        <v>12500</v>
      </c>
      <c r="E12" s="155">
        <f>Assumption_Nursery!G18*Assumption_Nursery!G187*(1+Assumption_Nursery!$S159)</f>
        <v>20807.499999999993</v>
      </c>
      <c r="F12" s="33">
        <f>Assumption_Nursery!H18*Assumption_Nursery!H187</f>
        <v>25000</v>
      </c>
      <c r="G12" s="33">
        <f>Assumption_Nursery!I18*Assumption_Nursery!I187</f>
        <v>25000</v>
      </c>
      <c r="H12" s="155">
        <f>Assumption_Nursery!J18*Assumption_Nursery!J187*(1+Assumption_Nursery!$S159)</f>
        <v>26009.374999999993</v>
      </c>
      <c r="I12" s="33">
        <f>Assumption_Nursery!K18*Assumption_Nursery!K187</f>
        <v>25000</v>
      </c>
      <c r="J12" s="33">
        <f>Assumption_Nursery!L18*Assumption_Nursery!L187</f>
        <v>25000</v>
      </c>
      <c r="K12" s="155">
        <f>Assumption_Nursery!M18*Assumption_Nursery!M187*(1+Assumption_Nursery!$S159)</f>
        <v>26009.374999999993</v>
      </c>
      <c r="L12" s="33">
        <f>Assumption_Nursery!N18*Assumption_Nursery!N187</f>
        <v>25000</v>
      </c>
      <c r="M12" s="33">
        <f>Assumption_Nursery!O18*Assumption_Nursery!O187</f>
        <v>25000</v>
      </c>
      <c r="N12" s="155">
        <f>Assumption_Nursery!P18*Assumption_Nursery!P187*(1+Assumption_Nursery!$S159)</f>
        <v>26009.374999999993</v>
      </c>
      <c r="O12" s="33">
        <f>Assumption_Nursery!Q18*Assumption_Nursery!Q187</f>
        <v>25000</v>
      </c>
      <c r="P12" s="33">
        <f>Assumption_Nursery!R18*Assumption_Nursery!R187</f>
        <v>25000</v>
      </c>
      <c r="Q12" s="155">
        <f>Assumption_Nursery!S18*Assumption_Nursery!S187*(1+Assumption_Nursery!$S159)</f>
        <v>26009.374999999993</v>
      </c>
      <c r="R12" s="33">
        <f>Assumption_Nursery!T18*Assumption_Nursery!T187</f>
        <v>25000</v>
      </c>
      <c r="S12" s="33">
        <f>Assumption_Nursery!U18*Assumption_Nursery!U187</f>
        <v>25000</v>
      </c>
      <c r="T12" s="155">
        <f>Assumption_Nursery!V18*Assumption_Nursery!V187*(1+Assumption_Nursery!$S159)</f>
        <v>26009.374999999993</v>
      </c>
      <c r="U12" s="33">
        <f>Assumption_Nursery!W18*Assumption_Nursery!W187</f>
        <v>25000</v>
      </c>
      <c r="V12" s="33">
        <f>Assumption_Nursery!X18*Assumption_Nursery!X187</f>
        <v>25000</v>
      </c>
      <c r="W12" s="155">
        <f>Assumption_Nursery!Y18*Assumption_Nursery!Y187*(1+Assumption_Nursery!$S159)</f>
        <v>20807.499999999993</v>
      </c>
      <c r="X12" s="33">
        <f>Assumption_Nursery!Z18*Assumption_Nursery!Z187</f>
        <v>12500</v>
      </c>
      <c r="Y12" s="33">
        <f>Assumption_Nursery!AA18*Assumption_Nursery!AA187</f>
        <v>5000</v>
      </c>
      <c r="Z12" s="155">
        <f>Assumption_Nursery!AB18*Assumption_Nursery!AB187*(1+Assumption_Nursery!$S159)</f>
        <v>0</v>
      </c>
    </row>
    <row r="13" spans="1:26" x14ac:dyDescent="0.25">
      <c r="A13" s="9" t="s">
        <v>141</v>
      </c>
      <c r="B13" s="33">
        <f>Assumption_Nursery!D18*Assumption_Nursery!D188</f>
        <v>0</v>
      </c>
      <c r="C13" s="33">
        <f>Assumption_Nursery!E18*Assumption_Nursery!E188</f>
        <v>4000</v>
      </c>
      <c r="D13" s="33">
        <f>Assumption_Nursery!F18*Assumption_Nursery!F188</f>
        <v>10000</v>
      </c>
      <c r="E13" s="146">
        <f>Assumption_Nursery!G18*Assumption_Nursery!G188</f>
        <v>16000</v>
      </c>
      <c r="F13" s="33">
        <f>Assumption_Nursery!H18*Assumption_Nursery!H188</f>
        <v>20000</v>
      </c>
      <c r="G13" s="33">
        <f>Assumption_Nursery!I18*Assumption_Nursery!I188</f>
        <v>20000</v>
      </c>
      <c r="H13" s="146">
        <f>Assumption_Nursery!J18*Assumption_Nursery!J188*(1+Assumption_Nursery!$S160)</f>
        <v>20000</v>
      </c>
      <c r="I13" s="33">
        <f>Assumption_Nursery!K18*Assumption_Nursery!K188</f>
        <v>20000</v>
      </c>
      <c r="J13" s="33">
        <f>Assumption_Nursery!L18*Assumption_Nursery!L188</f>
        <v>20000</v>
      </c>
      <c r="K13" s="146">
        <f>Assumption_Nursery!M18*Assumption_Nursery!M188*(1+Assumption_Nursery!$S160)</f>
        <v>20000</v>
      </c>
      <c r="L13" s="33">
        <f>Assumption_Nursery!N18*Assumption_Nursery!N188</f>
        <v>20000</v>
      </c>
      <c r="M13" s="33">
        <f>Assumption_Nursery!O18*Assumption_Nursery!O188</f>
        <v>20000</v>
      </c>
      <c r="N13" s="146">
        <f>Assumption_Nursery!P18*Assumption_Nursery!P188*(1+Assumption_Nursery!$S160)</f>
        <v>20000</v>
      </c>
      <c r="O13" s="33">
        <f>Assumption_Nursery!Q18*Assumption_Nursery!Q188</f>
        <v>20000</v>
      </c>
      <c r="P13" s="33">
        <f>Assumption_Nursery!R18*Assumption_Nursery!R188</f>
        <v>20000</v>
      </c>
      <c r="Q13" s="146">
        <f>Assumption_Nursery!S18*Assumption_Nursery!S188*(1+Assumption_Nursery!$S160)</f>
        <v>20000</v>
      </c>
      <c r="R13" s="33">
        <f>Assumption_Nursery!T18*Assumption_Nursery!T188</f>
        <v>20000</v>
      </c>
      <c r="S13" s="33">
        <f>Assumption_Nursery!U18*Assumption_Nursery!U188</f>
        <v>20000</v>
      </c>
      <c r="T13" s="146">
        <f>Assumption_Nursery!V18*Assumption_Nursery!V188*(1+Assumption_Nursery!$S160)</f>
        <v>20000</v>
      </c>
      <c r="U13" s="33">
        <f>Assumption_Nursery!W18*Assumption_Nursery!W188</f>
        <v>20000</v>
      </c>
      <c r="V13" s="33">
        <f>Assumption_Nursery!X18*Assumption_Nursery!X188</f>
        <v>20000</v>
      </c>
      <c r="W13" s="146">
        <f>Assumption_Nursery!Y18*Assumption_Nursery!Y188*(1+Assumption_Nursery!$S160)</f>
        <v>16000</v>
      </c>
      <c r="X13" s="33">
        <f>Assumption_Nursery!Z18*Assumption_Nursery!Z188</f>
        <v>10000</v>
      </c>
      <c r="Y13" s="33">
        <f>Assumption_Nursery!AA18*Assumption_Nursery!AA188</f>
        <v>4000</v>
      </c>
      <c r="Z13" s="146">
        <f>Assumption_Nursery!AB18*Assumption_Nursery!AB188*(1+Assumption_Nursery!$S160)</f>
        <v>0</v>
      </c>
    </row>
    <row r="14" spans="1:26" x14ac:dyDescent="0.25">
      <c r="A14" s="9" t="s">
        <v>12</v>
      </c>
      <c r="B14" s="33">
        <f>BaU_Nursery!B14</f>
        <v>0</v>
      </c>
      <c r="C14" s="33">
        <f>BaU_Nursery!C14</f>
        <v>42420</v>
      </c>
      <c r="D14" s="33">
        <f>BaU_Nursery!D14</f>
        <v>107110.5</v>
      </c>
      <c r="E14" s="33">
        <f>BaU_Nursery!E14</f>
        <v>173090.56799999997</v>
      </c>
      <c r="F14" s="33">
        <f>BaU_Nursery!F14</f>
        <v>218526.84210000001</v>
      </c>
      <c r="G14" s="33">
        <f>BaU_Nursery!G14</f>
        <v>220712.11052099997</v>
      </c>
      <c r="H14" s="33">
        <f>BaU_Nursery!H14</f>
        <v>222919.23162621004</v>
      </c>
      <c r="I14" s="33">
        <f>BaU_Nursery!I14</f>
        <v>225148.42394247209</v>
      </c>
      <c r="J14" s="33">
        <f>BaU_Nursery!J14</f>
        <v>227399.90818189684</v>
      </c>
      <c r="K14" s="33">
        <f>BaU_Nursery!K14</f>
        <v>229673.90726371581</v>
      </c>
      <c r="L14" s="33">
        <f>BaU_Nursery!L14</f>
        <v>231970.64633635298</v>
      </c>
      <c r="M14" s="33">
        <f>BaU_Nursery!M14</f>
        <v>234290.35279971649</v>
      </c>
      <c r="N14" s="33">
        <f>BaU_Nursery!N14</f>
        <v>236633.25632771364</v>
      </c>
      <c r="O14" s="33">
        <f>BaU_Nursery!O14</f>
        <v>238999.5888909908</v>
      </c>
      <c r="P14" s="33">
        <f>BaU_Nursery!P14</f>
        <v>241389.58477990073</v>
      </c>
      <c r="Q14" s="33">
        <f>BaU_Nursery!Q14</f>
        <v>243803.4806276997</v>
      </c>
      <c r="R14" s="33">
        <f>BaU_Nursery!R14</f>
        <v>246241.51543397675</v>
      </c>
      <c r="S14" s="33">
        <f>BaU_Nursery!S14</f>
        <v>248703.93058831652</v>
      </c>
      <c r="T14" s="33">
        <f>BaU_Nursery!T14</f>
        <v>251190.96989419969</v>
      </c>
      <c r="U14" s="33">
        <f>BaU_Nursery!U14</f>
        <v>253702.87959314164</v>
      </c>
      <c r="V14" s="33">
        <f>BaU_Nursery!V14</f>
        <v>256239.9083890731</v>
      </c>
      <c r="W14" s="33">
        <f>BaU_Nursery!W14</f>
        <v>207041.84597837101</v>
      </c>
      <c r="X14" s="33">
        <f>BaU_Nursery!X14</f>
        <v>130695.16527384675</v>
      </c>
      <c r="Y14" s="33">
        <f>BaU_Nursery!Y14</f>
        <v>52800.846770634074</v>
      </c>
      <c r="Z14" s="33">
        <f>BaU_Nursery!Z14</f>
        <v>0</v>
      </c>
    </row>
    <row r="15" spans="1:26" s="50" customFormat="1" x14ac:dyDescent="0.25">
      <c r="A15" s="52" t="s">
        <v>131</v>
      </c>
      <c r="B15" s="49">
        <f>Assumption_Nursery!D43</f>
        <v>0</v>
      </c>
      <c r="C15" s="49">
        <f>Assumption_Nursery!E43</f>
        <v>74400</v>
      </c>
      <c r="D15" s="49">
        <f>Assumption_Nursery!F43</f>
        <v>111600</v>
      </c>
      <c r="E15" s="49">
        <f>Assumption_Nursery!G43</f>
        <v>111600</v>
      </c>
      <c r="F15" s="49">
        <f>Assumption_Nursery!H43</f>
        <v>74400</v>
      </c>
      <c r="G15" s="49">
        <f>Assumption_Nursery!I43</f>
        <v>0</v>
      </c>
      <c r="H15" s="49">
        <f>Assumption_Nursery!J43</f>
        <v>0</v>
      </c>
      <c r="I15" s="49">
        <f>Assumption_Nursery!K43</f>
        <v>0</v>
      </c>
      <c r="J15" s="49">
        <f>Assumption_Nursery!L43</f>
        <v>0</v>
      </c>
      <c r="K15" s="49">
        <f>Assumption_Nursery!M43</f>
        <v>0</v>
      </c>
      <c r="L15" s="49">
        <f>Assumption_Nursery!N43</f>
        <v>0</v>
      </c>
      <c r="M15" s="49">
        <f>Assumption_Nursery!O43</f>
        <v>0</v>
      </c>
      <c r="N15" s="49">
        <f>Assumption_Nursery!P43</f>
        <v>0</v>
      </c>
      <c r="O15" s="49">
        <f>Assumption_Nursery!Q43</f>
        <v>0</v>
      </c>
      <c r="P15" s="49">
        <f>Assumption_Nursery!R43</f>
        <v>0</v>
      </c>
      <c r="Q15" s="49">
        <f>Assumption_Nursery!S43</f>
        <v>0</v>
      </c>
      <c r="R15" s="49">
        <f>Assumption_Nursery!T43</f>
        <v>0</v>
      </c>
      <c r="S15" s="49">
        <f>Assumption_Nursery!U43</f>
        <v>0</v>
      </c>
      <c r="T15" s="49">
        <f>Assumption_Nursery!V43</f>
        <v>0</v>
      </c>
      <c r="U15" s="49">
        <f>Assumption_Nursery!W43</f>
        <v>0</v>
      </c>
      <c r="V15" s="49">
        <f>Assumption_Nursery!X43</f>
        <v>0</v>
      </c>
      <c r="W15" s="49">
        <f>Assumption_Nursery!Y43</f>
        <v>0</v>
      </c>
      <c r="X15" s="49">
        <f>Assumption_Nursery!Z43</f>
        <v>0</v>
      </c>
      <c r="Y15" s="49">
        <f>Assumption_Nursery!AA43</f>
        <v>0</v>
      </c>
      <c r="Z15" s="49">
        <f>Assumption_Nursery!AB43</f>
        <v>0</v>
      </c>
    </row>
    <row r="16" spans="1:26" x14ac:dyDescent="0.25">
      <c r="A16" s="117" t="s">
        <v>54</v>
      </c>
      <c r="B16" s="37">
        <f t="shared" ref="B16:Z16" si="1">SUM(B10:B15)</f>
        <v>0</v>
      </c>
      <c r="C16" s="37">
        <f t="shared" si="1"/>
        <v>250820</v>
      </c>
      <c r="D16" s="37">
        <f t="shared" si="1"/>
        <v>553710.5</v>
      </c>
      <c r="E16" s="37">
        <f t="shared" si="1"/>
        <v>821498.06799999997</v>
      </c>
      <c r="F16" s="37">
        <f t="shared" si="1"/>
        <v>962926.84210000001</v>
      </c>
      <c r="G16" s="37">
        <f t="shared" si="1"/>
        <v>890712.110521</v>
      </c>
      <c r="H16" s="37">
        <f t="shared" si="1"/>
        <v>893928.60662621004</v>
      </c>
      <c r="I16" s="37">
        <f t="shared" si="1"/>
        <v>895148.42394247209</v>
      </c>
      <c r="J16" s="37">
        <f t="shared" si="1"/>
        <v>897399.9081818969</v>
      </c>
      <c r="K16" s="37">
        <f t="shared" si="1"/>
        <v>900683.28226371575</v>
      </c>
      <c r="L16" s="37">
        <f t="shared" si="1"/>
        <v>901970.64633635292</v>
      </c>
      <c r="M16" s="37">
        <f t="shared" si="1"/>
        <v>904290.35279971652</v>
      </c>
      <c r="N16" s="37">
        <f t="shared" si="1"/>
        <v>907642.63132771361</v>
      </c>
      <c r="O16" s="37">
        <f t="shared" si="1"/>
        <v>908999.58889099082</v>
      </c>
      <c r="P16" s="37">
        <f t="shared" si="1"/>
        <v>911389.58477990073</v>
      </c>
      <c r="Q16" s="37">
        <f t="shared" si="1"/>
        <v>914812.85562769976</v>
      </c>
      <c r="R16" s="37">
        <f t="shared" si="1"/>
        <v>916241.51543397678</v>
      </c>
      <c r="S16" s="37">
        <f t="shared" si="1"/>
        <v>918703.93058831652</v>
      </c>
      <c r="T16" s="37">
        <f t="shared" si="1"/>
        <v>922200.34489419963</v>
      </c>
      <c r="U16" s="37">
        <f t="shared" si="1"/>
        <v>923702.87959314161</v>
      </c>
      <c r="V16" s="37">
        <f t="shared" si="1"/>
        <v>926239.9083890731</v>
      </c>
      <c r="W16" s="37">
        <f t="shared" si="1"/>
        <v>743849.34597837098</v>
      </c>
      <c r="X16" s="37">
        <f t="shared" si="1"/>
        <v>465695.16527384677</v>
      </c>
      <c r="Y16" s="37">
        <f t="shared" si="1"/>
        <v>186800.84677063406</v>
      </c>
      <c r="Z16" s="37">
        <f t="shared" si="1"/>
        <v>0</v>
      </c>
    </row>
    <row r="17" spans="1:26" x14ac:dyDescent="0.25">
      <c r="B17" s="32"/>
      <c r="C17" s="32"/>
      <c r="D17" s="32"/>
      <c r="E17" s="32"/>
      <c r="F17" s="32"/>
      <c r="G17" s="32"/>
      <c r="H17" s="32"/>
      <c r="I17" s="32"/>
      <c r="J17" s="32"/>
      <c r="K17" s="32"/>
      <c r="L17" s="32"/>
    </row>
    <row r="18" spans="1:26" x14ac:dyDescent="0.25">
      <c r="A18" s="23" t="s">
        <v>55</v>
      </c>
      <c r="B18" s="34">
        <f t="shared" ref="B18:Z18" si="2">B7-B16</f>
        <v>0</v>
      </c>
      <c r="C18" s="34">
        <f t="shared" si="2"/>
        <v>-90169.999999999971</v>
      </c>
      <c r="D18" s="34">
        <f t="shared" si="2"/>
        <v>-144052.99999999994</v>
      </c>
      <c r="E18" s="34">
        <f t="shared" si="2"/>
        <v>-224473.05928000004</v>
      </c>
      <c r="F18" s="34">
        <f t="shared" si="2"/>
        <v>-110511.51609999989</v>
      </c>
      <c r="G18" s="34">
        <f t="shared" si="2"/>
        <v>-21248.478000999894</v>
      </c>
      <c r="H18" s="34">
        <f t="shared" si="2"/>
        <v>-101968.96230904281</v>
      </c>
      <c r="I18" s="34">
        <f t="shared" si="2"/>
        <v>9441.5393313359236</v>
      </c>
      <c r="J18" s="34">
        <f t="shared" si="2"/>
        <v>25281.854357387288</v>
      </c>
      <c r="K18" s="34">
        <f t="shared" si="2"/>
        <v>-60249.372037183377</v>
      </c>
      <c r="L18" s="34">
        <f t="shared" si="2"/>
        <v>57987.4594095184</v>
      </c>
      <c r="M18" s="34">
        <f t="shared" si="2"/>
        <v>74866.915061072097</v>
      </c>
      <c r="N18" s="34">
        <f t="shared" si="2"/>
        <v>-15767.442324035568</v>
      </c>
      <c r="O18" s="34">
        <f t="shared" si="2"/>
        <v>109715.63259137375</v>
      </c>
      <c r="P18" s="34">
        <f t="shared" si="2"/>
        <v>127699.94113211124</v>
      </c>
      <c r="Q18" s="34">
        <f t="shared" si="2"/>
        <v>31652.229944515158</v>
      </c>
      <c r="R18" s="34">
        <f t="shared" si="2"/>
        <v>164827.22732488031</v>
      </c>
      <c r="S18" s="34">
        <f t="shared" si="2"/>
        <v>183986.18702571781</v>
      </c>
      <c r="T18" s="34">
        <f t="shared" si="2"/>
        <v>82195.975635719602</v>
      </c>
      <c r="U18" s="34">
        <f t="shared" si="2"/>
        <v>223535.91877249954</v>
      </c>
      <c r="V18" s="34">
        <f t="shared" si="2"/>
        <v>243943.66594388103</v>
      </c>
      <c r="W18" s="34">
        <f t="shared" si="2"/>
        <v>108849.38243516046</v>
      </c>
      <c r="X18" s="34">
        <f t="shared" si="2"/>
        <v>143034.33009415591</v>
      </c>
      <c r="Y18" s="34">
        <f t="shared" si="2"/>
        <v>61560.787339511007</v>
      </c>
      <c r="Z18" s="34">
        <f t="shared" si="2"/>
        <v>0</v>
      </c>
    </row>
    <row r="19" spans="1:26" x14ac:dyDescent="0.25">
      <c r="B19" s="32"/>
      <c r="C19" s="32"/>
      <c r="D19" s="32"/>
      <c r="E19" s="32"/>
      <c r="F19" s="32"/>
      <c r="G19" s="32"/>
      <c r="H19" s="32"/>
      <c r="I19" s="32"/>
      <c r="J19" s="32"/>
      <c r="K19" s="32"/>
      <c r="L19" s="32"/>
    </row>
    <row r="20" spans="1:26" s="12" customFormat="1" x14ac:dyDescent="0.25">
      <c r="A20" s="10" t="s">
        <v>319</v>
      </c>
      <c r="B20" s="346">
        <f>B7/(1+Assumption_Nursery!$C76)^'RCP 4.5_Nursery'!B4</f>
        <v>0</v>
      </c>
      <c r="C20" s="346">
        <f>C7/(1+Assumption_Nursery!$C76)^'RCP 4.5_Nursery'!C4</f>
        <v>151556.60377358494</v>
      </c>
      <c r="D20" s="346">
        <f>D7/(1+Assumption_Nursery!$C76)^'RCP 4.5_Nursery'!D4</f>
        <v>364593.71662513353</v>
      </c>
      <c r="E20" s="346">
        <f>E7/(1+Assumption_Nursery!$C76)^'RCP 4.5_Nursery'!E4</f>
        <v>501273.70977383998</v>
      </c>
      <c r="F20" s="346">
        <f>F7/(1+Assumption_Nursery!$C76)^'RCP 4.5_Nursery'!F4</f>
        <v>675192.77817157144</v>
      </c>
      <c r="G20" s="346">
        <f>G7/(1+Assumption_Nursery!$C76)^'RCP 4.5_Nursery'!G4</f>
        <v>649713.80541038001</v>
      </c>
      <c r="H20" s="346">
        <f>H7/(1+Assumption_Nursery!$C76)^'RCP 4.5_Nursery'!H4</f>
        <v>558300.29886424402</v>
      </c>
      <c r="I20" s="346">
        <f>I7/(1+Assumption_Nursery!$C76)^'RCP 4.5_Nursery'!I4</f>
        <v>601603.98998661374</v>
      </c>
      <c r="J20" s="346">
        <f>J7/(1+Assumption_Nursery!$C76)^'RCP 4.5_Nursery'!J4</f>
        <v>578901.95262862835</v>
      </c>
      <c r="K20" s="346">
        <f>K7/(1+Assumption_Nursery!$C76)^'RCP 4.5_Nursery'!K4</f>
        <v>497451.54016161547</v>
      </c>
      <c r="L20" s="346">
        <f>L7/(1+Assumption_Nursery!$C76)^'RCP 4.5_Nursery'!L4</f>
        <v>536035.59230582498</v>
      </c>
      <c r="M20" s="346">
        <f>M7/(1+Assumption_Nursery!$C76)^'RCP 4.5_Nursery'!M4</f>
        <v>515807.83410560497</v>
      </c>
      <c r="N20" s="346">
        <f>N7/(1+Assumption_Nursery!$C76)^'RCP 4.5_Nursery'!N4</f>
        <v>443234.64506927493</v>
      </c>
      <c r="O20" s="346">
        <f>O7/(1+Assumption_Nursery!$C76)^'RCP 4.5_Nursery'!O4</f>
        <v>477613.44838329602</v>
      </c>
      <c r="P20" s="346">
        <f>P7/(1+Assumption_Nursery!$C76)^'RCP 4.5_Nursery'!P4</f>
        <v>459590.29938769998</v>
      </c>
      <c r="Q20" s="346">
        <f>Q7/(1+Assumption_Nursery!$C76)^'RCP 4.5_Nursery'!Q4</f>
        <v>394926.81141535868</v>
      </c>
      <c r="R20" s="346">
        <f>R7/(1+Assumption_Nursery!$C76)^'RCP 4.5_Nursery'!R4</f>
        <v>425558.69302506495</v>
      </c>
      <c r="S20" s="346">
        <f>S7/(1+Assumption_Nursery!$C76)^'RCP 4.5_Nursery'!S4</f>
        <v>409499.87442034553</v>
      </c>
      <c r="T20" s="346">
        <f>T7/(1+Assumption_Nursery!$C76)^'RCP 4.5_Nursery'!T4</f>
        <v>351884.01473067538</v>
      </c>
      <c r="U20" s="346">
        <f>U7/(1+Assumption_Nursery!$C76)^'RCP 4.5_Nursery'!U4</f>
        <v>379177.34900936933</v>
      </c>
      <c r="V20" s="346">
        <f>V7/(1+Assumption_Nursery!$C76)^'RCP 4.5_Nursery'!V4</f>
        <v>364868.76980146865</v>
      </c>
      <c r="W20" s="346">
        <f>W7/(1+Assumption_Nursery!$C76)^'RCP 4.5_Nursery'!W4</f>
        <v>250825.93785763442</v>
      </c>
      <c r="X20" s="346">
        <f>X7/(1+Assumption_Nursery!$C76)^'RCP 4.5_Nursery'!X4</f>
        <v>168925.53760299389</v>
      </c>
      <c r="Y20" s="346">
        <f>Y7/(1+Assumption_Nursery!$C76)^'RCP 4.5_Nursery'!Y4</f>
        <v>65020.395605680649</v>
      </c>
      <c r="Z20" s="346">
        <f>Z7/(1+Assumption_Nursery!$C76)^'RCP 4.5_Nursery'!Z4</f>
        <v>0</v>
      </c>
    </row>
    <row r="21" spans="1:26" s="12" customFormat="1" x14ac:dyDescent="0.25">
      <c r="A21" s="10" t="s">
        <v>320</v>
      </c>
      <c r="B21" s="346">
        <f>B16/(1+Assumption_Nursery!$C76)^'RCP 4.5_Nursery'!B4</f>
        <v>0</v>
      </c>
      <c r="C21" s="346">
        <f>C16/(1+Assumption_Nursery!$C76)^'RCP 4.5_Nursery'!C4</f>
        <v>236622.64150943395</v>
      </c>
      <c r="D21" s="346">
        <f>D16/(1+Assumption_Nursery!$C76)^'RCP 4.5_Nursery'!D4</f>
        <v>492800.37379850476</v>
      </c>
      <c r="E21" s="346">
        <f>E16/(1+Assumption_Nursery!$C76)^'RCP 4.5_Nursery'!E4</f>
        <v>689745.61886658089</v>
      </c>
      <c r="F21" s="346">
        <f>F16/(1+Assumption_Nursery!$C76)^'RCP 4.5_Nursery'!F4</f>
        <v>762728.24978920782</v>
      </c>
      <c r="G21" s="346">
        <f>G16/(1+Assumption_Nursery!$C76)^'RCP 4.5_Nursery'!G4</f>
        <v>665591.90425759181</v>
      </c>
      <c r="H21" s="346">
        <f>H16/(1+Assumption_Nursery!$C76)^'RCP 4.5_Nursery'!H4</f>
        <v>630184.3936416998</v>
      </c>
      <c r="I21" s="346">
        <f>I16/(1+Assumption_Nursery!$C76)^'RCP 4.5_Nursery'!I4</f>
        <v>595324.82709076372</v>
      </c>
      <c r="J21" s="346">
        <f>J16/(1+Assumption_Nursery!$C76)^'RCP 4.5_Nursery'!J4</f>
        <v>563039.80443434126</v>
      </c>
      <c r="K21" s="346">
        <f>K16/(1+Assumption_Nursery!$C76)^'RCP 4.5_Nursery'!K4</f>
        <v>533113.05089907313</v>
      </c>
      <c r="L21" s="346">
        <f>L16/(1+Assumption_Nursery!$C76)^'RCP 4.5_Nursery'!L4</f>
        <v>503655.69784497248</v>
      </c>
      <c r="M21" s="346">
        <f>M16/(1+Assumption_Nursery!$C76)^'RCP 4.5_Nursery'!M4</f>
        <v>476368.87718687818</v>
      </c>
      <c r="N21" s="346">
        <f>N16/(1+Assumption_Nursery!$C76)^'RCP 4.5_Nursery'!N4</f>
        <v>451070.58084628795</v>
      </c>
      <c r="O21" s="346">
        <f>O16/(1+Assumption_Nursery!$C76)^'RCP 4.5_Nursery'!O4</f>
        <v>426174.47847444413</v>
      </c>
      <c r="P21" s="346">
        <f>P16/(1+Assumption_Nursery!$C76)^'RCP 4.5_Nursery'!P4</f>
        <v>403108.49227373977</v>
      </c>
      <c r="Q21" s="346">
        <f>Q16/(1+Assumption_Nursery!$C76)^'RCP 4.5_Nursery'!Q4</f>
        <v>381719.44176514522</v>
      </c>
      <c r="R21" s="346">
        <f>R16/(1+Assumption_Nursery!$C76)^'RCP 4.5_Nursery'!R4</f>
        <v>360675.06753394526</v>
      </c>
      <c r="S21" s="346">
        <f>S16/(1+Assumption_Nursery!$C76)^'RCP 4.5_Nursery'!S4</f>
        <v>341173.95104566892</v>
      </c>
      <c r="T21" s="346">
        <f>T16/(1+Assumption_Nursery!$C76)^'RCP 4.5_Nursery'!T4</f>
        <v>323087.16501089366</v>
      </c>
      <c r="U21" s="346">
        <f>U16/(1+Assumption_Nursery!$C76)^'RCP 4.5_Nursery'!U4</f>
        <v>305295.81954115484</v>
      </c>
      <c r="V21" s="346">
        <f>V16/(1+Assumption_Nursery!$C76)^'RCP 4.5_Nursery'!V4</f>
        <v>288805.98166624666</v>
      </c>
      <c r="W21" s="346">
        <f>W16/(1+Assumption_Nursery!$C76)^'RCP 4.5_Nursery'!W4</f>
        <v>218807.30393130032</v>
      </c>
      <c r="X21" s="346">
        <f>X16/(1+Assumption_Nursery!$C76)^'RCP 4.5_Nursery'!X4</f>
        <v>129232.78196901178</v>
      </c>
      <c r="Y21" s="346">
        <f>Y16/(1+Assumption_Nursery!$C76)^'RCP 4.5_Nursery'!Y4</f>
        <v>48903.950080777089</v>
      </c>
      <c r="Z21" s="346">
        <f>Z16/(1+Assumption_Nursery!$C76)^'RCP 4.5_Nursery'!Z4</f>
        <v>0</v>
      </c>
    </row>
    <row r="22" spans="1:26" x14ac:dyDescent="0.25">
      <c r="B22" s="32"/>
      <c r="C22" s="32"/>
      <c r="D22" s="32"/>
      <c r="E22" s="32"/>
      <c r="F22" s="32"/>
      <c r="G22" s="32"/>
      <c r="H22" s="32"/>
      <c r="I22" s="32"/>
      <c r="J22" s="32"/>
      <c r="K22" s="32"/>
      <c r="L22" s="32"/>
    </row>
    <row r="23" spans="1:26" s="12" customFormat="1" x14ac:dyDescent="0.25">
      <c r="A23" s="25" t="s">
        <v>318</v>
      </c>
      <c r="B23" s="35">
        <f>NPV(Assumption_Hatchery!C76,C18:Z18)+B18</f>
        <v>-5672.855341759614</v>
      </c>
      <c r="C23" s="40"/>
      <c r="D23" s="40"/>
      <c r="E23" s="40"/>
      <c r="F23" s="40"/>
      <c r="G23" s="40"/>
      <c r="H23" s="40"/>
      <c r="I23" s="40"/>
      <c r="J23" s="40"/>
      <c r="K23" s="40"/>
      <c r="L23" s="40"/>
    </row>
    <row r="25" spans="1:26" s="12" customFormat="1" x14ac:dyDescent="0.25">
      <c r="A25" s="25" t="s">
        <v>238</v>
      </c>
      <c r="B25" s="36">
        <f>IRR(B18:Z18)</f>
        <v>5.9250638034703762E-2</v>
      </c>
      <c r="C25" s="4"/>
      <c r="D25" s="4"/>
      <c r="E25" s="4"/>
      <c r="F25" s="4"/>
      <c r="G25" s="4"/>
      <c r="H25" s="4"/>
      <c r="I25" s="4"/>
      <c r="J25" s="4"/>
      <c r="K25" s="4"/>
      <c r="L25" s="4"/>
    </row>
    <row r="28" spans="1:26" s="1" customFormat="1" x14ac:dyDescent="0.25">
      <c r="A28" s="24"/>
      <c r="B28" s="42"/>
      <c r="C28" s="42"/>
      <c r="D28" s="42"/>
      <c r="E28" s="42"/>
      <c r="F28" s="42"/>
      <c r="G28" s="42"/>
      <c r="H28" s="42"/>
      <c r="I28" s="42"/>
      <c r="J28" s="42"/>
      <c r="K28" s="42"/>
      <c r="L28" s="42"/>
    </row>
    <row r="30" spans="1:26" ht="38.25" customHeight="1" x14ac:dyDescent="0.25">
      <c r="A30" s="11" t="s">
        <v>332</v>
      </c>
      <c r="B30" s="30"/>
      <c r="C30" s="69"/>
      <c r="D30" s="70"/>
      <c r="E30" s="30"/>
      <c r="F30" s="116" t="s">
        <v>90</v>
      </c>
      <c r="G30" s="30"/>
      <c r="H30" s="30"/>
      <c r="I30" s="30"/>
      <c r="J30" s="30"/>
      <c r="K30" s="30"/>
      <c r="L30" s="30"/>
      <c r="M30" s="11"/>
    </row>
    <row r="31" spans="1:26" ht="38.25" customHeight="1" x14ac:dyDescent="0.25">
      <c r="A31" s="11"/>
      <c r="B31" s="30"/>
      <c r="C31" s="69"/>
      <c r="D31" s="70"/>
      <c r="E31" s="30"/>
      <c r="F31" s="116"/>
      <c r="G31" s="30"/>
      <c r="H31" s="30"/>
      <c r="I31" s="30"/>
      <c r="J31" s="30"/>
      <c r="K31" s="30"/>
      <c r="L31" s="30"/>
      <c r="M31" s="11"/>
    </row>
    <row r="32" spans="1:26" x14ac:dyDescent="0.25">
      <c r="A32" s="10" t="s">
        <v>19</v>
      </c>
      <c r="B32" s="26">
        <v>0</v>
      </c>
      <c r="C32" s="26">
        <v>1</v>
      </c>
      <c r="D32" s="26">
        <v>2</v>
      </c>
      <c r="E32" s="26">
        <v>3</v>
      </c>
      <c r="F32" s="26">
        <v>4</v>
      </c>
      <c r="G32" s="26">
        <v>5</v>
      </c>
      <c r="H32" s="26">
        <v>6</v>
      </c>
      <c r="I32" s="26">
        <v>7</v>
      </c>
      <c r="J32" s="26">
        <v>8</v>
      </c>
      <c r="K32" s="26">
        <v>9</v>
      </c>
      <c r="L32" s="26">
        <v>10</v>
      </c>
      <c r="M32" s="26">
        <v>11</v>
      </c>
      <c r="N32" s="26">
        <v>12</v>
      </c>
      <c r="O32" s="26">
        <v>13</v>
      </c>
      <c r="P32" s="26">
        <v>14</v>
      </c>
      <c r="Q32" s="26">
        <v>15</v>
      </c>
      <c r="R32" s="26">
        <v>16</v>
      </c>
      <c r="S32" s="26">
        <v>17</v>
      </c>
      <c r="T32" s="26">
        <v>18</v>
      </c>
      <c r="U32" s="26">
        <v>19</v>
      </c>
      <c r="V32" s="26">
        <v>20</v>
      </c>
      <c r="W32" s="26">
        <v>21</v>
      </c>
      <c r="X32" s="26">
        <v>22</v>
      </c>
      <c r="Y32" s="26">
        <v>23</v>
      </c>
      <c r="Z32" s="26">
        <v>24</v>
      </c>
    </row>
    <row r="33" spans="1:26" x14ac:dyDescent="0.25">
      <c r="A33" s="23" t="s">
        <v>3</v>
      </c>
    </row>
    <row r="34" spans="1:26" x14ac:dyDescent="0.25">
      <c r="A34" s="10" t="str">
        <f t="shared" ref="A34:Z34" si="3">A6</f>
        <v>Small Crab Sale ($)</v>
      </c>
      <c r="B34" s="31">
        <f t="shared" si="3"/>
        <v>0</v>
      </c>
      <c r="C34" s="31">
        <f t="shared" si="3"/>
        <v>160650.00000000003</v>
      </c>
      <c r="D34" s="31">
        <f t="shared" si="3"/>
        <v>409657.50000000006</v>
      </c>
      <c r="E34" s="31">
        <f t="shared" si="3"/>
        <v>597025.00871999993</v>
      </c>
      <c r="F34" s="31">
        <f t="shared" si="3"/>
        <v>852415.32600000012</v>
      </c>
      <c r="G34" s="31">
        <f t="shared" si="3"/>
        <v>869463.6325200001</v>
      </c>
      <c r="H34" s="31">
        <f t="shared" si="3"/>
        <v>791959.64431716723</v>
      </c>
      <c r="I34" s="31">
        <f t="shared" si="3"/>
        <v>904589.96327380801</v>
      </c>
      <c r="J34" s="31">
        <f t="shared" si="3"/>
        <v>922681.76253928419</v>
      </c>
      <c r="K34" s="31">
        <f t="shared" si="3"/>
        <v>840433.91022653237</v>
      </c>
      <c r="L34" s="31">
        <f t="shared" si="3"/>
        <v>959958.10574587132</v>
      </c>
      <c r="M34" s="31">
        <f t="shared" si="3"/>
        <v>979157.26786078862</v>
      </c>
      <c r="N34" s="31">
        <f t="shared" si="3"/>
        <v>891875.18900367804</v>
      </c>
      <c r="O34" s="31">
        <f t="shared" si="3"/>
        <v>1018715.2214823646</v>
      </c>
      <c r="P34" s="31">
        <f t="shared" si="3"/>
        <v>1039089.525912012</v>
      </c>
      <c r="Q34" s="31">
        <f t="shared" si="3"/>
        <v>946465.08557221491</v>
      </c>
      <c r="R34" s="31">
        <f t="shared" si="3"/>
        <v>1081068.7427588571</v>
      </c>
      <c r="S34" s="31">
        <f t="shared" si="3"/>
        <v>1102690.1176140343</v>
      </c>
      <c r="T34" s="31">
        <f t="shared" si="3"/>
        <v>1004396.3205299192</v>
      </c>
      <c r="U34" s="31">
        <f t="shared" si="3"/>
        <v>1147238.7983656412</v>
      </c>
      <c r="V34" s="31">
        <f t="shared" si="3"/>
        <v>1170183.5743329541</v>
      </c>
      <c r="W34" s="31">
        <f t="shared" si="3"/>
        <v>852698.72841353144</v>
      </c>
      <c r="X34" s="31">
        <f t="shared" si="3"/>
        <v>608729.49536800268</v>
      </c>
      <c r="Y34" s="31">
        <f t="shared" si="3"/>
        <v>248361.63411014507</v>
      </c>
      <c r="Z34" s="31">
        <f t="shared" si="3"/>
        <v>0</v>
      </c>
    </row>
    <row r="35" spans="1:26" s="12" customFormat="1" x14ac:dyDescent="0.25">
      <c r="A35" s="23" t="s">
        <v>53</v>
      </c>
      <c r="B35" s="38">
        <f t="shared" ref="B35:Z35" si="4">B7</f>
        <v>0</v>
      </c>
      <c r="C35" s="38">
        <f t="shared" si="4"/>
        <v>160650.00000000003</v>
      </c>
      <c r="D35" s="38">
        <f t="shared" si="4"/>
        <v>409657.50000000006</v>
      </c>
      <c r="E35" s="38">
        <f t="shared" si="4"/>
        <v>597025.00871999993</v>
      </c>
      <c r="F35" s="38">
        <f t="shared" si="4"/>
        <v>852415.32600000012</v>
      </c>
      <c r="G35" s="38">
        <f t="shared" si="4"/>
        <v>869463.6325200001</v>
      </c>
      <c r="H35" s="38">
        <f t="shared" si="4"/>
        <v>791959.64431716723</v>
      </c>
      <c r="I35" s="38">
        <f t="shared" si="4"/>
        <v>904589.96327380801</v>
      </c>
      <c r="J35" s="38">
        <f t="shared" si="4"/>
        <v>922681.76253928419</v>
      </c>
      <c r="K35" s="38">
        <f t="shared" si="4"/>
        <v>840433.91022653237</v>
      </c>
      <c r="L35" s="38">
        <f t="shared" si="4"/>
        <v>959958.10574587132</v>
      </c>
      <c r="M35" s="38">
        <f t="shared" si="4"/>
        <v>979157.26786078862</v>
      </c>
      <c r="N35" s="38">
        <f t="shared" si="4"/>
        <v>891875.18900367804</v>
      </c>
      <c r="O35" s="38">
        <f t="shared" si="4"/>
        <v>1018715.2214823646</v>
      </c>
      <c r="P35" s="38">
        <f t="shared" si="4"/>
        <v>1039089.525912012</v>
      </c>
      <c r="Q35" s="38">
        <f t="shared" si="4"/>
        <v>946465.08557221491</v>
      </c>
      <c r="R35" s="38">
        <f t="shared" si="4"/>
        <v>1081068.7427588571</v>
      </c>
      <c r="S35" s="38">
        <f t="shared" si="4"/>
        <v>1102690.1176140343</v>
      </c>
      <c r="T35" s="38">
        <f t="shared" si="4"/>
        <v>1004396.3205299192</v>
      </c>
      <c r="U35" s="38">
        <f t="shared" si="4"/>
        <v>1147238.7983656412</v>
      </c>
      <c r="V35" s="38">
        <f t="shared" si="4"/>
        <v>1170183.5743329541</v>
      </c>
      <c r="W35" s="38">
        <f t="shared" si="4"/>
        <v>852698.72841353144</v>
      </c>
      <c r="X35" s="38">
        <f t="shared" si="4"/>
        <v>608729.49536800268</v>
      </c>
      <c r="Y35" s="38">
        <f t="shared" si="4"/>
        <v>248361.63411014507</v>
      </c>
      <c r="Z35" s="38">
        <f t="shared" si="4"/>
        <v>0</v>
      </c>
    </row>
    <row r="36" spans="1:26" x14ac:dyDescent="0.25">
      <c r="A36" s="23"/>
      <c r="B36" s="41"/>
      <c r="C36" s="41"/>
      <c r="D36" s="41"/>
      <c r="E36" s="41"/>
      <c r="F36" s="41"/>
      <c r="G36" s="41"/>
      <c r="H36" s="41"/>
      <c r="I36" s="41"/>
      <c r="J36" s="41"/>
      <c r="K36" s="41"/>
    </row>
    <row r="37" spans="1:26" x14ac:dyDescent="0.25">
      <c r="A37" s="23" t="s">
        <v>20</v>
      </c>
    </row>
    <row r="38" spans="1:26" x14ac:dyDescent="0.25">
      <c r="A38" s="9" t="str">
        <f t="shared" ref="A38:Z38" si="5">A10</f>
        <v>Crab Nursery Establishment</v>
      </c>
      <c r="B38" s="33">
        <f t="shared" si="5"/>
        <v>0</v>
      </c>
      <c r="C38" s="33">
        <f t="shared" si="5"/>
        <v>40000</v>
      </c>
      <c r="D38" s="33">
        <f t="shared" si="5"/>
        <v>100000</v>
      </c>
      <c r="E38" s="33">
        <f t="shared" si="5"/>
        <v>160000</v>
      </c>
      <c r="F38" s="33">
        <f t="shared" si="5"/>
        <v>200000</v>
      </c>
      <c r="G38" s="33">
        <f t="shared" si="5"/>
        <v>200000</v>
      </c>
      <c r="H38" s="33">
        <f t="shared" si="5"/>
        <v>200000</v>
      </c>
      <c r="I38" s="33">
        <f t="shared" si="5"/>
        <v>200000</v>
      </c>
      <c r="J38" s="33">
        <f t="shared" si="5"/>
        <v>200000</v>
      </c>
      <c r="K38" s="33">
        <f t="shared" si="5"/>
        <v>200000</v>
      </c>
      <c r="L38" s="33">
        <f t="shared" si="5"/>
        <v>200000</v>
      </c>
      <c r="M38" s="33">
        <f t="shared" si="5"/>
        <v>200000</v>
      </c>
      <c r="N38" s="33">
        <f t="shared" si="5"/>
        <v>200000</v>
      </c>
      <c r="O38" s="33">
        <f t="shared" si="5"/>
        <v>200000</v>
      </c>
      <c r="P38" s="33">
        <f t="shared" si="5"/>
        <v>200000</v>
      </c>
      <c r="Q38" s="33">
        <f t="shared" si="5"/>
        <v>200000</v>
      </c>
      <c r="R38" s="33">
        <f t="shared" si="5"/>
        <v>200000</v>
      </c>
      <c r="S38" s="33">
        <f t="shared" si="5"/>
        <v>200000</v>
      </c>
      <c r="T38" s="33">
        <f t="shared" si="5"/>
        <v>200000</v>
      </c>
      <c r="U38" s="33">
        <f t="shared" si="5"/>
        <v>200000</v>
      </c>
      <c r="V38" s="33">
        <f t="shared" si="5"/>
        <v>200000</v>
      </c>
      <c r="W38" s="33">
        <f t="shared" si="5"/>
        <v>160000</v>
      </c>
      <c r="X38" s="33">
        <f t="shared" si="5"/>
        <v>100000</v>
      </c>
      <c r="Y38" s="33">
        <f t="shared" si="5"/>
        <v>40000</v>
      </c>
      <c r="Z38" s="33">
        <f t="shared" si="5"/>
        <v>0</v>
      </c>
    </row>
    <row r="39" spans="1:26" x14ac:dyDescent="0.25">
      <c r="A39" s="9" t="str">
        <f t="shared" ref="A39:Z39" si="6">A11</f>
        <v>Operation Cost (Crablet purchase)</v>
      </c>
      <c r="B39" s="33">
        <f t="shared" si="6"/>
        <v>0</v>
      </c>
      <c r="C39" s="33">
        <f t="shared" si="6"/>
        <v>85000.000000000015</v>
      </c>
      <c r="D39" s="33">
        <f t="shared" si="6"/>
        <v>212500.00000000003</v>
      </c>
      <c r="E39" s="33">
        <f t="shared" si="6"/>
        <v>340000.00000000006</v>
      </c>
      <c r="F39" s="33">
        <f t="shared" si="6"/>
        <v>425000.00000000006</v>
      </c>
      <c r="G39" s="33">
        <f t="shared" si="6"/>
        <v>425000.00000000006</v>
      </c>
      <c r="H39" s="33">
        <f t="shared" si="6"/>
        <v>425000.00000000006</v>
      </c>
      <c r="I39" s="33">
        <f t="shared" si="6"/>
        <v>425000.00000000006</v>
      </c>
      <c r="J39" s="33">
        <f t="shared" si="6"/>
        <v>425000.00000000006</v>
      </c>
      <c r="K39" s="33">
        <f t="shared" si="6"/>
        <v>425000.00000000006</v>
      </c>
      <c r="L39" s="33">
        <f t="shared" si="6"/>
        <v>425000.00000000006</v>
      </c>
      <c r="M39" s="33">
        <f t="shared" si="6"/>
        <v>425000.00000000006</v>
      </c>
      <c r="N39" s="33">
        <f t="shared" si="6"/>
        <v>425000.00000000006</v>
      </c>
      <c r="O39" s="33">
        <f t="shared" si="6"/>
        <v>425000.00000000006</v>
      </c>
      <c r="P39" s="33">
        <f t="shared" si="6"/>
        <v>425000.00000000006</v>
      </c>
      <c r="Q39" s="33">
        <f t="shared" si="6"/>
        <v>425000.00000000006</v>
      </c>
      <c r="R39" s="33">
        <f t="shared" si="6"/>
        <v>425000.00000000006</v>
      </c>
      <c r="S39" s="33">
        <f t="shared" si="6"/>
        <v>425000.00000000006</v>
      </c>
      <c r="T39" s="33">
        <f t="shared" si="6"/>
        <v>425000.00000000006</v>
      </c>
      <c r="U39" s="33">
        <f t="shared" si="6"/>
        <v>425000.00000000006</v>
      </c>
      <c r="V39" s="33">
        <f t="shared" si="6"/>
        <v>425000.00000000006</v>
      </c>
      <c r="W39" s="33">
        <f t="shared" si="6"/>
        <v>340000.00000000006</v>
      </c>
      <c r="X39" s="33">
        <f t="shared" si="6"/>
        <v>212500.00000000003</v>
      </c>
      <c r="Y39" s="33">
        <f t="shared" si="6"/>
        <v>85000.000000000015</v>
      </c>
      <c r="Z39" s="33">
        <f t="shared" si="6"/>
        <v>0</v>
      </c>
    </row>
    <row r="40" spans="1:26" x14ac:dyDescent="0.25">
      <c r="A40" s="9" t="str">
        <f t="shared" ref="A40:Z40" si="7">A12</f>
        <v>Feed</v>
      </c>
      <c r="B40" s="33">
        <f t="shared" si="7"/>
        <v>0</v>
      </c>
      <c r="C40" s="33">
        <f t="shared" si="7"/>
        <v>5000</v>
      </c>
      <c r="D40" s="33">
        <f t="shared" si="7"/>
        <v>12500</v>
      </c>
      <c r="E40" s="33">
        <f t="shared" si="7"/>
        <v>20807.499999999993</v>
      </c>
      <c r="F40" s="33">
        <f t="shared" si="7"/>
        <v>25000</v>
      </c>
      <c r="G40" s="33">
        <f t="shared" si="7"/>
        <v>25000</v>
      </c>
      <c r="H40" s="33">
        <f t="shared" si="7"/>
        <v>26009.374999999993</v>
      </c>
      <c r="I40" s="33">
        <f t="shared" si="7"/>
        <v>25000</v>
      </c>
      <c r="J40" s="33">
        <f t="shared" si="7"/>
        <v>25000</v>
      </c>
      <c r="K40" s="33">
        <f t="shared" si="7"/>
        <v>26009.374999999993</v>
      </c>
      <c r="L40" s="33">
        <f t="shared" si="7"/>
        <v>25000</v>
      </c>
      <c r="M40" s="33">
        <f t="shared" si="7"/>
        <v>25000</v>
      </c>
      <c r="N40" s="33">
        <f t="shared" si="7"/>
        <v>26009.374999999993</v>
      </c>
      <c r="O40" s="33">
        <f t="shared" si="7"/>
        <v>25000</v>
      </c>
      <c r="P40" s="33">
        <f t="shared" si="7"/>
        <v>25000</v>
      </c>
      <c r="Q40" s="33">
        <f t="shared" si="7"/>
        <v>26009.374999999993</v>
      </c>
      <c r="R40" s="33">
        <f t="shared" si="7"/>
        <v>25000</v>
      </c>
      <c r="S40" s="33">
        <f t="shared" si="7"/>
        <v>25000</v>
      </c>
      <c r="T40" s="33">
        <f t="shared" si="7"/>
        <v>26009.374999999993</v>
      </c>
      <c r="U40" s="33">
        <f t="shared" si="7"/>
        <v>25000</v>
      </c>
      <c r="V40" s="33">
        <f t="shared" si="7"/>
        <v>25000</v>
      </c>
      <c r="W40" s="33">
        <f t="shared" si="7"/>
        <v>20807.499999999993</v>
      </c>
      <c r="X40" s="33">
        <f t="shared" si="7"/>
        <v>12500</v>
      </c>
      <c r="Y40" s="33">
        <f t="shared" si="7"/>
        <v>5000</v>
      </c>
      <c r="Z40" s="33">
        <f t="shared" si="7"/>
        <v>0</v>
      </c>
    </row>
    <row r="41" spans="1:26" x14ac:dyDescent="0.25">
      <c r="A41" s="9" t="str">
        <f t="shared" ref="A41:Z41" si="8">A13</f>
        <v>Land rent</v>
      </c>
      <c r="B41" s="33">
        <f t="shared" si="8"/>
        <v>0</v>
      </c>
      <c r="C41" s="33">
        <f t="shared" si="8"/>
        <v>4000</v>
      </c>
      <c r="D41" s="33">
        <f t="shared" si="8"/>
        <v>10000</v>
      </c>
      <c r="E41" s="33">
        <f t="shared" si="8"/>
        <v>16000</v>
      </c>
      <c r="F41" s="33">
        <f t="shared" si="8"/>
        <v>20000</v>
      </c>
      <c r="G41" s="33">
        <f t="shared" si="8"/>
        <v>20000</v>
      </c>
      <c r="H41" s="33">
        <f t="shared" si="8"/>
        <v>20000</v>
      </c>
      <c r="I41" s="33">
        <f t="shared" si="8"/>
        <v>20000</v>
      </c>
      <c r="J41" s="33">
        <f t="shared" si="8"/>
        <v>20000</v>
      </c>
      <c r="K41" s="33">
        <f t="shared" si="8"/>
        <v>20000</v>
      </c>
      <c r="L41" s="33">
        <f t="shared" si="8"/>
        <v>20000</v>
      </c>
      <c r="M41" s="33">
        <f t="shared" si="8"/>
        <v>20000</v>
      </c>
      <c r="N41" s="33">
        <f t="shared" si="8"/>
        <v>20000</v>
      </c>
      <c r="O41" s="33">
        <f t="shared" si="8"/>
        <v>20000</v>
      </c>
      <c r="P41" s="33">
        <f t="shared" si="8"/>
        <v>20000</v>
      </c>
      <c r="Q41" s="33">
        <f t="shared" si="8"/>
        <v>20000</v>
      </c>
      <c r="R41" s="33">
        <f t="shared" si="8"/>
        <v>20000</v>
      </c>
      <c r="S41" s="33">
        <f t="shared" si="8"/>
        <v>20000</v>
      </c>
      <c r="T41" s="33">
        <f t="shared" si="8"/>
        <v>20000</v>
      </c>
      <c r="U41" s="33">
        <f t="shared" si="8"/>
        <v>20000</v>
      </c>
      <c r="V41" s="33">
        <f t="shared" si="8"/>
        <v>20000</v>
      </c>
      <c r="W41" s="33">
        <f t="shared" si="8"/>
        <v>16000</v>
      </c>
      <c r="X41" s="33">
        <f t="shared" si="8"/>
        <v>10000</v>
      </c>
      <c r="Y41" s="33">
        <f t="shared" si="8"/>
        <v>4000</v>
      </c>
      <c r="Z41" s="33">
        <f t="shared" si="8"/>
        <v>0</v>
      </c>
    </row>
    <row r="42" spans="1:26" x14ac:dyDescent="0.25">
      <c r="A42" s="9" t="str">
        <f t="shared" ref="A42:Z42" si="9">A14</f>
        <v>Labor</v>
      </c>
      <c r="B42" s="33">
        <f t="shared" si="9"/>
        <v>0</v>
      </c>
      <c r="C42" s="33">
        <f t="shared" si="9"/>
        <v>42420</v>
      </c>
      <c r="D42" s="33">
        <f t="shared" si="9"/>
        <v>107110.5</v>
      </c>
      <c r="E42" s="33">
        <f t="shared" si="9"/>
        <v>173090.56799999997</v>
      </c>
      <c r="F42" s="33">
        <f t="shared" si="9"/>
        <v>218526.84210000001</v>
      </c>
      <c r="G42" s="33">
        <f t="shared" si="9"/>
        <v>220712.11052099997</v>
      </c>
      <c r="H42" s="33">
        <f t="shared" si="9"/>
        <v>222919.23162621004</v>
      </c>
      <c r="I42" s="33">
        <f t="shared" si="9"/>
        <v>225148.42394247209</v>
      </c>
      <c r="J42" s="33">
        <f t="shared" si="9"/>
        <v>227399.90818189684</v>
      </c>
      <c r="K42" s="33">
        <f t="shared" si="9"/>
        <v>229673.90726371581</v>
      </c>
      <c r="L42" s="33">
        <f t="shared" si="9"/>
        <v>231970.64633635298</v>
      </c>
      <c r="M42" s="33">
        <f t="shared" si="9"/>
        <v>234290.35279971649</v>
      </c>
      <c r="N42" s="33">
        <f t="shared" si="9"/>
        <v>236633.25632771364</v>
      </c>
      <c r="O42" s="33">
        <f t="shared" si="9"/>
        <v>238999.5888909908</v>
      </c>
      <c r="P42" s="33">
        <f t="shared" si="9"/>
        <v>241389.58477990073</v>
      </c>
      <c r="Q42" s="33">
        <f t="shared" si="9"/>
        <v>243803.4806276997</v>
      </c>
      <c r="R42" s="33">
        <f t="shared" si="9"/>
        <v>246241.51543397675</v>
      </c>
      <c r="S42" s="33">
        <f t="shared" si="9"/>
        <v>248703.93058831652</v>
      </c>
      <c r="T42" s="33">
        <f t="shared" si="9"/>
        <v>251190.96989419969</v>
      </c>
      <c r="U42" s="33">
        <f t="shared" si="9"/>
        <v>253702.87959314164</v>
      </c>
      <c r="V42" s="33">
        <f t="shared" si="9"/>
        <v>256239.9083890731</v>
      </c>
      <c r="W42" s="33">
        <f t="shared" si="9"/>
        <v>207041.84597837101</v>
      </c>
      <c r="X42" s="33">
        <f t="shared" si="9"/>
        <v>130695.16527384675</v>
      </c>
      <c r="Y42" s="33">
        <f t="shared" si="9"/>
        <v>52800.846770634074</v>
      </c>
      <c r="Z42" s="33">
        <f t="shared" si="9"/>
        <v>0</v>
      </c>
    </row>
    <row r="43" spans="1:26" s="50" customFormat="1" x14ac:dyDescent="0.25">
      <c r="A43" s="52" t="str">
        <f>A15</f>
        <v>Debt Service</v>
      </c>
      <c r="B43" s="49">
        <f>Assumption_Nursery!D53</f>
        <v>0</v>
      </c>
      <c r="C43" s="49">
        <f>Assumption_Nursery!E53</f>
        <v>24800</v>
      </c>
      <c r="D43" s="49">
        <f>Assumption_Nursery!F53</f>
        <v>37200</v>
      </c>
      <c r="E43" s="49">
        <f>Assumption_Nursery!G53</f>
        <v>37200</v>
      </c>
      <c r="F43" s="49">
        <f>Assumption_Nursery!H53</f>
        <v>24800</v>
      </c>
      <c r="G43" s="49">
        <f>Assumption_Nursery!I53</f>
        <v>0</v>
      </c>
      <c r="H43" s="49">
        <f>Assumption_Nursery!J53</f>
        <v>0</v>
      </c>
      <c r="I43" s="49">
        <f>Assumption_Nursery!K53</f>
        <v>0</v>
      </c>
      <c r="J43" s="49">
        <f>Assumption_Nursery!L53</f>
        <v>0</v>
      </c>
      <c r="K43" s="49">
        <f>Assumption_Nursery!M53</f>
        <v>0</v>
      </c>
      <c r="L43" s="49">
        <f>Assumption_Nursery!N53</f>
        <v>0</v>
      </c>
      <c r="M43" s="49">
        <f>Assumption_Nursery!O53</f>
        <v>0</v>
      </c>
      <c r="N43" s="49">
        <f>Assumption_Nursery!P53</f>
        <v>0</v>
      </c>
      <c r="O43" s="49">
        <f>Assumption_Nursery!Q53</f>
        <v>0</v>
      </c>
      <c r="P43" s="49">
        <f>Assumption_Nursery!R53</f>
        <v>0</v>
      </c>
      <c r="Q43" s="49">
        <f>Assumption_Nursery!S53</f>
        <v>0</v>
      </c>
      <c r="R43" s="49">
        <f>Assumption_Nursery!T53</f>
        <v>0</v>
      </c>
      <c r="S43" s="49">
        <f>Assumption_Nursery!U53</f>
        <v>0</v>
      </c>
      <c r="T43" s="49">
        <f>Assumption_Nursery!V53</f>
        <v>0</v>
      </c>
      <c r="U43" s="49">
        <f>Assumption_Nursery!W53</f>
        <v>0</v>
      </c>
      <c r="V43" s="49">
        <f>Assumption_Nursery!X53</f>
        <v>0</v>
      </c>
      <c r="W43" s="49">
        <f>Assumption_Nursery!Y53</f>
        <v>0</v>
      </c>
      <c r="X43" s="49">
        <f>Assumption_Nursery!Z53</f>
        <v>0</v>
      </c>
      <c r="Y43" s="49">
        <f>Assumption_Nursery!AA53</f>
        <v>0</v>
      </c>
      <c r="Z43" s="49">
        <f>Assumption_Nursery!AB53</f>
        <v>0</v>
      </c>
    </row>
    <row r="44" spans="1:26" x14ac:dyDescent="0.25">
      <c r="A44" s="117" t="s">
        <v>54</v>
      </c>
      <c r="B44" s="37">
        <f t="shared" ref="B44:Z44" si="10">SUM(B38:B43)</f>
        <v>0</v>
      </c>
      <c r="C44" s="37">
        <f t="shared" si="10"/>
        <v>201220</v>
      </c>
      <c r="D44" s="37">
        <f t="shared" si="10"/>
        <v>479310.5</v>
      </c>
      <c r="E44" s="37">
        <f t="shared" si="10"/>
        <v>747098.06799999997</v>
      </c>
      <c r="F44" s="37">
        <f t="shared" si="10"/>
        <v>913326.84210000001</v>
      </c>
      <c r="G44" s="37">
        <f t="shared" si="10"/>
        <v>890712.110521</v>
      </c>
      <c r="H44" s="37">
        <f t="shared" si="10"/>
        <v>893928.60662621004</v>
      </c>
      <c r="I44" s="37">
        <f t="shared" si="10"/>
        <v>895148.42394247209</v>
      </c>
      <c r="J44" s="37">
        <f t="shared" si="10"/>
        <v>897399.9081818969</v>
      </c>
      <c r="K44" s="37">
        <f t="shared" si="10"/>
        <v>900683.28226371575</v>
      </c>
      <c r="L44" s="37">
        <f t="shared" si="10"/>
        <v>901970.64633635292</v>
      </c>
      <c r="M44" s="37">
        <f t="shared" si="10"/>
        <v>904290.35279971652</v>
      </c>
      <c r="N44" s="37">
        <f t="shared" si="10"/>
        <v>907642.63132771361</v>
      </c>
      <c r="O44" s="37">
        <f t="shared" si="10"/>
        <v>908999.58889099082</v>
      </c>
      <c r="P44" s="37">
        <f t="shared" si="10"/>
        <v>911389.58477990073</v>
      </c>
      <c r="Q44" s="37">
        <f t="shared" si="10"/>
        <v>914812.85562769976</v>
      </c>
      <c r="R44" s="37">
        <f t="shared" si="10"/>
        <v>916241.51543397678</v>
      </c>
      <c r="S44" s="37">
        <f t="shared" si="10"/>
        <v>918703.93058831652</v>
      </c>
      <c r="T44" s="37">
        <f t="shared" si="10"/>
        <v>922200.34489419963</v>
      </c>
      <c r="U44" s="37">
        <f t="shared" si="10"/>
        <v>923702.87959314161</v>
      </c>
      <c r="V44" s="37">
        <f t="shared" si="10"/>
        <v>926239.9083890731</v>
      </c>
      <c r="W44" s="37">
        <f t="shared" si="10"/>
        <v>743849.34597837098</v>
      </c>
      <c r="X44" s="37">
        <f t="shared" si="10"/>
        <v>465695.16527384677</v>
      </c>
      <c r="Y44" s="37">
        <f t="shared" si="10"/>
        <v>186800.84677063406</v>
      </c>
      <c r="Z44" s="37">
        <f t="shared" si="10"/>
        <v>0</v>
      </c>
    </row>
    <row r="45" spans="1:26" x14ac:dyDescent="0.25">
      <c r="B45" s="32"/>
      <c r="C45" s="32"/>
      <c r="D45" s="32"/>
      <c r="E45" s="32"/>
      <c r="F45" s="32"/>
      <c r="G45" s="32"/>
      <c r="H45" s="32"/>
      <c r="I45" s="32"/>
      <c r="J45" s="32"/>
      <c r="K45" s="32"/>
      <c r="L45" s="32"/>
    </row>
    <row r="46" spans="1:26" x14ac:dyDescent="0.25">
      <c r="A46" s="23" t="s">
        <v>55</v>
      </c>
      <c r="B46" s="34">
        <f t="shared" ref="B46:Z46" si="11">B35-B44</f>
        <v>0</v>
      </c>
      <c r="C46" s="34">
        <f t="shared" si="11"/>
        <v>-40569.999999999971</v>
      </c>
      <c r="D46" s="34">
        <f t="shared" si="11"/>
        <v>-69652.999999999942</v>
      </c>
      <c r="E46" s="34">
        <f t="shared" si="11"/>
        <v>-150073.05928000004</v>
      </c>
      <c r="F46" s="34">
        <f t="shared" si="11"/>
        <v>-60911.516099999892</v>
      </c>
      <c r="G46" s="34">
        <f t="shared" si="11"/>
        <v>-21248.478000999894</v>
      </c>
      <c r="H46" s="34">
        <f t="shared" si="11"/>
        <v>-101968.96230904281</v>
      </c>
      <c r="I46" s="34">
        <f t="shared" si="11"/>
        <v>9441.5393313359236</v>
      </c>
      <c r="J46" s="34">
        <f t="shared" si="11"/>
        <v>25281.854357387288</v>
      </c>
      <c r="K46" s="34">
        <f t="shared" si="11"/>
        <v>-60249.372037183377</v>
      </c>
      <c r="L46" s="34">
        <f t="shared" si="11"/>
        <v>57987.4594095184</v>
      </c>
      <c r="M46" s="34">
        <f t="shared" si="11"/>
        <v>74866.915061072097</v>
      </c>
      <c r="N46" s="34">
        <f t="shared" si="11"/>
        <v>-15767.442324035568</v>
      </c>
      <c r="O46" s="34">
        <f t="shared" si="11"/>
        <v>109715.63259137375</v>
      </c>
      <c r="P46" s="34">
        <f t="shared" si="11"/>
        <v>127699.94113211124</v>
      </c>
      <c r="Q46" s="34">
        <f t="shared" si="11"/>
        <v>31652.229944515158</v>
      </c>
      <c r="R46" s="34">
        <f t="shared" si="11"/>
        <v>164827.22732488031</v>
      </c>
      <c r="S46" s="34">
        <f t="shared" si="11"/>
        <v>183986.18702571781</v>
      </c>
      <c r="T46" s="34">
        <f t="shared" si="11"/>
        <v>82195.975635719602</v>
      </c>
      <c r="U46" s="34">
        <f t="shared" si="11"/>
        <v>223535.91877249954</v>
      </c>
      <c r="V46" s="34">
        <f t="shared" si="11"/>
        <v>243943.66594388103</v>
      </c>
      <c r="W46" s="34">
        <f t="shared" si="11"/>
        <v>108849.38243516046</v>
      </c>
      <c r="X46" s="34">
        <f t="shared" si="11"/>
        <v>143034.33009415591</v>
      </c>
      <c r="Y46" s="34">
        <f t="shared" si="11"/>
        <v>61560.787339511007</v>
      </c>
      <c r="Z46" s="34">
        <f t="shared" si="11"/>
        <v>0</v>
      </c>
    </row>
    <row r="47" spans="1:26" x14ac:dyDescent="0.25">
      <c r="B47" s="32"/>
      <c r="C47" s="32"/>
      <c r="D47" s="32"/>
      <c r="E47" s="32"/>
      <c r="F47" s="32"/>
      <c r="G47" s="32"/>
      <c r="H47" s="32"/>
      <c r="I47" s="32"/>
      <c r="J47" s="32"/>
      <c r="K47" s="32"/>
      <c r="L47" s="32"/>
    </row>
    <row r="48" spans="1:26" s="12" customFormat="1" x14ac:dyDescent="0.25">
      <c r="A48" s="10" t="s">
        <v>319</v>
      </c>
      <c r="B48" s="346">
        <f>B35/(1+Assumption_Nursery!$C76)^'RCP 4.5_Nursery'!B32</f>
        <v>0</v>
      </c>
      <c r="C48" s="346">
        <f>C35/(1+Assumption_Nursery!$C76)^'RCP 4.5_Nursery'!C32</f>
        <v>151556.60377358494</v>
      </c>
      <c r="D48" s="346">
        <f>D35/(1+Assumption_Nursery!$C76)^'RCP 4.5_Nursery'!D32</f>
        <v>364593.71662513353</v>
      </c>
      <c r="E48" s="346">
        <f>E35/(1+Assumption_Nursery!$C76)^'RCP 4.5_Nursery'!E32</f>
        <v>501273.70977383998</v>
      </c>
      <c r="F48" s="346">
        <f>F35/(1+Assumption_Nursery!$C76)^'RCP 4.5_Nursery'!F32</f>
        <v>675192.77817157144</v>
      </c>
      <c r="G48" s="346">
        <f>G35/(1+Assumption_Nursery!$C76)^'RCP 4.5_Nursery'!G32</f>
        <v>649713.80541038001</v>
      </c>
      <c r="H48" s="346">
        <f>H35/(1+Assumption_Nursery!$C76)^'RCP 4.5_Nursery'!H32</f>
        <v>558300.29886424402</v>
      </c>
      <c r="I48" s="346">
        <f>I35/(1+Assumption_Nursery!$C76)^'RCP 4.5_Nursery'!I32</f>
        <v>601603.98998661374</v>
      </c>
      <c r="J48" s="346">
        <f>J35/(1+Assumption_Nursery!$C76)^'RCP 4.5_Nursery'!J32</f>
        <v>578901.95262862835</v>
      </c>
      <c r="K48" s="346">
        <f>K35/(1+Assumption_Nursery!$C76)^'RCP 4.5_Nursery'!K32</f>
        <v>497451.54016161547</v>
      </c>
      <c r="L48" s="346">
        <f>L35/(1+Assumption_Nursery!$C76)^'RCP 4.5_Nursery'!L32</f>
        <v>536035.59230582498</v>
      </c>
      <c r="M48" s="346">
        <f>M35/(1+Assumption_Nursery!$C76)^'RCP 4.5_Nursery'!M32</f>
        <v>515807.83410560497</v>
      </c>
      <c r="N48" s="346">
        <f>N35/(1+Assumption_Nursery!$C76)^'RCP 4.5_Nursery'!N32</f>
        <v>443234.64506927493</v>
      </c>
      <c r="O48" s="346">
        <f>O35/(1+Assumption_Nursery!$C76)^'RCP 4.5_Nursery'!O32</f>
        <v>477613.44838329602</v>
      </c>
      <c r="P48" s="346">
        <f>P35/(1+Assumption_Nursery!$C76)^'RCP 4.5_Nursery'!P32</f>
        <v>459590.29938769998</v>
      </c>
      <c r="Q48" s="346">
        <f>Q35/(1+Assumption_Nursery!$C76)^'RCP 4.5_Nursery'!Q32</f>
        <v>394926.81141535868</v>
      </c>
      <c r="R48" s="346">
        <f>R35/(1+Assumption_Nursery!$C76)^'RCP 4.5_Nursery'!R32</f>
        <v>425558.69302506495</v>
      </c>
      <c r="S48" s="346">
        <f>S35/(1+Assumption_Nursery!$C76)^'RCP 4.5_Nursery'!S32</f>
        <v>409499.87442034553</v>
      </c>
      <c r="T48" s="346">
        <f>T35/(1+Assumption_Nursery!$C76)^'RCP 4.5_Nursery'!T32</f>
        <v>351884.01473067538</v>
      </c>
      <c r="U48" s="346">
        <f>U35/(1+Assumption_Nursery!$C76)^'RCP 4.5_Nursery'!U32</f>
        <v>379177.34900936933</v>
      </c>
      <c r="V48" s="346">
        <f>V35/(1+Assumption_Nursery!$C76)^'RCP 4.5_Nursery'!V32</f>
        <v>364868.76980146865</v>
      </c>
      <c r="W48" s="346">
        <f>W35/(1+Assumption_Nursery!$C76)^'RCP 4.5_Nursery'!W32</f>
        <v>250825.93785763442</v>
      </c>
      <c r="X48" s="346">
        <f>X35/(1+Assumption_Nursery!$C76)^'RCP 4.5_Nursery'!X32</f>
        <v>168925.53760299389</v>
      </c>
      <c r="Y48" s="346">
        <f>Y35/(1+Assumption_Nursery!$C76)^'RCP 4.5_Nursery'!Y32</f>
        <v>65020.395605680649</v>
      </c>
      <c r="Z48" s="346">
        <f>Z35/(1+Assumption_Nursery!$C76)^'RCP 4.5_Nursery'!Z32</f>
        <v>0</v>
      </c>
    </row>
    <row r="49" spans="1:26" s="12" customFormat="1" x14ac:dyDescent="0.25">
      <c r="A49" s="10" t="s">
        <v>320</v>
      </c>
      <c r="B49" s="346">
        <f>B44/(1+Assumption_Nursery!$C76)^'RCP 4.5_Nursery'!B32</f>
        <v>0</v>
      </c>
      <c r="C49" s="346">
        <f>C44/(1+Assumption_Nursery!$C76)^'RCP 4.5_Nursery'!C32</f>
        <v>189830.18867924527</v>
      </c>
      <c r="D49" s="346">
        <f>D44/(1+Assumption_Nursery!$C76)^'RCP 4.5_Nursery'!D32</f>
        <v>426584.63866144529</v>
      </c>
      <c r="E49" s="346">
        <f>E44/(1+Assumption_Nursery!$C76)^'RCP 4.5_Nursery'!E32</f>
        <v>627277.94420897774</v>
      </c>
      <c r="F49" s="346">
        <f>F44/(1+Assumption_Nursery!$C76)^'RCP 4.5_Nursery'!F32</f>
        <v>723440.40409260208</v>
      </c>
      <c r="G49" s="346">
        <f>G44/(1+Assumption_Nursery!$C76)^'RCP 4.5_Nursery'!G32</f>
        <v>665591.90425759181</v>
      </c>
      <c r="H49" s="346">
        <f>H44/(1+Assumption_Nursery!$C76)^'RCP 4.5_Nursery'!H32</f>
        <v>630184.3936416998</v>
      </c>
      <c r="I49" s="346">
        <f>I44/(1+Assumption_Nursery!$C76)^'RCP 4.5_Nursery'!I32</f>
        <v>595324.82709076372</v>
      </c>
      <c r="J49" s="346">
        <f>J44/(1+Assumption_Nursery!$C76)^'RCP 4.5_Nursery'!J32</f>
        <v>563039.80443434126</v>
      </c>
      <c r="K49" s="346">
        <f>K44/(1+Assumption_Nursery!$C76)^'RCP 4.5_Nursery'!K32</f>
        <v>533113.05089907313</v>
      </c>
      <c r="L49" s="346">
        <f>L44/(1+Assumption_Nursery!$C76)^'RCP 4.5_Nursery'!L32</f>
        <v>503655.69784497248</v>
      </c>
      <c r="M49" s="346">
        <f>M44/(1+Assumption_Nursery!$C76)^'RCP 4.5_Nursery'!M32</f>
        <v>476368.87718687818</v>
      </c>
      <c r="N49" s="346">
        <f>N44/(1+Assumption_Nursery!$C76)^'RCP 4.5_Nursery'!N32</f>
        <v>451070.58084628795</v>
      </c>
      <c r="O49" s="346">
        <f>O44/(1+Assumption_Nursery!$C76)^'RCP 4.5_Nursery'!O32</f>
        <v>426174.47847444413</v>
      </c>
      <c r="P49" s="346">
        <f>P44/(1+Assumption_Nursery!$C76)^'RCP 4.5_Nursery'!P32</f>
        <v>403108.49227373977</v>
      </c>
      <c r="Q49" s="346">
        <f>Q44/(1+Assumption_Nursery!$C76)^'RCP 4.5_Nursery'!Q32</f>
        <v>381719.44176514522</v>
      </c>
      <c r="R49" s="346">
        <f>R44/(1+Assumption_Nursery!$C76)^'RCP 4.5_Nursery'!R32</f>
        <v>360675.06753394526</v>
      </c>
      <c r="S49" s="346">
        <f>S44/(1+Assumption_Nursery!$C76)^'RCP 4.5_Nursery'!S32</f>
        <v>341173.95104566892</v>
      </c>
      <c r="T49" s="346">
        <f>T44/(1+Assumption_Nursery!$C76)^'RCP 4.5_Nursery'!T32</f>
        <v>323087.16501089366</v>
      </c>
      <c r="U49" s="346">
        <f>U44/(1+Assumption_Nursery!$C76)^'RCP 4.5_Nursery'!U32</f>
        <v>305295.81954115484</v>
      </c>
      <c r="V49" s="346">
        <f>V44/(1+Assumption_Nursery!$C76)^'RCP 4.5_Nursery'!V32</f>
        <v>288805.98166624666</v>
      </c>
      <c r="W49" s="346">
        <f>W44/(1+Assumption_Nursery!$C76)^'RCP 4.5_Nursery'!W32</f>
        <v>218807.30393130032</v>
      </c>
      <c r="X49" s="346">
        <f>X44/(1+Assumption_Nursery!$C76)^'RCP 4.5_Nursery'!X32</f>
        <v>129232.78196901178</v>
      </c>
      <c r="Y49" s="346">
        <f>Y44/(1+Assumption_Nursery!$C76)^'RCP 4.5_Nursery'!Y32</f>
        <v>48903.950080777089</v>
      </c>
      <c r="Z49" s="346">
        <f>Z44/(1+Assumption_Nursery!$C76)^'RCP 4.5_Nursery'!Z32</f>
        <v>0</v>
      </c>
    </row>
    <row r="50" spans="1:26" x14ac:dyDescent="0.25">
      <c r="B50" s="32"/>
      <c r="C50" s="32"/>
      <c r="D50" s="32"/>
      <c r="E50" s="32"/>
      <c r="F50" s="32"/>
      <c r="G50" s="32"/>
      <c r="H50" s="32"/>
      <c r="I50" s="32"/>
      <c r="J50" s="32"/>
      <c r="K50" s="32"/>
      <c r="L50" s="32"/>
    </row>
    <row r="51" spans="1:26" s="12" customFormat="1" x14ac:dyDescent="0.25">
      <c r="A51" s="25" t="s">
        <v>318</v>
      </c>
      <c r="B51" s="35">
        <f>NPV(Assumption_Hatchery!C76,C46:Z46)+B46</f>
        <v>209090.85297969749</v>
      </c>
      <c r="C51" s="40"/>
      <c r="D51" s="40"/>
      <c r="E51" s="40"/>
      <c r="F51" s="40"/>
      <c r="G51" s="40"/>
      <c r="H51" s="40"/>
      <c r="I51" s="40"/>
      <c r="J51" s="40"/>
      <c r="K51" s="40"/>
      <c r="L51" s="40"/>
    </row>
    <row r="53" spans="1:26" s="12" customFormat="1" x14ac:dyDescent="0.25">
      <c r="A53" s="25" t="s">
        <v>238</v>
      </c>
      <c r="B53" s="36">
        <f>IRR(B46:Z46)</f>
        <v>9.6585087839360151E-2</v>
      </c>
      <c r="C53" s="4"/>
      <c r="D53" s="4"/>
      <c r="E53" s="4"/>
      <c r="F53" s="4"/>
      <c r="G53" s="4"/>
      <c r="H53" s="4"/>
      <c r="I53" s="4"/>
      <c r="J53" s="4"/>
      <c r="K53" s="4"/>
      <c r="L53" s="4"/>
    </row>
    <row r="55" spans="1:26" ht="38.25" customHeight="1" x14ac:dyDescent="0.25">
      <c r="A55" s="11"/>
      <c r="B55" s="30"/>
      <c r="C55" s="69"/>
      <c r="D55" s="70"/>
      <c r="E55" s="30"/>
      <c r="F55" s="116"/>
      <c r="G55" s="30"/>
      <c r="H55" s="30"/>
      <c r="I55" s="30"/>
      <c r="J55" s="30"/>
      <c r="K55" s="30"/>
      <c r="L55" s="30"/>
      <c r="M55" s="11"/>
    </row>
    <row r="56" spans="1:26" s="1" customFormat="1" x14ac:dyDescent="0.25">
      <c r="A56" s="24"/>
      <c r="B56" s="42"/>
      <c r="C56" s="42"/>
      <c r="D56" s="42"/>
      <c r="E56" s="42"/>
      <c r="F56" s="42"/>
      <c r="G56" s="42"/>
      <c r="H56" s="42"/>
      <c r="I56" s="42"/>
      <c r="J56" s="42"/>
      <c r="K56" s="42"/>
      <c r="L56" s="42"/>
    </row>
    <row r="58" spans="1:26" ht="26.25" x14ac:dyDescent="0.25">
      <c r="F58" s="19" t="s">
        <v>92</v>
      </c>
    </row>
    <row r="59" spans="1:26" ht="38.25" customHeight="1" x14ac:dyDescent="0.25">
      <c r="A59" s="11" t="s">
        <v>332</v>
      </c>
      <c r="B59" s="30"/>
      <c r="C59" s="69"/>
      <c r="D59" s="70"/>
      <c r="E59" s="30"/>
      <c r="F59" s="30"/>
      <c r="G59" s="30"/>
      <c r="H59" s="30"/>
      <c r="I59" s="30"/>
      <c r="J59" s="30"/>
      <c r="K59" s="30"/>
      <c r="L59" s="30"/>
      <c r="M59" s="11"/>
    </row>
    <row r="61" spans="1:26" x14ac:dyDescent="0.25">
      <c r="A61" s="10" t="s">
        <v>19</v>
      </c>
      <c r="B61" s="26">
        <v>0</v>
      </c>
      <c r="C61" s="26">
        <v>1</v>
      </c>
      <c r="D61" s="26">
        <v>2</v>
      </c>
      <c r="E61" s="26">
        <v>3</v>
      </c>
      <c r="F61" s="26">
        <v>4</v>
      </c>
      <c r="G61" s="26">
        <v>5</v>
      </c>
      <c r="H61" s="26">
        <v>6</v>
      </c>
      <c r="I61" s="26">
        <v>7</v>
      </c>
      <c r="J61" s="26">
        <v>8</v>
      </c>
      <c r="K61" s="26">
        <v>9</v>
      </c>
      <c r="L61" s="26">
        <v>10</v>
      </c>
      <c r="M61" s="26">
        <v>11</v>
      </c>
      <c r="N61" s="26">
        <v>12</v>
      </c>
      <c r="O61" s="26">
        <v>13</v>
      </c>
      <c r="P61" s="26">
        <v>14</v>
      </c>
      <c r="Q61" s="26">
        <v>15</v>
      </c>
      <c r="R61" s="26">
        <v>16</v>
      </c>
      <c r="S61" s="26">
        <v>17</v>
      </c>
      <c r="T61" s="26">
        <v>18</v>
      </c>
      <c r="U61" s="26">
        <v>19</v>
      </c>
      <c r="V61" s="26">
        <v>20</v>
      </c>
      <c r="W61" s="26">
        <v>21</v>
      </c>
      <c r="X61" s="26">
        <v>22</v>
      </c>
      <c r="Y61" s="26">
        <v>23</v>
      </c>
      <c r="Z61" s="26">
        <v>24</v>
      </c>
    </row>
    <row r="62" spans="1:26" x14ac:dyDescent="0.25">
      <c r="A62" s="23" t="s">
        <v>3</v>
      </c>
    </row>
    <row r="63" spans="1:26" x14ac:dyDescent="0.25">
      <c r="A63" s="10" t="str">
        <f>A34</f>
        <v>Small Crab Sale ($)</v>
      </c>
      <c r="B63" s="31">
        <f t="shared" ref="B63:Z63" si="12">B6</f>
        <v>0</v>
      </c>
      <c r="C63" s="31">
        <f t="shared" si="12"/>
        <v>160650.00000000003</v>
      </c>
      <c r="D63" s="31">
        <f t="shared" si="12"/>
        <v>409657.50000000006</v>
      </c>
      <c r="E63" s="31">
        <f t="shared" si="12"/>
        <v>597025.00871999993</v>
      </c>
      <c r="F63" s="31">
        <f t="shared" si="12"/>
        <v>852415.32600000012</v>
      </c>
      <c r="G63" s="31">
        <f t="shared" si="12"/>
        <v>869463.6325200001</v>
      </c>
      <c r="H63" s="31">
        <f t="shared" si="12"/>
        <v>791959.64431716723</v>
      </c>
      <c r="I63" s="31">
        <f t="shared" si="12"/>
        <v>904589.96327380801</v>
      </c>
      <c r="J63" s="31">
        <f t="shared" si="12"/>
        <v>922681.76253928419</v>
      </c>
      <c r="K63" s="31">
        <f t="shared" si="12"/>
        <v>840433.91022653237</v>
      </c>
      <c r="L63" s="31">
        <f t="shared" si="12"/>
        <v>959958.10574587132</v>
      </c>
      <c r="M63" s="31">
        <f t="shared" si="12"/>
        <v>979157.26786078862</v>
      </c>
      <c r="N63" s="31">
        <f t="shared" si="12"/>
        <v>891875.18900367804</v>
      </c>
      <c r="O63" s="31">
        <f t="shared" si="12"/>
        <v>1018715.2214823646</v>
      </c>
      <c r="P63" s="31">
        <f t="shared" si="12"/>
        <v>1039089.525912012</v>
      </c>
      <c r="Q63" s="31">
        <f t="shared" si="12"/>
        <v>946465.08557221491</v>
      </c>
      <c r="R63" s="31">
        <f t="shared" si="12"/>
        <v>1081068.7427588571</v>
      </c>
      <c r="S63" s="31">
        <f t="shared" si="12"/>
        <v>1102690.1176140343</v>
      </c>
      <c r="T63" s="31">
        <f t="shared" si="12"/>
        <v>1004396.3205299192</v>
      </c>
      <c r="U63" s="31">
        <f t="shared" si="12"/>
        <v>1147238.7983656412</v>
      </c>
      <c r="V63" s="31">
        <f t="shared" si="12"/>
        <v>1170183.5743329541</v>
      </c>
      <c r="W63" s="31">
        <f t="shared" si="12"/>
        <v>852698.72841353144</v>
      </c>
      <c r="X63" s="31">
        <f t="shared" si="12"/>
        <v>608729.49536800268</v>
      </c>
      <c r="Y63" s="31">
        <f t="shared" si="12"/>
        <v>248361.63411014507</v>
      </c>
      <c r="Z63" s="31">
        <f t="shared" si="12"/>
        <v>0</v>
      </c>
    </row>
    <row r="64" spans="1:26" s="12" customFormat="1" x14ac:dyDescent="0.25">
      <c r="A64" s="23" t="s">
        <v>53</v>
      </c>
      <c r="B64" s="38">
        <f t="shared" ref="B64:Z64" si="13">B7</f>
        <v>0</v>
      </c>
      <c r="C64" s="38">
        <f t="shared" si="13"/>
        <v>160650.00000000003</v>
      </c>
      <c r="D64" s="38">
        <f t="shared" si="13"/>
        <v>409657.50000000006</v>
      </c>
      <c r="E64" s="38">
        <f t="shared" si="13"/>
        <v>597025.00871999993</v>
      </c>
      <c r="F64" s="38">
        <f t="shared" si="13"/>
        <v>852415.32600000012</v>
      </c>
      <c r="G64" s="38">
        <f t="shared" si="13"/>
        <v>869463.6325200001</v>
      </c>
      <c r="H64" s="38">
        <f t="shared" si="13"/>
        <v>791959.64431716723</v>
      </c>
      <c r="I64" s="38">
        <f t="shared" si="13"/>
        <v>904589.96327380801</v>
      </c>
      <c r="J64" s="38">
        <f t="shared" si="13"/>
        <v>922681.76253928419</v>
      </c>
      <c r="K64" s="38">
        <f t="shared" si="13"/>
        <v>840433.91022653237</v>
      </c>
      <c r="L64" s="38">
        <f t="shared" si="13"/>
        <v>959958.10574587132</v>
      </c>
      <c r="M64" s="38">
        <f t="shared" si="13"/>
        <v>979157.26786078862</v>
      </c>
      <c r="N64" s="38">
        <f t="shared" si="13"/>
        <v>891875.18900367804</v>
      </c>
      <c r="O64" s="38">
        <f t="shared" si="13"/>
        <v>1018715.2214823646</v>
      </c>
      <c r="P64" s="38">
        <f t="shared" si="13"/>
        <v>1039089.525912012</v>
      </c>
      <c r="Q64" s="38">
        <f t="shared" si="13"/>
        <v>946465.08557221491</v>
      </c>
      <c r="R64" s="38">
        <f t="shared" si="13"/>
        <v>1081068.7427588571</v>
      </c>
      <c r="S64" s="38">
        <f t="shared" si="13"/>
        <v>1102690.1176140343</v>
      </c>
      <c r="T64" s="38">
        <f t="shared" si="13"/>
        <v>1004396.3205299192</v>
      </c>
      <c r="U64" s="38">
        <f t="shared" si="13"/>
        <v>1147238.7983656412</v>
      </c>
      <c r="V64" s="38">
        <f t="shared" si="13"/>
        <v>1170183.5743329541</v>
      </c>
      <c r="W64" s="38">
        <f t="shared" si="13"/>
        <v>852698.72841353144</v>
      </c>
      <c r="X64" s="38">
        <f t="shared" si="13"/>
        <v>608729.49536800268</v>
      </c>
      <c r="Y64" s="38">
        <f t="shared" si="13"/>
        <v>248361.63411014507</v>
      </c>
      <c r="Z64" s="38">
        <f t="shared" si="13"/>
        <v>0</v>
      </c>
    </row>
    <row r="65" spans="1:26" x14ac:dyDescent="0.25">
      <c r="A65" s="23"/>
      <c r="B65" s="41"/>
      <c r="C65" s="41"/>
      <c r="D65" s="41"/>
      <c r="E65" s="41"/>
      <c r="F65" s="41"/>
      <c r="G65" s="41"/>
      <c r="H65" s="41"/>
      <c r="I65" s="41"/>
      <c r="J65" s="41"/>
      <c r="K65" s="41"/>
    </row>
    <row r="66" spans="1:26" x14ac:dyDescent="0.25">
      <c r="A66" s="23" t="s">
        <v>20</v>
      </c>
    </row>
    <row r="67" spans="1:26" x14ac:dyDescent="0.25">
      <c r="A67" s="9" t="str">
        <f t="shared" ref="A67:Z67" si="14">A10</f>
        <v>Crab Nursery Establishment</v>
      </c>
      <c r="B67" s="33">
        <f t="shared" si="14"/>
        <v>0</v>
      </c>
      <c r="C67" s="33">
        <f t="shared" si="14"/>
        <v>40000</v>
      </c>
      <c r="D67" s="33">
        <f t="shared" si="14"/>
        <v>100000</v>
      </c>
      <c r="E67" s="33">
        <f t="shared" si="14"/>
        <v>160000</v>
      </c>
      <c r="F67" s="33">
        <f t="shared" si="14"/>
        <v>200000</v>
      </c>
      <c r="G67" s="33">
        <f t="shared" si="14"/>
        <v>200000</v>
      </c>
      <c r="H67" s="33">
        <f t="shared" si="14"/>
        <v>200000</v>
      </c>
      <c r="I67" s="33">
        <f t="shared" si="14"/>
        <v>200000</v>
      </c>
      <c r="J67" s="33">
        <f t="shared" si="14"/>
        <v>200000</v>
      </c>
      <c r="K67" s="33">
        <f t="shared" si="14"/>
        <v>200000</v>
      </c>
      <c r="L67" s="33">
        <f t="shared" si="14"/>
        <v>200000</v>
      </c>
      <c r="M67" s="33">
        <f t="shared" si="14"/>
        <v>200000</v>
      </c>
      <c r="N67" s="33">
        <f t="shared" si="14"/>
        <v>200000</v>
      </c>
      <c r="O67" s="33">
        <f t="shared" si="14"/>
        <v>200000</v>
      </c>
      <c r="P67" s="33">
        <f t="shared" si="14"/>
        <v>200000</v>
      </c>
      <c r="Q67" s="33">
        <f t="shared" si="14"/>
        <v>200000</v>
      </c>
      <c r="R67" s="33">
        <f t="shared" si="14"/>
        <v>200000</v>
      </c>
      <c r="S67" s="33">
        <f t="shared" si="14"/>
        <v>200000</v>
      </c>
      <c r="T67" s="33">
        <f t="shared" si="14"/>
        <v>200000</v>
      </c>
      <c r="U67" s="33">
        <f t="shared" si="14"/>
        <v>200000</v>
      </c>
      <c r="V67" s="33">
        <f t="shared" si="14"/>
        <v>200000</v>
      </c>
      <c r="W67" s="33">
        <f t="shared" si="14"/>
        <v>160000</v>
      </c>
      <c r="X67" s="33">
        <f t="shared" si="14"/>
        <v>100000</v>
      </c>
      <c r="Y67" s="33">
        <f t="shared" si="14"/>
        <v>40000</v>
      </c>
      <c r="Z67" s="33">
        <f t="shared" si="14"/>
        <v>0</v>
      </c>
    </row>
    <row r="68" spans="1:26" x14ac:dyDescent="0.25">
      <c r="A68" s="9" t="str">
        <f t="shared" ref="A68:Z68" si="15">A11</f>
        <v>Operation Cost (Crablet purchase)</v>
      </c>
      <c r="B68" s="33">
        <f t="shared" si="15"/>
        <v>0</v>
      </c>
      <c r="C68" s="33">
        <f t="shared" si="15"/>
        <v>85000.000000000015</v>
      </c>
      <c r="D68" s="33">
        <f t="shared" si="15"/>
        <v>212500.00000000003</v>
      </c>
      <c r="E68" s="33">
        <f t="shared" si="15"/>
        <v>340000.00000000006</v>
      </c>
      <c r="F68" s="33">
        <f t="shared" si="15"/>
        <v>425000.00000000006</v>
      </c>
      <c r="G68" s="33">
        <f t="shared" si="15"/>
        <v>425000.00000000006</v>
      </c>
      <c r="H68" s="33">
        <f t="shared" si="15"/>
        <v>425000.00000000006</v>
      </c>
      <c r="I68" s="33">
        <f t="shared" si="15"/>
        <v>425000.00000000006</v>
      </c>
      <c r="J68" s="33">
        <f t="shared" si="15"/>
        <v>425000.00000000006</v>
      </c>
      <c r="K68" s="33">
        <f t="shared" si="15"/>
        <v>425000.00000000006</v>
      </c>
      <c r="L68" s="33">
        <f t="shared" si="15"/>
        <v>425000.00000000006</v>
      </c>
      <c r="M68" s="33">
        <f t="shared" si="15"/>
        <v>425000.00000000006</v>
      </c>
      <c r="N68" s="33">
        <f t="shared" si="15"/>
        <v>425000.00000000006</v>
      </c>
      <c r="O68" s="33">
        <f t="shared" si="15"/>
        <v>425000.00000000006</v>
      </c>
      <c r="P68" s="33">
        <f t="shared" si="15"/>
        <v>425000.00000000006</v>
      </c>
      <c r="Q68" s="33">
        <f t="shared" si="15"/>
        <v>425000.00000000006</v>
      </c>
      <c r="R68" s="33">
        <f t="shared" si="15"/>
        <v>425000.00000000006</v>
      </c>
      <c r="S68" s="33">
        <f t="shared" si="15"/>
        <v>425000.00000000006</v>
      </c>
      <c r="T68" s="33">
        <f t="shared" si="15"/>
        <v>425000.00000000006</v>
      </c>
      <c r="U68" s="33">
        <f t="shared" si="15"/>
        <v>425000.00000000006</v>
      </c>
      <c r="V68" s="33">
        <f t="shared" si="15"/>
        <v>425000.00000000006</v>
      </c>
      <c r="W68" s="33">
        <f t="shared" si="15"/>
        <v>340000.00000000006</v>
      </c>
      <c r="X68" s="33">
        <f t="shared" si="15"/>
        <v>212500.00000000003</v>
      </c>
      <c r="Y68" s="33">
        <f t="shared" si="15"/>
        <v>85000.000000000015</v>
      </c>
      <c r="Z68" s="33">
        <f t="shared" si="15"/>
        <v>0</v>
      </c>
    </row>
    <row r="69" spans="1:26" x14ac:dyDescent="0.25">
      <c r="A69" s="9" t="str">
        <f t="shared" ref="A69:Z69" si="16">A12</f>
        <v>Feed</v>
      </c>
      <c r="B69" s="33">
        <f t="shared" si="16"/>
        <v>0</v>
      </c>
      <c r="C69" s="33">
        <f t="shared" si="16"/>
        <v>5000</v>
      </c>
      <c r="D69" s="33">
        <f t="shared" si="16"/>
        <v>12500</v>
      </c>
      <c r="E69" s="33">
        <f t="shared" si="16"/>
        <v>20807.499999999993</v>
      </c>
      <c r="F69" s="33">
        <f t="shared" si="16"/>
        <v>25000</v>
      </c>
      <c r="G69" s="33">
        <f t="shared" si="16"/>
        <v>25000</v>
      </c>
      <c r="H69" s="33">
        <f t="shared" si="16"/>
        <v>26009.374999999993</v>
      </c>
      <c r="I69" s="33">
        <f t="shared" si="16"/>
        <v>25000</v>
      </c>
      <c r="J69" s="33">
        <f t="shared" si="16"/>
        <v>25000</v>
      </c>
      <c r="K69" s="33">
        <f t="shared" si="16"/>
        <v>26009.374999999993</v>
      </c>
      <c r="L69" s="33">
        <f t="shared" si="16"/>
        <v>25000</v>
      </c>
      <c r="M69" s="33">
        <f t="shared" si="16"/>
        <v>25000</v>
      </c>
      <c r="N69" s="33">
        <f t="shared" si="16"/>
        <v>26009.374999999993</v>
      </c>
      <c r="O69" s="33">
        <f t="shared" si="16"/>
        <v>25000</v>
      </c>
      <c r="P69" s="33">
        <f t="shared" si="16"/>
        <v>25000</v>
      </c>
      <c r="Q69" s="33">
        <f t="shared" si="16"/>
        <v>26009.374999999993</v>
      </c>
      <c r="R69" s="33">
        <f t="shared" si="16"/>
        <v>25000</v>
      </c>
      <c r="S69" s="33">
        <f t="shared" si="16"/>
        <v>25000</v>
      </c>
      <c r="T69" s="33">
        <f t="shared" si="16"/>
        <v>26009.374999999993</v>
      </c>
      <c r="U69" s="33">
        <f t="shared" si="16"/>
        <v>25000</v>
      </c>
      <c r="V69" s="33">
        <f t="shared" si="16"/>
        <v>25000</v>
      </c>
      <c r="W69" s="33">
        <f t="shared" si="16"/>
        <v>20807.499999999993</v>
      </c>
      <c r="X69" s="33">
        <f t="shared" si="16"/>
        <v>12500</v>
      </c>
      <c r="Y69" s="33">
        <f t="shared" si="16"/>
        <v>5000</v>
      </c>
      <c r="Z69" s="33">
        <f t="shared" si="16"/>
        <v>0</v>
      </c>
    </row>
    <row r="70" spans="1:26" x14ac:dyDescent="0.25">
      <c r="A70" s="9" t="str">
        <f t="shared" ref="A70:Z70" si="17">A13</f>
        <v>Land rent</v>
      </c>
      <c r="B70" s="33">
        <f t="shared" si="17"/>
        <v>0</v>
      </c>
      <c r="C70" s="33">
        <f t="shared" si="17"/>
        <v>4000</v>
      </c>
      <c r="D70" s="33">
        <f t="shared" si="17"/>
        <v>10000</v>
      </c>
      <c r="E70" s="33">
        <f t="shared" si="17"/>
        <v>16000</v>
      </c>
      <c r="F70" s="33">
        <f t="shared" si="17"/>
        <v>20000</v>
      </c>
      <c r="G70" s="33">
        <f t="shared" si="17"/>
        <v>20000</v>
      </c>
      <c r="H70" s="33">
        <f t="shared" si="17"/>
        <v>20000</v>
      </c>
      <c r="I70" s="33">
        <f t="shared" si="17"/>
        <v>20000</v>
      </c>
      <c r="J70" s="33">
        <f t="shared" si="17"/>
        <v>20000</v>
      </c>
      <c r="K70" s="33">
        <f t="shared" si="17"/>
        <v>20000</v>
      </c>
      <c r="L70" s="33">
        <f t="shared" si="17"/>
        <v>20000</v>
      </c>
      <c r="M70" s="33">
        <f t="shared" si="17"/>
        <v>20000</v>
      </c>
      <c r="N70" s="33">
        <f t="shared" si="17"/>
        <v>20000</v>
      </c>
      <c r="O70" s="33">
        <f t="shared" si="17"/>
        <v>20000</v>
      </c>
      <c r="P70" s="33">
        <f t="shared" si="17"/>
        <v>20000</v>
      </c>
      <c r="Q70" s="33">
        <f t="shared" si="17"/>
        <v>20000</v>
      </c>
      <c r="R70" s="33">
        <f t="shared" si="17"/>
        <v>20000</v>
      </c>
      <c r="S70" s="33">
        <f t="shared" si="17"/>
        <v>20000</v>
      </c>
      <c r="T70" s="33">
        <f t="shared" si="17"/>
        <v>20000</v>
      </c>
      <c r="U70" s="33">
        <f t="shared" si="17"/>
        <v>20000</v>
      </c>
      <c r="V70" s="33">
        <f t="shared" si="17"/>
        <v>20000</v>
      </c>
      <c r="W70" s="33">
        <f t="shared" si="17"/>
        <v>16000</v>
      </c>
      <c r="X70" s="33">
        <f t="shared" si="17"/>
        <v>10000</v>
      </c>
      <c r="Y70" s="33">
        <f t="shared" si="17"/>
        <v>4000</v>
      </c>
      <c r="Z70" s="33">
        <f t="shared" si="17"/>
        <v>0</v>
      </c>
    </row>
    <row r="71" spans="1:26" x14ac:dyDescent="0.25">
      <c r="A71" s="9" t="str">
        <f t="shared" ref="A71:Z71" si="18">A14</f>
        <v>Labor</v>
      </c>
      <c r="B71" s="33">
        <f t="shared" si="18"/>
        <v>0</v>
      </c>
      <c r="C71" s="33">
        <f t="shared" si="18"/>
        <v>42420</v>
      </c>
      <c r="D71" s="33">
        <f t="shared" si="18"/>
        <v>107110.5</v>
      </c>
      <c r="E71" s="33">
        <f t="shared" si="18"/>
        <v>173090.56799999997</v>
      </c>
      <c r="F71" s="33">
        <f t="shared" si="18"/>
        <v>218526.84210000001</v>
      </c>
      <c r="G71" s="33">
        <f t="shared" si="18"/>
        <v>220712.11052099997</v>
      </c>
      <c r="H71" s="33">
        <f t="shared" si="18"/>
        <v>222919.23162621004</v>
      </c>
      <c r="I71" s="33">
        <f t="shared" si="18"/>
        <v>225148.42394247209</v>
      </c>
      <c r="J71" s="33">
        <f t="shared" si="18"/>
        <v>227399.90818189684</v>
      </c>
      <c r="K71" s="33">
        <f t="shared" si="18"/>
        <v>229673.90726371581</v>
      </c>
      <c r="L71" s="33">
        <f t="shared" si="18"/>
        <v>231970.64633635298</v>
      </c>
      <c r="M71" s="33">
        <f t="shared" si="18"/>
        <v>234290.35279971649</v>
      </c>
      <c r="N71" s="33">
        <f t="shared" si="18"/>
        <v>236633.25632771364</v>
      </c>
      <c r="O71" s="33">
        <f t="shared" si="18"/>
        <v>238999.5888909908</v>
      </c>
      <c r="P71" s="33">
        <f t="shared" si="18"/>
        <v>241389.58477990073</v>
      </c>
      <c r="Q71" s="33">
        <f t="shared" si="18"/>
        <v>243803.4806276997</v>
      </c>
      <c r="R71" s="33">
        <f t="shared" si="18"/>
        <v>246241.51543397675</v>
      </c>
      <c r="S71" s="33">
        <f t="shared" si="18"/>
        <v>248703.93058831652</v>
      </c>
      <c r="T71" s="33">
        <f t="shared" si="18"/>
        <v>251190.96989419969</v>
      </c>
      <c r="U71" s="33">
        <f t="shared" si="18"/>
        <v>253702.87959314164</v>
      </c>
      <c r="V71" s="33">
        <f t="shared" si="18"/>
        <v>256239.9083890731</v>
      </c>
      <c r="W71" s="33">
        <f t="shared" si="18"/>
        <v>207041.84597837101</v>
      </c>
      <c r="X71" s="33">
        <f t="shared" si="18"/>
        <v>130695.16527384675</v>
      </c>
      <c r="Y71" s="33">
        <f t="shared" si="18"/>
        <v>52800.846770634074</v>
      </c>
      <c r="Z71" s="33">
        <f t="shared" si="18"/>
        <v>0</v>
      </c>
    </row>
    <row r="72" spans="1:26" s="50" customFormat="1" x14ac:dyDescent="0.25">
      <c r="A72" s="52" t="s">
        <v>131</v>
      </c>
      <c r="B72" s="49">
        <f>B15*Assumption_Nursery!$C33</f>
        <v>0</v>
      </c>
      <c r="C72" s="49">
        <f>C15*Assumption_Nursery!$C33</f>
        <v>0</v>
      </c>
      <c r="D72" s="49">
        <f>D15*Assumption_Nursery!$C33</f>
        <v>0</v>
      </c>
      <c r="E72" s="49">
        <f>E15*Assumption_Nursery!$C33</f>
        <v>0</v>
      </c>
      <c r="F72" s="49">
        <f>F15*Assumption_Nursery!$C33</f>
        <v>0</v>
      </c>
      <c r="G72" s="49">
        <f>G15*Assumption_Nursery!$C33</f>
        <v>0</v>
      </c>
      <c r="H72" s="49">
        <f>H15*Assumption_Nursery!$C33</f>
        <v>0</v>
      </c>
      <c r="I72" s="49">
        <f>I15*Assumption_Nursery!$C33</f>
        <v>0</v>
      </c>
      <c r="J72" s="49">
        <f>J15*Assumption_Nursery!$C33</f>
        <v>0</v>
      </c>
      <c r="K72" s="49">
        <f>K15*Assumption_Nursery!$C33</f>
        <v>0</v>
      </c>
      <c r="L72" s="49">
        <f>L15*Assumption_Nursery!$C33</f>
        <v>0</v>
      </c>
      <c r="M72" s="49">
        <f>M15*Assumption_Nursery!$C33</f>
        <v>0</v>
      </c>
      <c r="N72" s="49">
        <f>N15*Assumption_Nursery!$C33</f>
        <v>0</v>
      </c>
      <c r="O72" s="49">
        <f>O15*Assumption_Nursery!$C33</f>
        <v>0</v>
      </c>
      <c r="P72" s="49">
        <f>P15*Assumption_Nursery!$C33</f>
        <v>0</v>
      </c>
      <c r="Q72" s="49">
        <f>Q15*Assumption_Nursery!$C33</f>
        <v>0</v>
      </c>
      <c r="R72" s="49">
        <f>R15*Assumption_Nursery!$C33</f>
        <v>0</v>
      </c>
      <c r="S72" s="49">
        <f>S15*Assumption_Nursery!$C33</f>
        <v>0</v>
      </c>
      <c r="T72" s="49">
        <f>T15*Assumption_Nursery!$C33</f>
        <v>0</v>
      </c>
      <c r="U72" s="49">
        <f>U15*Assumption_Nursery!$C33</f>
        <v>0</v>
      </c>
      <c r="V72" s="49">
        <f>V15*Assumption_Nursery!$C33</f>
        <v>0</v>
      </c>
      <c r="W72" s="49">
        <f>W15*Assumption_Nursery!$C33</f>
        <v>0</v>
      </c>
      <c r="X72" s="49">
        <f>X15*Assumption_Nursery!$C33</f>
        <v>0</v>
      </c>
      <c r="Y72" s="49">
        <f>Y15*Assumption_Nursery!$C33</f>
        <v>0</v>
      </c>
      <c r="Z72" s="49">
        <f>Z15*Assumption_Nursery!$C33</f>
        <v>0</v>
      </c>
    </row>
    <row r="73" spans="1:26" x14ac:dyDescent="0.25">
      <c r="A73" s="117" t="s">
        <v>54</v>
      </c>
      <c r="B73" s="37">
        <f t="shared" ref="B73:Z73" si="19">SUM(B67:B72)</f>
        <v>0</v>
      </c>
      <c r="C73" s="37">
        <f t="shared" si="19"/>
        <v>176420</v>
      </c>
      <c r="D73" s="37">
        <f t="shared" si="19"/>
        <v>442110.5</v>
      </c>
      <c r="E73" s="37">
        <f t="shared" si="19"/>
        <v>709898.06799999997</v>
      </c>
      <c r="F73" s="37">
        <f t="shared" si="19"/>
        <v>888526.84210000001</v>
      </c>
      <c r="G73" s="37">
        <f t="shared" si="19"/>
        <v>890712.110521</v>
      </c>
      <c r="H73" s="37">
        <f t="shared" si="19"/>
        <v>893928.60662621004</v>
      </c>
      <c r="I73" s="37">
        <f t="shared" si="19"/>
        <v>895148.42394247209</v>
      </c>
      <c r="J73" s="37">
        <f t="shared" si="19"/>
        <v>897399.9081818969</v>
      </c>
      <c r="K73" s="37">
        <f t="shared" si="19"/>
        <v>900683.28226371575</v>
      </c>
      <c r="L73" s="37">
        <f t="shared" si="19"/>
        <v>901970.64633635292</v>
      </c>
      <c r="M73" s="37">
        <f t="shared" si="19"/>
        <v>904290.35279971652</v>
      </c>
      <c r="N73" s="37">
        <f t="shared" si="19"/>
        <v>907642.63132771361</v>
      </c>
      <c r="O73" s="37">
        <f t="shared" si="19"/>
        <v>908999.58889099082</v>
      </c>
      <c r="P73" s="37">
        <f t="shared" si="19"/>
        <v>911389.58477990073</v>
      </c>
      <c r="Q73" s="37">
        <f t="shared" si="19"/>
        <v>914812.85562769976</v>
      </c>
      <c r="R73" s="37">
        <f t="shared" si="19"/>
        <v>916241.51543397678</v>
      </c>
      <c r="S73" s="37">
        <f t="shared" si="19"/>
        <v>918703.93058831652</v>
      </c>
      <c r="T73" s="37">
        <f t="shared" si="19"/>
        <v>922200.34489419963</v>
      </c>
      <c r="U73" s="37">
        <f t="shared" si="19"/>
        <v>923702.87959314161</v>
      </c>
      <c r="V73" s="37">
        <f t="shared" si="19"/>
        <v>926239.9083890731</v>
      </c>
      <c r="W73" s="37">
        <f t="shared" si="19"/>
        <v>743849.34597837098</v>
      </c>
      <c r="X73" s="37">
        <f t="shared" si="19"/>
        <v>465695.16527384677</v>
      </c>
      <c r="Y73" s="37">
        <f t="shared" si="19"/>
        <v>186800.84677063406</v>
      </c>
      <c r="Z73" s="37">
        <f t="shared" si="19"/>
        <v>0</v>
      </c>
    </row>
    <row r="74" spans="1:26" x14ac:dyDescent="0.25">
      <c r="B74" s="32"/>
      <c r="C74" s="32"/>
      <c r="D74" s="32"/>
      <c r="E74" s="32"/>
      <c r="F74" s="32"/>
      <c r="G74" s="32"/>
      <c r="H74" s="32"/>
      <c r="I74" s="32"/>
      <c r="J74" s="32"/>
      <c r="K74" s="32"/>
      <c r="L74" s="32"/>
    </row>
    <row r="75" spans="1:26" x14ac:dyDescent="0.25">
      <c r="A75" s="23" t="s">
        <v>55</v>
      </c>
      <c r="B75" s="34">
        <f t="shared" ref="B75:Z75" si="20">B64-B73</f>
        <v>0</v>
      </c>
      <c r="C75" s="34">
        <f t="shared" si="20"/>
        <v>-15769.999999999971</v>
      </c>
      <c r="D75" s="34">
        <f t="shared" si="20"/>
        <v>-32452.999999999942</v>
      </c>
      <c r="E75" s="34">
        <f t="shared" si="20"/>
        <v>-112873.05928000004</v>
      </c>
      <c r="F75" s="34">
        <f t="shared" si="20"/>
        <v>-36111.516099999892</v>
      </c>
      <c r="G75" s="34">
        <f t="shared" si="20"/>
        <v>-21248.478000999894</v>
      </c>
      <c r="H75" s="34">
        <f t="shared" si="20"/>
        <v>-101968.96230904281</v>
      </c>
      <c r="I75" s="34">
        <f t="shared" si="20"/>
        <v>9441.5393313359236</v>
      </c>
      <c r="J75" s="34">
        <f t="shared" si="20"/>
        <v>25281.854357387288</v>
      </c>
      <c r="K75" s="34">
        <f t="shared" si="20"/>
        <v>-60249.372037183377</v>
      </c>
      <c r="L75" s="34">
        <f t="shared" si="20"/>
        <v>57987.4594095184</v>
      </c>
      <c r="M75" s="34">
        <f t="shared" si="20"/>
        <v>74866.915061072097</v>
      </c>
      <c r="N75" s="34">
        <f t="shared" si="20"/>
        <v>-15767.442324035568</v>
      </c>
      <c r="O75" s="34">
        <f t="shared" si="20"/>
        <v>109715.63259137375</v>
      </c>
      <c r="P75" s="34">
        <f t="shared" si="20"/>
        <v>127699.94113211124</v>
      </c>
      <c r="Q75" s="34">
        <f t="shared" si="20"/>
        <v>31652.229944515158</v>
      </c>
      <c r="R75" s="34">
        <f t="shared" si="20"/>
        <v>164827.22732488031</v>
      </c>
      <c r="S75" s="34">
        <f t="shared" si="20"/>
        <v>183986.18702571781</v>
      </c>
      <c r="T75" s="34">
        <f t="shared" si="20"/>
        <v>82195.975635719602</v>
      </c>
      <c r="U75" s="34">
        <f t="shared" si="20"/>
        <v>223535.91877249954</v>
      </c>
      <c r="V75" s="34">
        <f t="shared" si="20"/>
        <v>243943.66594388103</v>
      </c>
      <c r="W75" s="34">
        <f t="shared" si="20"/>
        <v>108849.38243516046</v>
      </c>
      <c r="X75" s="34">
        <f t="shared" si="20"/>
        <v>143034.33009415591</v>
      </c>
      <c r="Y75" s="34">
        <f t="shared" si="20"/>
        <v>61560.787339511007</v>
      </c>
      <c r="Z75" s="34">
        <f t="shared" si="20"/>
        <v>0</v>
      </c>
    </row>
    <row r="76" spans="1:26" x14ac:dyDescent="0.25">
      <c r="B76" s="32"/>
      <c r="C76" s="32"/>
      <c r="D76" s="32"/>
      <c r="E76" s="32"/>
      <c r="F76" s="32"/>
      <c r="G76" s="32"/>
      <c r="H76" s="32"/>
      <c r="I76" s="32"/>
      <c r="J76" s="32"/>
      <c r="K76" s="32"/>
      <c r="L76" s="32"/>
    </row>
    <row r="77" spans="1:26" s="12" customFormat="1" x14ac:dyDescent="0.25">
      <c r="A77" s="10" t="s">
        <v>319</v>
      </c>
      <c r="B77" s="346">
        <f>B64/(1+Assumption_Nursery!$C76)^'RCP 4.5_Nursery'!B61</f>
        <v>0</v>
      </c>
      <c r="C77" s="346">
        <f>C64/(1+Assumption_Nursery!$C76)^'RCP 4.5_Nursery'!C61</f>
        <v>151556.60377358494</v>
      </c>
      <c r="D77" s="346">
        <f>D64/(1+Assumption_Nursery!$C76)^'RCP 4.5_Nursery'!D61</f>
        <v>364593.71662513353</v>
      </c>
      <c r="E77" s="346">
        <f>E64/(1+Assumption_Nursery!$C76)^'RCP 4.5_Nursery'!E61</f>
        <v>501273.70977383998</v>
      </c>
      <c r="F77" s="346">
        <f>F64/(1+Assumption_Nursery!$C76)^'RCP 4.5_Nursery'!F61</f>
        <v>675192.77817157144</v>
      </c>
      <c r="G77" s="346">
        <f>G64/(1+Assumption_Nursery!$C76)^'RCP 4.5_Nursery'!G61</f>
        <v>649713.80541038001</v>
      </c>
      <c r="H77" s="346">
        <f>H64/(1+Assumption_Nursery!$C76)^'RCP 4.5_Nursery'!H61</f>
        <v>558300.29886424402</v>
      </c>
      <c r="I77" s="346">
        <f>I64/(1+Assumption_Nursery!$C76)^'RCP 4.5_Nursery'!I61</f>
        <v>601603.98998661374</v>
      </c>
      <c r="J77" s="346">
        <f>J64/(1+Assumption_Nursery!$C76)^'RCP 4.5_Nursery'!J61</f>
        <v>578901.95262862835</v>
      </c>
      <c r="K77" s="346">
        <f>K64/(1+Assumption_Nursery!$C76)^'RCP 4.5_Nursery'!K61</f>
        <v>497451.54016161547</v>
      </c>
      <c r="L77" s="346">
        <f>L64/(1+Assumption_Nursery!$C76)^'RCP 4.5_Nursery'!L61</f>
        <v>536035.59230582498</v>
      </c>
      <c r="M77" s="346">
        <f>M64/(1+Assumption_Nursery!$C76)^'RCP 4.5_Nursery'!M61</f>
        <v>515807.83410560497</v>
      </c>
      <c r="N77" s="346">
        <f>N64/(1+Assumption_Nursery!$C76)^'RCP 4.5_Nursery'!N61</f>
        <v>443234.64506927493</v>
      </c>
      <c r="O77" s="346">
        <f>O64/(1+Assumption_Nursery!$C76)^'RCP 4.5_Nursery'!O61</f>
        <v>477613.44838329602</v>
      </c>
      <c r="P77" s="346">
        <f>P64/(1+Assumption_Nursery!$C76)^'RCP 4.5_Nursery'!P61</f>
        <v>459590.29938769998</v>
      </c>
      <c r="Q77" s="346">
        <f>Q64/(1+Assumption_Nursery!$C76)^'RCP 4.5_Nursery'!Q61</f>
        <v>394926.81141535868</v>
      </c>
      <c r="R77" s="346">
        <f>R64/(1+Assumption_Nursery!$C76)^'RCP 4.5_Nursery'!R61</f>
        <v>425558.69302506495</v>
      </c>
      <c r="S77" s="346">
        <f>S64/(1+Assumption_Nursery!$C76)^'RCP 4.5_Nursery'!S61</f>
        <v>409499.87442034553</v>
      </c>
      <c r="T77" s="346">
        <f>T64/(1+Assumption_Nursery!$C76)^'RCP 4.5_Nursery'!T61</f>
        <v>351884.01473067538</v>
      </c>
      <c r="U77" s="346">
        <f>U64/(1+Assumption_Nursery!$C76)^'RCP 4.5_Nursery'!U61</f>
        <v>379177.34900936933</v>
      </c>
      <c r="V77" s="346">
        <f>V64/(1+Assumption_Nursery!$C76)^'RCP 4.5_Nursery'!V61</f>
        <v>364868.76980146865</v>
      </c>
      <c r="W77" s="346">
        <f>W64/(1+Assumption_Nursery!$C76)^'RCP 4.5_Nursery'!W61</f>
        <v>250825.93785763442</v>
      </c>
      <c r="X77" s="346">
        <f>X64/(1+Assumption_Nursery!$C76)^'RCP 4.5_Nursery'!X61</f>
        <v>168925.53760299389</v>
      </c>
      <c r="Y77" s="346">
        <f>Y64/(1+Assumption_Nursery!$C76)^'RCP 4.5_Nursery'!Y61</f>
        <v>65020.395605680649</v>
      </c>
      <c r="Z77" s="346">
        <f>Z64/(1+Assumption_Nursery!$C76)^'RCP 4.5_Nursery'!Z61</f>
        <v>0</v>
      </c>
    </row>
    <row r="78" spans="1:26" s="12" customFormat="1" x14ac:dyDescent="0.25">
      <c r="A78" s="10" t="s">
        <v>320</v>
      </c>
      <c r="B78" s="346">
        <f>B73/(1+Assumption_Nursery!$C76)^'RCP 4.5_Nursery'!B61</f>
        <v>0</v>
      </c>
      <c r="C78" s="346">
        <f>C73/(1+Assumption_Nursery!$C76)^'RCP 4.5_Nursery'!C61</f>
        <v>166433.96226415093</v>
      </c>
      <c r="D78" s="346">
        <f>D73/(1+Assumption_Nursery!$C76)^'RCP 4.5_Nursery'!D61</f>
        <v>393476.77109291556</v>
      </c>
      <c r="E78" s="346">
        <f>E73/(1+Assumption_Nursery!$C76)^'RCP 4.5_Nursery'!E61</f>
        <v>596044.10688017611</v>
      </c>
      <c r="F78" s="346">
        <f>F73/(1+Assumption_Nursery!$C76)^'RCP 4.5_Nursery'!F61</f>
        <v>703796.4812442991</v>
      </c>
      <c r="G78" s="346">
        <f>G73/(1+Assumption_Nursery!$C76)^'RCP 4.5_Nursery'!G61</f>
        <v>665591.90425759181</v>
      </c>
      <c r="H78" s="346">
        <f>H73/(1+Assumption_Nursery!$C76)^'RCP 4.5_Nursery'!H61</f>
        <v>630184.3936416998</v>
      </c>
      <c r="I78" s="346">
        <f>I73/(1+Assumption_Nursery!$C76)^'RCP 4.5_Nursery'!I61</f>
        <v>595324.82709076372</v>
      </c>
      <c r="J78" s="346">
        <f>J73/(1+Assumption_Nursery!$C76)^'RCP 4.5_Nursery'!J61</f>
        <v>563039.80443434126</v>
      </c>
      <c r="K78" s="346">
        <f>K73/(1+Assumption_Nursery!$C76)^'RCP 4.5_Nursery'!K61</f>
        <v>533113.05089907313</v>
      </c>
      <c r="L78" s="346">
        <f>L73/(1+Assumption_Nursery!$C76)^'RCP 4.5_Nursery'!L61</f>
        <v>503655.69784497248</v>
      </c>
      <c r="M78" s="346">
        <f>M73/(1+Assumption_Nursery!$C76)^'RCP 4.5_Nursery'!M61</f>
        <v>476368.87718687818</v>
      </c>
      <c r="N78" s="346">
        <f>N73/(1+Assumption_Nursery!$C76)^'RCP 4.5_Nursery'!N61</f>
        <v>451070.58084628795</v>
      </c>
      <c r="O78" s="346">
        <f>O73/(1+Assumption_Nursery!$C76)^'RCP 4.5_Nursery'!O61</f>
        <v>426174.47847444413</v>
      </c>
      <c r="P78" s="346">
        <f>P73/(1+Assumption_Nursery!$C76)^'RCP 4.5_Nursery'!P61</f>
        <v>403108.49227373977</v>
      </c>
      <c r="Q78" s="346">
        <f>Q73/(1+Assumption_Nursery!$C76)^'RCP 4.5_Nursery'!Q61</f>
        <v>381719.44176514522</v>
      </c>
      <c r="R78" s="346">
        <f>R73/(1+Assumption_Nursery!$C76)^'RCP 4.5_Nursery'!R61</f>
        <v>360675.06753394526</v>
      </c>
      <c r="S78" s="346">
        <f>S73/(1+Assumption_Nursery!$C76)^'RCP 4.5_Nursery'!S61</f>
        <v>341173.95104566892</v>
      </c>
      <c r="T78" s="346">
        <f>T73/(1+Assumption_Nursery!$C76)^'RCP 4.5_Nursery'!T61</f>
        <v>323087.16501089366</v>
      </c>
      <c r="U78" s="346">
        <f>U73/(1+Assumption_Nursery!$C76)^'RCP 4.5_Nursery'!U61</f>
        <v>305295.81954115484</v>
      </c>
      <c r="V78" s="346">
        <f>V73/(1+Assumption_Nursery!$C76)^'RCP 4.5_Nursery'!V61</f>
        <v>288805.98166624666</v>
      </c>
      <c r="W78" s="346">
        <f>W73/(1+Assumption_Nursery!$C76)^'RCP 4.5_Nursery'!W61</f>
        <v>218807.30393130032</v>
      </c>
      <c r="X78" s="346">
        <f>X73/(1+Assumption_Nursery!$C76)^'RCP 4.5_Nursery'!X61</f>
        <v>129232.78196901178</v>
      </c>
      <c r="Y78" s="346">
        <f>Y73/(1+Assumption_Nursery!$C76)^'RCP 4.5_Nursery'!Y61</f>
        <v>48903.950080777089</v>
      </c>
      <c r="Z78" s="346">
        <f>Z73/(1+Assumption_Nursery!$C76)^'RCP 4.5_Nursery'!Z61</f>
        <v>0</v>
      </c>
    </row>
    <row r="79" spans="1:26" x14ac:dyDescent="0.25">
      <c r="B79" s="32"/>
      <c r="C79" s="32"/>
      <c r="D79" s="32"/>
      <c r="E79" s="32"/>
      <c r="F79" s="32"/>
      <c r="G79" s="32"/>
      <c r="H79" s="32"/>
      <c r="I79" s="32"/>
      <c r="J79" s="32"/>
      <c r="K79" s="32"/>
      <c r="L79" s="32"/>
    </row>
    <row r="80" spans="1:26" s="12" customFormat="1" x14ac:dyDescent="0.25">
      <c r="A80" s="25" t="s">
        <v>318</v>
      </c>
      <c r="B80" s="35">
        <f>NPV(Assumption_Hatchery!C76,C75:Z75)+B75</f>
        <v>316472.70714042609</v>
      </c>
      <c r="C80" s="40"/>
      <c r="D80" s="40"/>
      <c r="E80" s="40"/>
      <c r="F80" s="40"/>
      <c r="G80" s="40"/>
      <c r="H80" s="40"/>
      <c r="I80" s="40"/>
      <c r="J80" s="40"/>
      <c r="K80" s="40"/>
      <c r="L80" s="40"/>
    </row>
    <row r="82" spans="1:12" s="12" customFormat="1" x14ac:dyDescent="0.25">
      <c r="A82" s="25" t="s">
        <v>238</v>
      </c>
      <c r="B82" s="36">
        <f>IRR(B75:Z75)</f>
        <v>0.12866186107651822</v>
      </c>
      <c r="C82" s="4"/>
      <c r="D82" s="4"/>
      <c r="E82" s="4"/>
      <c r="F82" s="4"/>
      <c r="G82" s="4"/>
      <c r="H82" s="4"/>
      <c r="I82" s="4"/>
      <c r="J82" s="4"/>
      <c r="K82" s="4"/>
      <c r="L82" s="4"/>
    </row>
  </sheetData>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7"/>
  </sheetPr>
  <dimension ref="A2:AA83"/>
  <sheetViews>
    <sheetView showGridLines="0" topLeftCell="A64" zoomScale="85" zoomScaleNormal="85" workbookViewId="0">
      <selection activeCell="A24" sqref="A24:A26"/>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6" width="12.57031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2.28515625" style="26" customWidth="1"/>
    <col min="13" max="23" width="13.7109375" style="3" customWidth="1"/>
    <col min="24" max="24" width="15.7109375" style="3" customWidth="1"/>
    <col min="25" max="25" width="11" style="3" customWidth="1"/>
    <col min="26" max="26" width="12.85546875" style="3" customWidth="1"/>
    <col min="27" max="27" width="13" style="3" customWidth="1"/>
    <col min="28" max="16384" width="9" style="3"/>
  </cols>
  <sheetData>
    <row r="2" spans="1:26" ht="38.25" customHeight="1" x14ac:dyDescent="0.25">
      <c r="A2" s="11" t="s">
        <v>332</v>
      </c>
      <c r="B2" s="30"/>
      <c r="C2" s="69"/>
      <c r="D2" s="70"/>
      <c r="E2" s="30"/>
      <c r="F2" s="116" t="s">
        <v>91</v>
      </c>
      <c r="G2" s="30"/>
      <c r="H2" s="30"/>
      <c r="I2" s="30"/>
      <c r="J2" s="30"/>
      <c r="K2" s="30"/>
      <c r="L2" s="30"/>
      <c r="M2" s="11"/>
    </row>
    <row r="3" spans="1:26" ht="15" customHeight="1" x14ac:dyDescent="0.25">
      <c r="A3" s="22"/>
      <c r="B3" s="30"/>
      <c r="C3" s="30"/>
      <c r="D3" s="30"/>
      <c r="E3" s="30"/>
      <c r="F3" s="30"/>
      <c r="G3" s="30"/>
      <c r="H3" s="30"/>
      <c r="I3" s="30"/>
      <c r="J3" s="30"/>
      <c r="K3" s="30"/>
      <c r="L3" s="30"/>
      <c r="M3" s="11"/>
    </row>
    <row r="4" spans="1:2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row>
    <row r="5" spans="1:26" x14ac:dyDescent="0.25">
      <c r="A5" s="23" t="s">
        <v>3</v>
      </c>
    </row>
    <row r="6" spans="1:26" x14ac:dyDescent="0.25">
      <c r="A6" s="10" t="s">
        <v>143</v>
      </c>
      <c r="B6" s="31">
        <f>Assumption_Nursery!D18*Assumption_Nursery!D179*Assumption_Nursery!D180*(1+Assumption_Nursery!D181)^Assumption_Nursery!D178</f>
        <v>0</v>
      </c>
      <c r="C6" s="31">
        <f>Assumption_Nursery!E18*Assumption_Nursery!E179*Assumption_Nursery!E180*(1+Assumption_Nursery!E181)^Assumption_Nursery!E178</f>
        <v>160650.00000000003</v>
      </c>
      <c r="D6" s="31">
        <f>Assumption_Nursery!F18*Assumption_Nursery!F179*Assumption_Nursery!F180*(1+Assumption_Nursery!F181)^Assumption_Nursery!F178</f>
        <v>409657.50000000006</v>
      </c>
      <c r="E6" s="154">
        <f>Assumption_Nursery!G18*Assumption_Nursery!G179*Assumption_Nursery!G180*(1+Assumption_Nursery!G181)^Assumption_Nursery!G178*(1+Assumption_Nursery!$X151)</f>
        <v>571619.68920000002</v>
      </c>
      <c r="F6" s="31">
        <f>Assumption_Nursery!H18*Assumption_Nursery!H179*Assumption_Nursery!H180*(1+Assumption_Nursery!H181)^Assumption_Nursery!H178</f>
        <v>852415.32600000012</v>
      </c>
      <c r="G6" s="31">
        <f>Assumption_Nursery!I18*Assumption_Nursery!I179*Assumption_Nursery!I180*(1+Assumption_Nursery!I181)^Assumption_Nursery!I178</f>
        <v>869463.6325200001</v>
      </c>
      <c r="H6" s="154">
        <f>Assumption_Nursery!J18*Assumption_Nursery!J179*Assumption_Nursery!J180*(1+Assumption_Nursery!J181)^Assumption_Nursery!J178*(1+Assumption_Nursery!$X151)</f>
        <v>758259.23392069212</v>
      </c>
      <c r="I6" s="31">
        <f>Assumption_Nursery!K18*Assumption_Nursery!K179*Assumption_Nursery!K180*(1+Assumption_Nursery!K181)^Assumption_Nursery!K178</f>
        <v>904589.96327380801</v>
      </c>
      <c r="J6" s="31">
        <f>Assumption_Nursery!L18*Assumption_Nursery!L179*Assumption_Nursery!L180*(1+Assumption_Nursery!L181)^Assumption_Nursery!L178</f>
        <v>922681.76253928419</v>
      </c>
      <c r="K6" s="154">
        <f>Assumption_Nursery!M18*Assumption_Nursery!M179*Assumption_Nursery!M180*(1+Assumption_Nursery!M181)^Assumption_Nursery!M178*(1+Assumption_Nursery!$X151)</f>
        <v>804670.76511050982</v>
      </c>
      <c r="L6" s="31">
        <f>Assumption_Nursery!N18*Assumption_Nursery!N179*Assumption_Nursery!N180*(1+Assumption_Nursery!N181)^Assumption_Nursery!N178</f>
        <v>959958.10574587132</v>
      </c>
      <c r="M6" s="31">
        <f>Assumption_Nursery!O18*Assumption_Nursery!O179*Assumption_Nursery!O180*(1+Assumption_Nursery!O181)^Assumption_Nursery!O178</f>
        <v>979157.26786078862</v>
      </c>
      <c r="N6" s="154">
        <f>Assumption_Nursery!P18*Assumption_Nursery!P179*Assumption_Nursery!P180*(1+Assumption_Nursery!P181)^Assumption_Nursery!P178*(1+Assumption_Nursery!$X151)</f>
        <v>853923.05330139399</v>
      </c>
      <c r="O6" s="31">
        <f>Assumption_Nursery!Q18*Assumption_Nursery!Q179*Assumption_Nursery!Q180*(1+Assumption_Nursery!Q181)^Assumption_Nursery!Q178</f>
        <v>1018715.2214823646</v>
      </c>
      <c r="P6" s="31">
        <f>Assumption_Nursery!R18*Assumption_Nursery!R179*Assumption_Nursery!R180*(1+Assumption_Nursery!R181)^Assumption_Nursery!R178</f>
        <v>1039089.525912012</v>
      </c>
      <c r="Q6" s="154">
        <f>Assumption_Nursery!S18*Assumption_Nursery!S179*Assumption_Nursery!S180*(1+Assumption_Nursery!S181)^Assumption_Nursery!S178*(1+Assumption_Nursery!$X151)</f>
        <v>906189.97554786538</v>
      </c>
      <c r="R6" s="31">
        <f>Assumption_Nursery!T18*Assumption_Nursery!T179*Assumption_Nursery!T180*(1+Assumption_Nursery!T181)^Assumption_Nursery!T178</f>
        <v>1081068.7427588571</v>
      </c>
      <c r="S6" s="31">
        <f>Assumption_Nursery!U18*Assumption_Nursery!U179*Assumption_Nursery!U180*(1+Assumption_Nursery!U181)^Assumption_Nursery!U178</f>
        <v>1102690.1176140343</v>
      </c>
      <c r="T6" s="154">
        <f>Assumption_Nursery!V18*Assumption_Nursery!V179*Assumption_Nursery!V180*(1+Assumption_Nursery!V181)^Assumption_Nursery!V178*(1+Assumption_Nursery!$X151)</f>
        <v>961656.05157119932</v>
      </c>
      <c r="U6" s="31">
        <f>Assumption_Nursery!W18*Assumption_Nursery!W179*Assumption_Nursery!W180*(1+Assumption_Nursery!W181)^Assumption_Nursery!W178</f>
        <v>1147238.7983656412</v>
      </c>
      <c r="V6" s="31">
        <f>Assumption_Nursery!X18*Assumption_Nursery!X179*Assumption_Nursery!X180*(1+Assumption_Nursery!X181)^Assumption_Nursery!X178</f>
        <v>1170183.5743329541</v>
      </c>
      <c r="W6" s="154">
        <f>Assumption_Nursery!Y18*Assumption_Nursery!Y179*Assumption_Nursery!Y180*(1+Assumption_Nursery!Y181)^Assumption_Nursery!Y178*(1+Assumption_Nursery!$X151)</f>
        <v>816413.67614061537</v>
      </c>
      <c r="X6" s="31">
        <f>Assumption_Nursery!Z18*Assumption_Nursery!Z179*Assumption_Nursery!Z180*(1+Assumption_Nursery!Z181)^Assumption_Nursery!Z178</f>
        <v>608729.49536800268</v>
      </c>
      <c r="Y6" s="31">
        <f>Assumption_Nursery!AA18*Assumption_Nursery!AA179*Assumption_Nursery!AA180*(1+Assumption_Nursery!AA181)^Assumption_Nursery!AA178</f>
        <v>248361.63411014507</v>
      </c>
      <c r="Z6" s="154">
        <f>Assumption_Nursery!AB18*Assumption_Nursery!AB179*Assumption_Nursery!AB180*(1+Assumption_Nursery!AB181)^Assumption_Nursery!AB178*(1+Assumption_Nursery!$X151)</f>
        <v>0</v>
      </c>
    </row>
    <row r="7" spans="1:26" s="12" customFormat="1" x14ac:dyDescent="0.25">
      <c r="A7" s="23" t="s">
        <v>53</v>
      </c>
      <c r="B7" s="38">
        <f>B6</f>
        <v>0</v>
      </c>
      <c r="C7" s="38">
        <f t="shared" ref="C7:Z7" si="0">C6</f>
        <v>160650.00000000003</v>
      </c>
      <c r="D7" s="38">
        <f t="shared" si="0"/>
        <v>409657.50000000006</v>
      </c>
      <c r="E7" s="38">
        <f t="shared" si="0"/>
        <v>571619.68920000002</v>
      </c>
      <c r="F7" s="38">
        <f t="shared" si="0"/>
        <v>852415.32600000012</v>
      </c>
      <c r="G7" s="38">
        <f t="shared" si="0"/>
        <v>869463.6325200001</v>
      </c>
      <c r="H7" s="38">
        <f t="shared" si="0"/>
        <v>758259.23392069212</v>
      </c>
      <c r="I7" s="38">
        <f t="shared" si="0"/>
        <v>904589.96327380801</v>
      </c>
      <c r="J7" s="38">
        <f t="shared" si="0"/>
        <v>922681.76253928419</v>
      </c>
      <c r="K7" s="38">
        <f t="shared" si="0"/>
        <v>804670.76511050982</v>
      </c>
      <c r="L7" s="38">
        <f t="shared" si="0"/>
        <v>959958.10574587132</v>
      </c>
      <c r="M7" s="38">
        <f t="shared" si="0"/>
        <v>979157.26786078862</v>
      </c>
      <c r="N7" s="38">
        <f t="shared" si="0"/>
        <v>853923.05330139399</v>
      </c>
      <c r="O7" s="38">
        <f t="shared" si="0"/>
        <v>1018715.2214823646</v>
      </c>
      <c r="P7" s="38">
        <f t="shared" si="0"/>
        <v>1039089.525912012</v>
      </c>
      <c r="Q7" s="38">
        <f t="shared" si="0"/>
        <v>906189.97554786538</v>
      </c>
      <c r="R7" s="38">
        <f t="shared" si="0"/>
        <v>1081068.7427588571</v>
      </c>
      <c r="S7" s="38">
        <f t="shared" si="0"/>
        <v>1102690.1176140343</v>
      </c>
      <c r="T7" s="38">
        <f t="shared" si="0"/>
        <v>961656.05157119932</v>
      </c>
      <c r="U7" s="38">
        <f t="shared" si="0"/>
        <v>1147238.7983656412</v>
      </c>
      <c r="V7" s="38">
        <f t="shared" si="0"/>
        <v>1170183.5743329541</v>
      </c>
      <c r="W7" s="38">
        <f t="shared" si="0"/>
        <v>816413.67614061537</v>
      </c>
      <c r="X7" s="38">
        <f t="shared" si="0"/>
        <v>608729.49536800268</v>
      </c>
      <c r="Y7" s="38">
        <f t="shared" si="0"/>
        <v>248361.63411014507</v>
      </c>
      <c r="Z7" s="38">
        <f t="shared" si="0"/>
        <v>0</v>
      </c>
    </row>
    <row r="8" spans="1:26" x14ac:dyDescent="0.25">
      <c r="A8" s="23"/>
      <c r="B8" s="41"/>
      <c r="C8" s="41"/>
      <c r="D8" s="41"/>
      <c r="E8" s="41"/>
      <c r="F8" s="41"/>
      <c r="G8" s="41"/>
      <c r="H8" s="41"/>
      <c r="I8" s="41"/>
      <c r="J8" s="41"/>
      <c r="K8" s="41"/>
    </row>
    <row r="9" spans="1:26" x14ac:dyDescent="0.25">
      <c r="A9" s="23" t="s">
        <v>20</v>
      </c>
    </row>
    <row r="10" spans="1:26" x14ac:dyDescent="0.25">
      <c r="A10" s="9" t="s">
        <v>61</v>
      </c>
      <c r="B10" s="33">
        <f>Assumption_Nursery!D18*Assumption_Nursery!D185</f>
        <v>0</v>
      </c>
      <c r="C10" s="33">
        <f>Assumption_Nursery!E18*Assumption_Nursery!E185</f>
        <v>40000</v>
      </c>
      <c r="D10" s="33">
        <f>Assumption_Nursery!F18*Assumption_Nursery!F185</f>
        <v>100000</v>
      </c>
      <c r="E10" s="33">
        <f>Assumption_Nursery!G18*Assumption_Nursery!G185</f>
        <v>160000</v>
      </c>
      <c r="F10" s="33">
        <f>Assumption_Nursery!H18*Assumption_Nursery!H185</f>
        <v>200000</v>
      </c>
      <c r="G10" s="33">
        <f>Assumption_Nursery!I18*Assumption_Nursery!I185</f>
        <v>200000</v>
      </c>
      <c r="H10" s="33">
        <f>Assumption_Nursery!J18*Assumption_Nursery!J185</f>
        <v>200000</v>
      </c>
      <c r="I10" s="33">
        <f>Assumption_Nursery!K18*Assumption_Nursery!K185</f>
        <v>200000</v>
      </c>
      <c r="J10" s="33">
        <f>Assumption_Nursery!L18*Assumption_Nursery!L185</f>
        <v>200000</v>
      </c>
      <c r="K10" s="33">
        <f>Assumption_Nursery!M18*Assumption_Nursery!M185</f>
        <v>200000</v>
      </c>
      <c r="L10" s="33">
        <f>Assumption_Nursery!N18*Assumption_Nursery!N185</f>
        <v>200000</v>
      </c>
      <c r="M10" s="33">
        <f>Assumption_Nursery!O18*Assumption_Nursery!O185</f>
        <v>200000</v>
      </c>
      <c r="N10" s="33">
        <f>Assumption_Nursery!P18*Assumption_Nursery!P185</f>
        <v>200000</v>
      </c>
      <c r="O10" s="33">
        <f>Assumption_Nursery!Q18*Assumption_Nursery!Q185</f>
        <v>200000</v>
      </c>
      <c r="P10" s="33">
        <f>Assumption_Nursery!R18*Assumption_Nursery!R185</f>
        <v>200000</v>
      </c>
      <c r="Q10" s="33">
        <f>Assumption_Nursery!S18*Assumption_Nursery!S185</f>
        <v>200000</v>
      </c>
      <c r="R10" s="33">
        <f>Assumption_Nursery!T18*Assumption_Nursery!T185</f>
        <v>200000</v>
      </c>
      <c r="S10" s="33">
        <f>Assumption_Nursery!U18*Assumption_Nursery!U185</f>
        <v>200000</v>
      </c>
      <c r="T10" s="33">
        <f>Assumption_Nursery!V18*Assumption_Nursery!V185</f>
        <v>200000</v>
      </c>
      <c r="U10" s="33">
        <f>Assumption_Nursery!W18*Assumption_Nursery!W185</f>
        <v>200000</v>
      </c>
      <c r="V10" s="33">
        <f>Assumption_Nursery!X18*Assumption_Nursery!X185</f>
        <v>200000</v>
      </c>
      <c r="W10" s="33">
        <f>Assumption_Nursery!Y18*Assumption_Nursery!Y185</f>
        <v>160000</v>
      </c>
      <c r="X10" s="33">
        <f>Assumption_Nursery!Z18*Assumption_Nursery!Z185</f>
        <v>100000</v>
      </c>
      <c r="Y10" s="33">
        <f>Assumption_Nursery!AA18*Assumption_Nursery!AA185</f>
        <v>40000</v>
      </c>
      <c r="Z10" s="33">
        <f>Assumption_Nursery!AB18*Assumption_Nursery!AB185</f>
        <v>0</v>
      </c>
    </row>
    <row r="11" spans="1:26" x14ac:dyDescent="0.25">
      <c r="A11" s="9" t="s">
        <v>62</v>
      </c>
      <c r="B11" s="33">
        <f>Assumption_Nursery!D18*Assumption_Nursery!D186</f>
        <v>0</v>
      </c>
      <c r="C11" s="33">
        <f>Assumption_Nursery!E18*Assumption_Nursery!E186</f>
        <v>85000.000000000015</v>
      </c>
      <c r="D11" s="33">
        <f>Assumption_Nursery!F18*Assumption_Nursery!F186</f>
        <v>212500.00000000003</v>
      </c>
      <c r="E11" s="33">
        <f>Assumption_Nursery!G18*Assumption_Nursery!G186</f>
        <v>340000.00000000006</v>
      </c>
      <c r="F11" s="33">
        <f>Assumption_Nursery!H18*Assumption_Nursery!H186</f>
        <v>425000.00000000006</v>
      </c>
      <c r="G11" s="33">
        <f>Assumption_Nursery!I18*Assumption_Nursery!I186</f>
        <v>425000.00000000006</v>
      </c>
      <c r="H11" s="33">
        <f>Assumption_Nursery!J18*Assumption_Nursery!J186</f>
        <v>425000.00000000006</v>
      </c>
      <c r="I11" s="33">
        <f>Assumption_Nursery!K18*Assumption_Nursery!K186</f>
        <v>425000.00000000006</v>
      </c>
      <c r="J11" s="33">
        <f>Assumption_Nursery!L18*Assumption_Nursery!L186</f>
        <v>425000.00000000006</v>
      </c>
      <c r="K11" s="33">
        <f>Assumption_Nursery!M18*Assumption_Nursery!M186</f>
        <v>425000.00000000006</v>
      </c>
      <c r="L11" s="33">
        <f>Assumption_Nursery!N18*Assumption_Nursery!N186</f>
        <v>425000.00000000006</v>
      </c>
      <c r="M11" s="33">
        <f>Assumption_Nursery!O18*Assumption_Nursery!O186</f>
        <v>425000.00000000006</v>
      </c>
      <c r="N11" s="33">
        <f>Assumption_Nursery!P18*Assumption_Nursery!P186</f>
        <v>425000.00000000006</v>
      </c>
      <c r="O11" s="33">
        <f>Assumption_Nursery!Q18*Assumption_Nursery!Q186</f>
        <v>425000.00000000006</v>
      </c>
      <c r="P11" s="33">
        <f>Assumption_Nursery!R18*Assumption_Nursery!R186</f>
        <v>425000.00000000006</v>
      </c>
      <c r="Q11" s="33">
        <f>Assumption_Nursery!S18*Assumption_Nursery!S186</f>
        <v>425000.00000000006</v>
      </c>
      <c r="R11" s="33">
        <f>Assumption_Nursery!T18*Assumption_Nursery!T186</f>
        <v>425000.00000000006</v>
      </c>
      <c r="S11" s="33">
        <f>Assumption_Nursery!U18*Assumption_Nursery!U186</f>
        <v>425000.00000000006</v>
      </c>
      <c r="T11" s="33">
        <f>Assumption_Nursery!V18*Assumption_Nursery!V186</f>
        <v>425000.00000000006</v>
      </c>
      <c r="U11" s="33">
        <f>Assumption_Nursery!W18*Assumption_Nursery!W186</f>
        <v>425000.00000000006</v>
      </c>
      <c r="V11" s="33">
        <f>Assumption_Nursery!X18*Assumption_Nursery!X186</f>
        <v>425000.00000000006</v>
      </c>
      <c r="W11" s="33">
        <f>Assumption_Nursery!Y18*Assumption_Nursery!Y186</f>
        <v>340000.00000000006</v>
      </c>
      <c r="X11" s="33">
        <f>Assumption_Nursery!Z18*Assumption_Nursery!Z186</f>
        <v>212500.00000000003</v>
      </c>
      <c r="Y11" s="33">
        <f>Assumption_Nursery!AA18*Assumption_Nursery!AA186</f>
        <v>85000.000000000015</v>
      </c>
      <c r="Z11" s="33">
        <f>Assumption_Nursery!AB18*Assumption_Nursery!AB186</f>
        <v>0</v>
      </c>
    </row>
    <row r="12" spans="1:26" x14ac:dyDescent="0.25">
      <c r="A12" s="9" t="s">
        <v>34</v>
      </c>
      <c r="B12" s="33">
        <f>Assumption_Nursery!D18*Assumption_Nursery!D187</f>
        <v>0</v>
      </c>
      <c r="C12" s="33">
        <f>Assumption_Nursery!E18*Assumption_Nursery!E187</f>
        <v>5000</v>
      </c>
      <c r="D12" s="33">
        <f>Assumption_Nursery!F18*Assumption_Nursery!F187</f>
        <v>12500</v>
      </c>
      <c r="E12" s="137">
        <f>Assumption_Nursery!G18*Assumption_Nursery!G187*(1+Assumption_Nursery!$X159)</f>
        <v>21822.499999999996</v>
      </c>
      <c r="F12" s="33">
        <f>Assumption_Nursery!H18*Assumption_Nursery!H187</f>
        <v>25000</v>
      </c>
      <c r="G12" s="33">
        <f>Assumption_Nursery!I18*Assumption_Nursery!I187</f>
        <v>25000</v>
      </c>
      <c r="H12" s="137">
        <f>Assumption_Nursery!J18*Assumption_Nursery!J187*(1+Assumption_Nursery!$X159)</f>
        <v>27278.124999999996</v>
      </c>
      <c r="I12" s="33">
        <f>Assumption_Nursery!K18*Assumption_Nursery!K187</f>
        <v>25000</v>
      </c>
      <c r="J12" s="33">
        <f>Assumption_Nursery!L18*Assumption_Nursery!L187</f>
        <v>25000</v>
      </c>
      <c r="K12" s="137">
        <f>Assumption_Nursery!M18*Assumption_Nursery!M187*(1+Assumption_Nursery!$X159)</f>
        <v>27278.124999999996</v>
      </c>
      <c r="L12" s="33">
        <f>Assumption_Nursery!N18*Assumption_Nursery!N187</f>
        <v>25000</v>
      </c>
      <c r="M12" s="33">
        <f>Assumption_Nursery!O18*Assumption_Nursery!O187</f>
        <v>25000</v>
      </c>
      <c r="N12" s="137">
        <f>Assumption_Nursery!P18*Assumption_Nursery!P187*(1+Assumption_Nursery!$X159)</f>
        <v>27278.124999999996</v>
      </c>
      <c r="O12" s="33">
        <f>Assumption_Nursery!Q18*Assumption_Nursery!Q187</f>
        <v>25000</v>
      </c>
      <c r="P12" s="33">
        <f>Assumption_Nursery!R18*Assumption_Nursery!R187</f>
        <v>25000</v>
      </c>
      <c r="Q12" s="137">
        <f>Assumption_Nursery!S18*Assumption_Nursery!S187*(1+Assumption_Nursery!$X159)</f>
        <v>27278.124999999996</v>
      </c>
      <c r="R12" s="33">
        <f>Assumption_Nursery!T18*Assumption_Nursery!T187</f>
        <v>25000</v>
      </c>
      <c r="S12" s="33">
        <f>Assumption_Nursery!U18*Assumption_Nursery!U187</f>
        <v>25000</v>
      </c>
      <c r="T12" s="137">
        <f>Assumption_Nursery!V18*Assumption_Nursery!V187*(1+Assumption_Nursery!$X159)</f>
        <v>27278.124999999996</v>
      </c>
      <c r="U12" s="33">
        <f>Assumption_Nursery!W18*Assumption_Nursery!W187</f>
        <v>25000</v>
      </c>
      <c r="V12" s="33">
        <f>Assumption_Nursery!X18*Assumption_Nursery!X187</f>
        <v>25000</v>
      </c>
      <c r="W12" s="137">
        <f>Assumption_Nursery!Y18*Assumption_Nursery!Y187*(1+Assumption_Nursery!$X159)</f>
        <v>21822.499999999996</v>
      </c>
      <c r="X12" s="33">
        <f>Assumption_Nursery!Z18*Assumption_Nursery!Z187</f>
        <v>12500</v>
      </c>
      <c r="Y12" s="33">
        <f>Assumption_Nursery!AA18*Assumption_Nursery!AA187</f>
        <v>5000</v>
      </c>
      <c r="Z12" s="137">
        <f>Assumption_Nursery!AB18*Assumption_Nursery!AB187*(1+Assumption_Nursery!$X159)</f>
        <v>0</v>
      </c>
    </row>
    <row r="13" spans="1:26" x14ac:dyDescent="0.25">
      <c r="A13" s="9" t="s">
        <v>141</v>
      </c>
      <c r="B13" s="33">
        <f>Assumption_Nursery!D18*Assumption_Nursery!D188</f>
        <v>0</v>
      </c>
      <c r="C13" s="33">
        <f>Assumption_Nursery!E18*Assumption_Nursery!E188</f>
        <v>4000</v>
      </c>
      <c r="D13" s="33">
        <f>Assumption_Nursery!F18*Assumption_Nursery!F188</f>
        <v>10000</v>
      </c>
      <c r="E13" s="33">
        <f>Assumption_Nursery!G18*Assumption_Nursery!G188</f>
        <v>16000</v>
      </c>
      <c r="F13" s="33">
        <f>Assumption_Nursery!H18*Assumption_Nursery!H188</f>
        <v>20000</v>
      </c>
      <c r="G13" s="33">
        <f>Assumption_Nursery!I18*Assumption_Nursery!I188</f>
        <v>20000</v>
      </c>
      <c r="H13" s="33">
        <f>Assumption_Nursery!J18*Assumption_Nursery!J188</f>
        <v>20000</v>
      </c>
      <c r="I13" s="33">
        <f>Assumption_Nursery!K18*Assumption_Nursery!K188</f>
        <v>20000</v>
      </c>
      <c r="J13" s="33">
        <f>Assumption_Nursery!L18*Assumption_Nursery!L188</f>
        <v>20000</v>
      </c>
      <c r="K13" s="33">
        <f>Assumption_Nursery!M18*Assumption_Nursery!M188</f>
        <v>20000</v>
      </c>
      <c r="L13" s="33">
        <f>Assumption_Nursery!N18*Assumption_Nursery!N188</f>
        <v>20000</v>
      </c>
      <c r="M13" s="33">
        <f>Assumption_Nursery!O18*Assumption_Nursery!O188</f>
        <v>20000</v>
      </c>
      <c r="N13" s="33">
        <f>Assumption_Nursery!P18*Assumption_Nursery!P188</f>
        <v>20000</v>
      </c>
      <c r="O13" s="33">
        <f>Assumption_Nursery!Q18*Assumption_Nursery!Q188</f>
        <v>20000</v>
      </c>
      <c r="P13" s="33">
        <f>Assumption_Nursery!R18*Assumption_Nursery!R188</f>
        <v>20000</v>
      </c>
      <c r="Q13" s="33">
        <f>Assumption_Nursery!S18*Assumption_Nursery!S188</f>
        <v>20000</v>
      </c>
      <c r="R13" s="33">
        <f>Assumption_Nursery!T18*Assumption_Nursery!T188</f>
        <v>20000</v>
      </c>
      <c r="S13" s="33">
        <f>Assumption_Nursery!U18*Assumption_Nursery!U188</f>
        <v>20000</v>
      </c>
      <c r="T13" s="33">
        <f>Assumption_Nursery!V18*Assumption_Nursery!V188</f>
        <v>20000</v>
      </c>
      <c r="U13" s="33">
        <f>Assumption_Nursery!W18*Assumption_Nursery!W188</f>
        <v>20000</v>
      </c>
      <c r="V13" s="33">
        <f>Assumption_Nursery!X18*Assumption_Nursery!X188</f>
        <v>20000</v>
      </c>
      <c r="W13" s="33">
        <f>Assumption_Nursery!Y18*Assumption_Nursery!Y188</f>
        <v>16000</v>
      </c>
      <c r="X13" s="33">
        <f>Assumption_Nursery!Z18*Assumption_Nursery!Z188</f>
        <v>10000</v>
      </c>
      <c r="Y13" s="33">
        <f>Assumption_Nursery!AA18*Assumption_Nursery!AA188</f>
        <v>4000</v>
      </c>
      <c r="Z13" s="33">
        <f>Assumption_Nursery!AB18*Assumption_Nursery!AB188</f>
        <v>0</v>
      </c>
    </row>
    <row r="14" spans="1:26" x14ac:dyDescent="0.25">
      <c r="A14" s="9" t="str">
        <f>BaU_Nursery!A42</f>
        <v>Labor</v>
      </c>
      <c r="B14" s="33">
        <f>BaU_Nursery!B42</f>
        <v>0</v>
      </c>
      <c r="C14" s="33">
        <f>BaU_Nursery!C42</f>
        <v>42420</v>
      </c>
      <c r="D14" s="33">
        <f>BaU_Nursery!D42</f>
        <v>107110.5</v>
      </c>
      <c r="E14" s="33">
        <f>BaU_Nursery!E42</f>
        <v>173090.56799999997</v>
      </c>
      <c r="F14" s="33">
        <f>BaU_Nursery!F42</f>
        <v>218526.84210000001</v>
      </c>
      <c r="G14" s="33">
        <f>BaU_Nursery!G42</f>
        <v>220712.11052099997</v>
      </c>
      <c r="H14" s="33">
        <f>BaU_Nursery!H42</f>
        <v>222919.23162621004</v>
      </c>
      <c r="I14" s="33">
        <f>BaU_Nursery!I42</f>
        <v>225148.42394247209</v>
      </c>
      <c r="J14" s="33">
        <f>BaU_Nursery!J42</f>
        <v>227399.90818189684</v>
      </c>
      <c r="K14" s="33">
        <f>BaU_Nursery!K42</f>
        <v>229673.90726371581</v>
      </c>
      <c r="L14" s="33">
        <f>BaU_Nursery!L42</f>
        <v>231970.64633635298</v>
      </c>
      <c r="M14" s="33">
        <f>BaU_Nursery!M42</f>
        <v>234290.35279971649</v>
      </c>
      <c r="N14" s="33">
        <f>BaU_Nursery!N42</f>
        <v>236633.25632771364</v>
      </c>
      <c r="O14" s="33">
        <f>BaU_Nursery!O42</f>
        <v>238999.5888909908</v>
      </c>
      <c r="P14" s="33">
        <f>BaU_Nursery!P42</f>
        <v>241389.58477990073</v>
      </c>
      <c r="Q14" s="33">
        <f>BaU_Nursery!Q42</f>
        <v>243803.4806276997</v>
      </c>
      <c r="R14" s="33">
        <f>BaU_Nursery!R42</f>
        <v>246241.51543397675</v>
      </c>
      <c r="S14" s="33">
        <f>BaU_Nursery!S42</f>
        <v>248703.93058831652</v>
      </c>
      <c r="T14" s="33">
        <f>BaU_Nursery!T42</f>
        <v>251190.96989419969</v>
      </c>
      <c r="U14" s="33">
        <f>BaU_Nursery!U42</f>
        <v>253702.87959314164</v>
      </c>
      <c r="V14" s="33">
        <f>BaU_Nursery!V42</f>
        <v>256239.9083890731</v>
      </c>
      <c r="W14" s="33">
        <f>BaU_Nursery!W42</f>
        <v>207041.84597837101</v>
      </c>
      <c r="X14" s="33">
        <f>BaU_Nursery!X42</f>
        <v>130695.16527384675</v>
      </c>
      <c r="Y14" s="33">
        <f>BaU_Nursery!Y42</f>
        <v>52800.846770634074</v>
      </c>
      <c r="Z14" s="33">
        <f>BaU_Nursery!Z42</f>
        <v>0</v>
      </c>
    </row>
    <row r="15" spans="1:26" s="50" customFormat="1" x14ac:dyDescent="0.25">
      <c r="A15" s="52" t="s">
        <v>131</v>
      </c>
      <c r="B15" s="49">
        <f>Assumption_Nursery!D43</f>
        <v>0</v>
      </c>
      <c r="C15" s="49">
        <f>Assumption_Nursery!E43</f>
        <v>74400</v>
      </c>
      <c r="D15" s="49">
        <f>Assumption_Nursery!F43</f>
        <v>111600</v>
      </c>
      <c r="E15" s="49">
        <f>Assumption_Nursery!G43</f>
        <v>111600</v>
      </c>
      <c r="F15" s="49">
        <f>Assumption_Nursery!H43</f>
        <v>74400</v>
      </c>
      <c r="G15" s="49">
        <f>Assumption_Nursery!I43</f>
        <v>0</v>
      </c>
      <c r="H15" s="49">
        <f>Assumption_Nursery!J43</f>
        <v>0</v>
      </c>
      <c r="I15" s="49">
        <f>Assumption_Nursery!K43</f>
        <v>0</v>
      </c>
      <c r="J15" s="49">
        <f>Assumption_Nursery!L43</f>
        <v>0</v>
      </c>
      <c r="K15" s="49">
        <f>Assumption_Nursery!M43</f>
        <v>0</v>
      </c>
      <c r="L15" s="49">
        <f>Assumption_Nursery!N43</f>
        <v>0</v>
      </c>
      <c r="M15" s="49">
        <f>Assumption_Nursery!O43</f>
        <v>0</v>
      </c>
      <c r="N15" s="49">
        <f>Assumption_Nursery!P43</f>
        <v>0</v>
      </c>
      <c r="O15" s="49">
        <f>Assumption_Nursery!Q43</f>
        <v>0</v>
      </c>
      <c r="P15" s="49">
        <f>Assumption_Nursery!R43</f>
        <v>0</v>
      </c>
      <c r="Q15" s="49">
        <f>Assumption_Nursery!S43</f>
        <v>0</v>
      </c>
      <c r="R15" s="49">
        <f>Assumption_Nursery!T43</f>
        <v>0</v>
      </c>
      <c r="S15" s="49">
        <f>Assumption_Nursery!U43</f>
        <v>0</v>
      </c>
      <c r="T15" s="49">
        <f>Assumption_Nursery!V43</f>
        <v>0</v>
      </c>
      <c r="U15" s="49">
        <f>Assumption_Nursery!W43</f>
        <v>0</v>
      </c>
      <c r="V15" s="49">
        <f>Assumption_Nursery!X43</f>
        <v>0</v>
      </c>
      <c r="W15" s="49">
        <f>Assumption_Nursery!Y43</f>
        <v>0</v>
      </c>
      <c r="X15" s="49">
        <f>Assumption_Nursery!Z43</f>
        <v>0</v>
      </c>
      <c r="Y15" s="49">
        <f>Assumption_Nursery!AA43</f>
        <v>0</v>
      </c>
      <c r="Z15" s="49">
        <f>Assumption_Nursery!AB43</f>
        <v>0</v>
      </c>
    </row>
    <row r="16" spans="1:26" x14ac:dyDescent="0.25">
      <c r="A16" s="117" t="s">
        <v>54</v>
      </c>
      <c r="B16" s="37">
        <f t="shared" ref="B16:Z16" si="1">SUM(B10:B15)</f>
        <v>0</v>
      </c>
      <c r="C16" s="37">
        <f t="shared" si="1"/>
        <v>250820</v>
      </c>
      <c r="D16" s="37">
        <f t="shared" si="1"/>
        <v>553710.5</v>
      </c>
      <c r="E16" s="37">
        <f t="shared" si="1"/>
        <v>822513.06799999997</v>
      </c>
      <c r="F16" s="37">
        <f t="shared" si="1"/>
        <v>962926.84210000001</v>
      </c>
      <c r="G16" s="37">
        <f t="shared" si="1"/>
        <v>890712.110521</v>
      </c>
      <c r="H16" s="37">
        <f t="shared" si="1"/>
        <v>895197.35662621004</v>
      </c>
      <c r="I16" s="37">
        <f t="shared" si="1"/>
        <v>895148.42394247209</v>
      </c>
      <c r="J16" s="37">
        <f t="shared" si="1"/>
        <v>897399.9081818969</v>
      </c>
      <c r="K16" s="37">
        <f t="shared" si="1"/>
        <v>901952.03226371575</v>
      </c>
      <c r="L16" s="37">
        <f t="shared" si="1"/>
        <v>901970.64633635292</v>
      </c>
      <c r="M16" s="37">
        <f t="shared" si="1"/>
        <v>904290.35279971652</v>
      </c>
      <c r="N16" s="37">
        <f t="shared" si="1"/>
        <v>908911.38132771361</v>
      </c>
      <c r="O16" s="37">
        <f t="shared" si="1"/>
        <v>908999.58889099082</v>
      </c>
      <c r="P16" s="37">
        <f t="shared" si="1"/>
        <v>911389.58477990073</v>
      </c>
      <c r="Q16" s="37">
        <f t="shared" si="1"/>
        <v>916081.60562769976</v>
      </c>
      <c r="R16" s="37">
        <f t="shared" si="1"/>
        <v>916241.51543397678</v>
      </c>
      <c r="S16" s="37">
        <f t="shared" si="1"/>
        <v>918703.93058831652</v>
      </c>
      <c r="T16" s="37">
        <f t="shared" si="1"/>
        <v>923469.09489419963</v>
      </c>
      <c r="U16" s="37">
        <f t="shared" si="1"/>
        <v>923702.87959314161</v>
      </c>
      <c r="V16" s="37">
        <f t="shared" si="1"/>
        <v>926239.9083890731</v>
      </c>
      <c r="W16" s="37">
        <f t="shared" si="1"/>
        <v>744864.34597837098</v>
      </c>
      <c r="X16" s="37">
        <f t="shared" si="1"/>
        <v>465695.16527384677</v>
      </c>
      <c r="Y16" s="37">
        <f t="shared" si="1"/>
        <v>186800.84677063406</v>
      </c>
      <c r="Z16" s="37">
        <f t="shared" si="1"/>
        <v>0</v>
      </c>
    </row>
    <row r="17" spans="1:27" x14ac:dyDescent="0.25">
      <c r="B17" s="32"/>
      <c r="C17" s="32"/>
      <c r="D17" s="32"/>
      <c r="E17" s="32"/>
      <c r="F17" s="32"/>
      <c r="G17" s="32"/>
      <c r="H17" s="32"/>
      <c r="I17" s="32"/>
      <c r="J17" s="32"/>
      <c r="K17" s="32"/>
      <c r="L17" s="32"/>
    </row>
    <row r="18" spans="1:27" x14ac:dyDescent="0.25">
      <c r="A18" s="23" t="s">
        <v>55</v>
      </c>
      <c r="B18" s="34">
        <f t="shared" ref="B18:Z18" si="2">B7-B16</f>
        <v>0</v>
      </c>
      <c r="C18" s="34">
        <f t="shared" si="2"/>
        <v>-90169.999999999971</v>
      </c>
      <c r="D18" s="34">
        <f t="shared" si="2"/>
        <v>-144052.99999999994</v>
      </c>
      <c r="E18" s="34">
        <f t="shared" si="2"/>
        <v>-250893.37879999995</v>
      </c>
      <c r="F18" s="34">
        <f t="shared" si="2"/>
        <v>-110511.51609999989</v>
      </c>
      <c r="G18" s="34">
        <f t="shared" si="2"/>
        <v>-21248.478000999894</v>
      </c>
      <c r="H18" s="34">
        <f t="shared" si="2"/>
        <v>-136938.12270551792</v>
      </c>
      <c r="I18" s="34">
        <f t="shared" si="2"/>
        <v>9441.5393313359236</v>
      </c>
      <c r="J18" s="34">
        <f t="shared" si="2"/>
        <v>25281.854357387288</v>
      </c>
      <c r="K18" s="34">
        <f t="shared" si="2"/>
        <v>-97281.267153205932</v>
      </c>
      <c r="L18" s="34">
        <f t="shared" si="2"/>
        <v>57987.4594095184</v>
      </c>
      <c r="M18" s="34">
        <f t="shared" si="2"/>
        <v>74866.915061072097</v>
      </c>
      <c r="N18" s="34">
        <f t="shared" si="2"/>
        <v>-54988.328026319621</v>
      </c>
      <c r="O18" s="34">
        <f t="shared" si="2"/>
        <v>109715.63259137375</v>
      </c>
      <c r="P18" s="34">
        <f t="shared" si="2"/>
        <v>127699.94113211124</v>
      </c>
      <c r="Q18" s="34">
        <f t="shared" si="2"/>
        <v>-9891.6300798343727</v>
      </c>
      <c r="R18" s="34">
        <f t="shared" si="2"/>
        <v>164827.22732488031</v>
      </c>
      <c r="S18" s="34">
        <f t="shared" si="2"/>
        <v>183986.18702571781</v>
      </c>
      <c r="T18" s="34">
        <f t="shared" si="2"/>
        <v>38186.956676999689</v>
      </c>
      <c r="U18" s="34">
        <f t="shared" si="2"/>
        <v>223535.91877249954</v>
      </c>
      <c r="V18" s="34">
        <f t="shared" si="2"/>
        <v>243943.66594388103</v>
      </c>
      <c r="W18" s="34">
        <f t="shared" si="2"/>
        <v>71549.330162244383</v>
      </c>
      <c r="X18" s="34">
        <f t="shared" si="2"/>
        <v>143034.33009415591</v>
      </c>
      <c r="Y18" s="34">
        <f t="shared" si="2"/>
        <v>61560.787339511007</v>
      </c>
      <c r="Z18" s="34">
        <f t="shared" si="2"/>
        <v>0</v>
      </c>
      <c r="AA18" s="12"/>
    </row>
    <row r="19" spans="1:27" x14ac:dyDescent="0.25">
      <c r="A19" s="23"/>
      <c r="B19" s="344"/>
      <c r="C19" s="344"/>
      <c r="D19" s="344"/>
      <c r="E19" s="344"/>
      <c r="F19" s="344"/>
      <c r="G19" s="344"/>
      <c r="H19" s="344"/>
      <c r="I19" s="344"/>
      <c r="J19" s="344"/>
      <c r="K19" s="344"/>
      <c r="L19" s="344"/>
      <c r="M19" s="344"/>
      <c r="N19" s="344"/>
      <c r="O19" s="344"/>
      <c r="P19" s="344"/>
      <c r="Q19" s="344"/>
      <c r="R19" s="344"/>
      <c r="S19" s="344"/>
      <c r="T19" s="344"/>
      <c r="U19" s="344"/>
      <c r="V19" s="344"/>
      <c r="W19" s="344"/>
      <c r="X19" s="344"/>
      <c r="Y19" s="344"/>
      <c r="Z19" s="344"/>
      <c r="AA19" s="12"/>
    </row>
    <row r="20" spans="1:27" x14ac:dyDescent="0.25">
      <c r="A20" s="10" t="s">
        <v>319</v>
      </c>
      <c r="B20" s="345">
        <f>B7/(1+Assumption_Nursery!$C76)^'RCP 8.5_Nursery'!B4</f>
        <v>0</v>
      </c>
      <c r="C20" s="345">
        <f>C7/(1+Assumption_Nursery!$C76)^'RCP 8.5_Nursery'!C4</f>
        <v>151556.60377358494</v>
      </c>
      <c r="D20" s="345">
        <f>D7/(1+Assumption_Nursery!$C76)^'RCP 8.5_Nursery'!D4</f>
        <v>364593.71662513353</v>
      </c>
      <c r="E20" s="345">
        <f>E7/(1+Assumption_Nursery!$C76)^'RCP 8.5_Nursery'!E4</f>
        <v>479942.91361325112</v>
      </c>
      <c r="F20" s="345">
        <f>F7/(1+Assumption_Nursery!$C76)^'RCP 8.5_Nursery'!F4</f>
        <v>675192.77817157144</v>
      </c>
      <c r="G20" s="345">
        <f>G7/(1+Assumption_Nursery!$C76)^'RCP 8.5_Nursery'!G4</f>
        <v>649713.80541038001</v>
      </c>
      <c r="H20" s="345">
        <f>H7/(1+Assumption_Nursery!$C76)^'RCP 8.5_Nursery'!H4</f>
        <v>534542.83933810599</v>
      </c>
      <c r="I20" s="345">
        <f>I7/(1+Assumption_Nursery!$C76)^'RCP 8.5_Nursery'!I4</f>
        <v>601603.98998661374</v>
      </c>
      <c r="J20" s="345">
        <f>J7/(1+Assumption_Nursery!$C76)^'RCP 8.5_Nursery'!J4</f>
        <v>578901.95262862835</v>
      </c>
      <c r="K20" s="345">
        <f>K7/(1+Assumption_Nursery!$C76)^'RCP 8.5_Nursery'!K4</f>
        <v>476283.38951644039</v>
      </c>
      <c r="L20" s="345">
        <f>L7/(1+Assumption_Nursery!$C76)^'RCP 8.5_Nursery'!L4</f>
        <v>536035.59230582498</v>
      </c>
      <c r="M20" s="345">
        <f>M7/(1+Assumption_Nursery!$C76)^'RCP 8.5_Nursery'!M4</f>
        <v>515807.83410560497</v>
      </c>
      <c r="N20" s="345">
        <f>N7/(1+Assumption_Nursery!$C76)^'RCP 8.5_Nursery'!N4</f>
        <v>424373.59634292283</v>
      </c>
      <c r="O20" s="345">
        <f>O7/(1+Assumption_Nursery!$C76)^'RCP 8.5_Nursery'!O4</f>
        <v>477613.44838329602</v>
      </c>
      <c r="P20" s="345">
        <f>P7/(1+Assumption_Nursery!$C76)^'RCP 8.5_Nursery'!P4</f>
        <v>459590.29938769998</v>
      </c>
      <c r="Q20" s="345">
        <f>Q7/(1+Assumption_Nursery!$C76)^'RCP 8.5_Nursery'!Q4</f>
        <v>378121.41518491786</v>
      </c>
      <c r="R20" s="345">
        <f>R7/(1+Assumption_Nursery!$C76)^'RCP 8.5_Nursery'!R4</f>
        <v>425558.69302506495</v>
      </c>
      <c r="S20" s="345">
        <f>S7/(1+Assumption_Nursery!$C76)^'RCP 8.5_Nursery'!S4</f>
        <v>409499.87442034553</v>
      </c>
      <c r="T20" s="345">
        <f>T7/(1+Assumption_Nursery!$C76)^'RCP 8.5_Nursery'!T4</f>
        <v>336910.22686979559</v>
      </c>
      <c r="U20" s="345">
        <f>U7/(1+Assumption_Nursery!$C76)^'RCP 8.5_Nursery'!U4</f>
        <v>379177.34900936933</v>
      </c>
      <c r="V20" s="345">
        <f>V7/(1+Assumption_Nursery!$C76)^'RCP 8.5_Nursery'!V4</f>
        <v>364868.76980146865</v>
      </c>
      <c r="W20" s="345">
        <f>W7/(1+Assumption_Nursery!$C76)^'RCP 8.5_Nursery'!W4</f>
        <v>240152.4936934798</v>
      </c>
      <c r="X20" s="345">
        <f>X7/(1+Assumption_Nursery!$C76)^'RCP 8.5_Nursery'!X4</f>
        <v>168925.53760299389</v>
      </c>
      <c r="Y20" s="345">
        <f>Y7/(1+Assumption_Nursery!$C76)^'RCP 8.5_Nursery'!Y4</f>
        <v>65020.395605680649</v>
      </c>
      <c r="Z20" s="345">
        <f>Z7/(1+Assumption_Nursery!$C76)^'RCP 8.5_Nursery'!Z4</f>
        <v>0</v>
      </c>
      <c r="AA20" s="343">
        <f>SUM(B20:Z20)</f>
        <v>9693987.5148021784</v>
      </c>
    </row>
    <row r="21" spans="1:27" s="12" customFormat="1" x14ac:dyDescent="0.25">
      <c r="A21" s="10" t="s">
        <v>320</v>
      </c>
      <c r="B21" s="346">
        <f>B16/(1+Assumption_Nursery!$C76)^'RCP 8.5_Nursery'!B4</f>
        <v>0</v>
      </c>
      <c r="C21" s="346">
        <f>C16/(1+Assumption_Nursery!$C76)^'RCP 8.5_Nursery'!C4</f>
        <v>236622.64150943395</v>
      </c>
      <c r="D21" s="346">
        <f>D16/(1+Assumption_Nursery!$C76)^'RCP 8.5_Nursery'!D4</f>
        <v>492800.37379850476</v>
      </c>
      <c r="E21" s="346">
        <f>E16/(1+Assumption_Nursery!$C76)^'RCP 8.5_Nursery'!E4</f>
        <v>690597.83243885869</v>
      </c>
      <c r="F21" s="346">
        <f>F16/(1+Assumption_Nursery!$C76)^'RCP 8.5_Nursery'!F4</f>
        <v>762728.24978920782</v>
      </c>
      <c r="G21" s="346">
        <f>G16/(1+Assumption_Nursery!$C76)^'RCP 8.5_Nursery'!G4</f>
        <v>665591.90425759181</v>
      </c>
      <c r="H21" s="346">
        <f>H16/(1+Assumption_Nursery!$C76)^'RCP 8.5_Nursery'!H4</f>
        <v>631078.81232738262</v>
      </c>
      <c r="I21" s="346">
        <f>I16/(1+Assumption_Nursery!$C76)^'RCP 8.5_Nursery'!I4</f>
        <v>595324.82709076372</v>
      </c>
      <c r="J21" s="346">
        <f>J16/(1+Assumption_Nursery!$C76)^'RCP 8.5_Nursery'!J4</f>
        <v>563039.80443434126</v>
      </c>
      <c r="K21" s="346">
        <f>K16/(1+Assumption_Nursery!$C76)^'RCP 8.5_Nursery'!K4</f>
        <v>533864.02207467693</v>
      </c>
      <c r="L21" s="346">
        <f>L16/(1+Assumption_Nursery!$C76)^'RCP 8.5_Nursery'!L4</f>
        <v>503655.69784497248</v>
      </c>
      <c r="M21" s="346">
        <f>M16/(1+Assumption_Nursery!$C76)^'RCP 8.5_Nursery'!M4</f>
        <v>476368.87718687818</v>
      </c>
      <c r="N21" s="346">
        <f>N16/(1+Assumption_Nursery!$C76)^'RCP 8.5_Nursery'!N4</f>
        <v>451701.11072632624</v>
      </c>
      <c r="O21" s="346">
        <f>O16/(1+Assumption_Nursery!$C76)^'RCP 8.5_Nursery'!O4</f>
        <v>426174.47847444413</v>
      </c>
      <c r="P21" s="346">
        <f>P16/(1+Assumption_Nursery!$C76)^'RCP 8.5_Nursery'!P4</f>
        <v>403108.49227373977</v>
      </c>
      <c r="Q21" s="346">
        <f>Q16/(1+Assumption_Nursery!$C76)^'RCP 8.5_Nursery'!Q4</f>
        <v>382248.84681095346</v>
      </c>
      <c r="R21" s="346">
        <f>R16/(1+Assumption_Nursery!$C76)^'RCP 8.5_Nursery'!R4</f>
        <v>360675.06753394526</v>
      </c>
      <c r="S21" s="346">
        <f>S16/(1+Assumption_Nursery!$C76)^'RCP 8.5_Nursery'!S4</f>
        <v>341173.95104566892</v>
      </c>
      <c r="T21" s="346">
        <f>T16/(1+Assumption_Nursery!$C76)^'RCP 8.5_Nursery'!T4</f>
        <v>323531.66369588883</v>
      </c>
      <c r="U21" s="346">
        <f>U16/(1+Assumption_Nursery!$C76)^'RCP 8.5_Nursery'!U4</f>
        <v>305295.81954115484</v>
      </c>
      <c r="V21" s="346">
        <f>V16/(1+Assumption_Nursery!$C76)^'RCP 8.5_Nursery'!V4</f>
        <v>288805.98166624666</v>
      </c>
      <c r="W21" s="346">
        <f>W16/(1+Assumption_Nursery!$C76)^'RCP 8.5_Nursery'!W4</f>
        <v>219105.87166506387</v>
      </c>
      <c r="X21" s="346">
        <f>X16/(1+Assumption_Nursery!$C76)^'RCP 8.5_Nursery'!X4</f>
        <v>129232.78196901178</v>
      </c>
      <c r="Y21" s="346">
        <f>Y16/(1+Assumption_Nursery!$C76)^'RCP 8.5_Nursery'!Y4</f>
        <v>48903.950080777089</v>
      </c>
      <c r="Z21" s="346">
        <f>Z16/(1+Assumption_Nursery!$C76)^'RCP 8.5_Nursery'!Z4</f>
        <v>0</v>
      </c>
      <c r="AA21" s="343">
        <f>SUM(B21:Z21)</f>
        <v>9831631.0582358334</v>
      </c>
    </row>
    <row r="22" spans="1:27" s="12" customFormat="1" x14ac:dyDescent="0.25">
      <c r="A22" s="23"/>
      <c r="B22" s="342"/>
      <c r="C22" s="342"/>
      <c r="D22" s="342"/>
      <c r="E22" s="342"/>
      <c r="F22" s="342"/>
      <c r="G22" s="342"/>
      <c r="H22" s="342"/>
      <c r="I22" s="342"/>
      <c r="J22" s="342"/>
      <c r="K22" s="342"/>
      <c r="L22" s="342"/>
      <c r="M22" s="342"/>
      <c r="N22" s="342"/>
      <c r="O22" s="342"/>
      <c r="P22" s="342"/>
      <c r="Q22" s="342"/>
      <c r="R22" s="342"/>
      <c r="S22" s="342"/>
      <c r="T22" s="342"/>
      <c r="U22" s="342"/>
      <c r="V22" s="342"/>
      <c r="W22" s="342"/>
      <c r="X22" s="342"/>
      <c r="Y22" s="342"/>
      <c r="Z22" s="342"/>
    </row>
    <row r="23" spans="1:27" x14ac:dyDescent="0.25">
      <c r="B23" s="32"/>
      <c r="C23" s="32"/>
      <c r="D23" s="32"/>
      <c r="E23" s="32"/>
      <c r="F23" s="32"/>
      <c r="G23" s="32"/>
      <c r="H23" s="32"/>
      <c r="I23" s="32"/>
      <c r="J23" s="32"/>
      <c r="K23" s="32"/>
      <c r="L23" s="32"/>
    </row>
    <row r="24" spans="1:27" s="12" customFormat="1" x14ac:dyDescent="0.25">
      <c r="A24" s="25" t="s">
        <v>318</v>
      </c>
      <c r="B24" s="35">
        <f>NPV(Assumption_Hatchery!C76,C18:Z18)+B18</f>
        <v>-137643.54343365846</v>
      </c>
      <c r="C24" s="40"/>
      <c r="D24" s="40"/>
      <c r="E24" s="40"/>
      <c r="F24" s="40"/>
      <c r="G24" s="40"/>
      <c r="H24" s="40"/>
      <c r="I24" s="40"/>
      <c r="J24" s="40"/>
      <c r="K24" s="40"/>
      <c r="L24" s="40"/>
    </row>
    <row r="26" spans="1:27" s="12" customFormat="1" x14ac:dyDescent="0.25">
      <c r="A26" s="25" t="s">
        <v>238</v>
      </c>
      <c r="B26" s="36">
        <f>IRR(B18:Z18)</f>
        <v>4.1847689875542882E-2</v>
      </c>
      <c r="C26" s="4"/>
      <c r="D26" s="4"/>
      <c r="E26" s="4"/>
      <c r="F26" s="4"/>
      <c r="G26" s="4"/>
      <c r="H26" s="4"/>
      <c r="I26" s="4"/>
      <c r="J26" s="4"/>
      <c r="K26" s="4"/>
      <c r="L26" s="4"/>
    </row>
    <row r="29" spans="1:27" s="1" customFormat="1" x14ac:dyDescent="0.25">
      <c r="A29" s="24"/>
      <c r="B29" s="42"/>
      <c r="C29" s="42"/>
      <c r="D29" s="42"/>
      <c r="E29" s="42"/>
      <c r="F29" s="42"/>
      <c r="G29" s="42"/>
      <c r="H29" s="42"/>
      <c r="I29" s="42"/>
      <c r="J29" s="42"/>
      <c r="K29" s="42"/>
      <c r="L29" s="42"/>
    </row>
    <row r="31" spans="1:27" ht="38.25" customHeight="1" x14ac:dyDescent="0.25">
      <c r="A31" s="11" t="s">
        <v>332</v>
      </c>
      <c r="B31" s="30"/>
      <c r="C31" s="69"/>
      <c r="D31" s="70"/>
      <c r="E31" s="30"/>
      <c r="F31" s="116" t="s">
        <v>90</v>
      </c>
      <c r="G31" s="30"/>
      <c r="H31" s="30"/>
      <c r="I31" s="30"/>
      <c r="J31" s="30"/>
      <c r="K31" s="30"/>
      <c r="L31" s="30"/>
      <c r="M31" s="11"/>
    </row>
    <row r="32" spans="1:27" ht="38.25" customHeight="1" x14ac:dyDescent="0.25">
      <c r="A32" s="11"/>
      <c r="B32" s="30"/>
      <c r="C32" s="69"/>
      <c r="D32" s="70"/>
      <c r="E32" s="30"/>
      <c r="F32" s="116"/>
      <c r="G32" s="30"/>
      <c r="H32" s="30"/>
      <c r="I32" s="30"/>
      <c r="J32" s="30"/>
      <c r="K32" s="30"/>
      <c r="L32" s="30"/>
      <c r="M32" s="11"/>
    </row>
    <row r="33" spans="1:26" x14ac:dyDescent="0.25">
      <c r="A33" s="10" t="s">
        <v>19</v>
      </c>
      <c r="B33" s="26">
        <v>0</v>
      </c>
      <c r="C33" s="26">
        <v>1</v>
      </c>
      <c r="D33" s="26">
        <v>2</v>
      </c>
      <c r="E33" s="26">
        <v>3</v>
      </c>
      <c r="F33" s="26">
        <v>4</v>
      </c>
      <c r="G33" s="26">
        <v>5</v>
      </c>
      <c r="H33" s="26">
        <v>6</v>
      </c>
      <c r="I33" s="26">
        <v>7</v>
      </c>
      <c r="J33" s="26">
        <v>8</v>
      </c>
      <c r="K33" s="26">
        <v>9</v>
      </c>
      <c r="L33" s="26">
        <v>10</v>
      </c>
      <c r="M33" s="26">
        <v>11</v>
      </c>
      <c r="N33" s="26">
        <v>12</v>
      </c>
      <c r="O33" s="26">
        <v>13</v>
      </c>
      <c r="P33" s="26">
        <v>14</v>
      </c>
      <c r="Q33" s="26">
        <v>15</v>
      </c>
      <c r="R33" s="26">
        <v>16</v>
      </c>
      <c r="S33" s="26">
        <v>17</v>
      </c>
      <c r="T33" s="26">
        <v>18</v>
      </c>
      <c r="U33" s="26">
        <v>19</v>
      </c>
      <c r="V33" s="26">
        <v>20</v>
      </c>
      <c r="W33" s="26">
        <v>21</v>
      </c>
      <c r="X33" s="26">
        <v>22</v>
      </c>
      <c r="Y33" s="26">
        <v>23</v>
      </c>
      <c r="Z33" s="26">
        <v>24</v>
      </c>
    </row>
    <row r="34" spans="1:26" x14ac:dyDescent="0.25">
      <c r="A34" s="23" t="s">
        <v>3</v>
      </c>
    </row>
    <row r="35" spans="1:26" x14ac:dyDescent="0.25">
      <c r="A35" s="10" t="str">
        <f t="shared" ref="A35:Z35" si="3">A6</f>
        <v>Small Crab Sale ($)</v>
      </c>
      <c r="B35" s="31">
        <f t="shared" si="3"/>
        <v>0</v>
      </c>
      <c r="C35" s="31">
        <f t="shared" si="3"/>
        <v>160650.00000000003</v>
      </c>
      <c r="D35" s="31">
        <f t="shared" si="3"/>
        <v>409657.50000000006</v>
      </c>
      <c r="E35" s="31">
        <f t="shared" si="3"/>
        <v>571619.68920000002</v>
      </c>
      <c r="F35" s="31">
        <f t="shared" si="3"/>
        <v>852415.32600000012</v>
      </c>
      <c r="G35" s="31">
        <f t="shared" si="3"/>
        <v>869463.6325200001</v>
      </c>
      <c r="H35" s="31">
        <f t="shared" si="3"/>
        <v>758259.23392069212</v>
      </c>
      <c r="I35" s="31">
        <f t="shared" si="3"/>
        <v>904589.96327380801</v>
      </c>
      <c r="J35" s="31">
        <f t="shared" si="3"/>
        <v>922681.76253928419</v>
      </c>
      <c r="K35" s="31">
        <f t="shared" si="3"/>
        <v>804670.76511050982</v>
      </c>
      <c r="L35" s="31">
        <f t="shared" si="3"/>
        <v>959958.10574587132</v>
      </c>
      <c r="M35" s="31">
        <f t="shared" si="3"/>
        <v>979157.26786078862</v>
      </c>
      <c r="N35" s="31">
        <f t="shared" si="3"/>
        <v>853923.05330139399</v>
      </c>
      <c r="O35" s="31">
        <f t="shared" si="3"/>
        <v>1018715.2214823646</v>
      </c>
      <c r="P35" s="31">
        <f t="shared" si="3"/>
        <v>1039089.525912012</v>
      </c>
      <c r="Q35" s="31">
        <f t="shared" si="3"/>
        <v>906189.97554786538</v>
      </c>
      <c r="R35" s="31">
        <f t="shared" si="3"/>
        <v>1081068.7427588571</v>
      </c>
      <c r="S35" s="31">
        <f t="shared" si="3"/>
        <v>1102690.1176140343</v>
      </c>
      <c r="T35" s="31">
        <f t="shared" si="3"/>
        <v>961656.05157119932</v>
      </c>
      <c r="U35" s="31">
        <f t="shared" si="3"/>
        <v>1147238.7983656412</v>
      </c>
      <c r="V35" s="31">
        <f t="shared" si="3"/>
        <v>1170183.5743329541</v>
      </c>
      <c r="W35" s="31">
        <f t="shared" si="3"/>
        <v>816413.67614061537</v>
      </c>
      <c r="X35" s="31">
        <f t="shared" si="3"/>
        <v>608729.49536800268</v>
      </c>
      <c r="Y35" s="31">
        <f t="shared" si="3"/>
        <v>248361.63411014507</v>
      </c>
      <c r="Z35" s="31">
        <f t="shared" si="3"/>
        <v>0</v>
      </c>
    </row>
    <row r="36" spans="1:26" s="12" customFormat="1" x14ac:dyDescent="0.25">
      <c r="A36" s="23" t="s">
        <v>53</v>
      </c>
      <c r="B36" s="38">
        <f t="shared" ref="B36:Z36" si="4">B7</f>
        <v>0</v>
      </c>
      <c r="C36" s="38">
        <f t="shared" si="4"/>
        <v>160650.00000000003</v>
      </c>
      <c r="D36" s="38">
        <f t="shared" si="4"/>
        <v>409657.50000000006</v>
      </c>
      <c r="E36" s="38">
        <f t="shared" si="4"/>
        <v>571619.68920000002</v>
      </c>
      <c r="F36" s="38">
        <f t="shared" si="4"/>
        <v>852415.32600000012</v>
      </c>
      <c r="G36" s="38">
        <f t="shared" si="4"/>
        <v>869463.6325200001</v>
      </c>
      <c r="H36" s="38">
        <f t="shared" si="4"/>
        <v>758259.23392069212</v>
      </c>
      <c r="I36" s="38">
        <f t="shared" si="4"/>
        <v>904589.96327380801</v>
      </c>
      <c r="J36" s="38">
        <f t="shared" si="4"/>
        <v>922681.76253928419</v>
      </c>
      <c r="K36" s="38">
        <f t="shared" si="4"/>
        <v>804670.76511050982</v>
      </c>
      <c r="L36" s="38">
        <f t="shared" si="4"/>
        <v>959958.10574587132</v>
      </c>
      <c r="M36" s="38">
        <f t="shared" si="4"/>
        <v>979157.26786078862</v>
      </c>
      <c r="N36" s="38">
        <f t="shared" si="4"/>
        <v>853923.05330139399</v>
      </c>
      <c r="O36" s="38">
        <f t="shared" si="4"/>
        <v>1018715.2214823646</v>
      </c>
      <c r="P36" s="38">
        <f t="shared" si="4"/>
        <v>1039089.525912012</v>
      </c>
      <c r="Q36" s="38">
        <f t="shared" si="4"/>
        <v>906189.97554786538</v>
      </c>
      <c r="R36" s="38">
        <f t="shared" si="4"/>
        <v>1081068.7427588571</v>
      </c>
      <c r="S36" s="38">
        <f t="shared" si="4"/>
        <v>1102690.1176140343</v>
      </c>
      <c r="T36" s="38">
        <f t="shared" si="4"/>
        <v>961656.05157119932</v>
      </c>
      <c r="U36" s="38">
        <f t="shared" si="4"/>
        <v>1147238.7983656412</v>
      </c>
      <c r="V36" s="38">
        <f t="shared" si="4"/>
        <v>1170183.5743329541</v>
      </c>
      <c r="W36" s="38">
        <f t="shared" si="4"/>
        <v>816413.67614061537</v>
      </c>
      <c r="X36" s="38">
        <f t="shared" si="4"/>
        <v>608729.49536800268</v>
      </c>
      <c r="Y36" s="38">
        <f t="shared" si="4"/>
        <v>248361.63411014507</v>
      </c>
      <c r="Z36" s="38">
        <f t="shared" si="4"/>
        <v>0</v>
      </c>
    </row>
    <row r="37" spans="1:26" x14ac:dyDescent="0.25">
      <c r="A37" s="23"/>
      <c r="B37" s="41"/>
      <c r="C37" s="41"/>
      <c r="D37" s="41"/>
      <c r="E37" s="41"/>
      <c r="F37" s="41"/>
      <c r="G37" s="41"/>
      <c r="H37" s="41"/>
      <c r="I37" s="41"/>
      <c r="J37" s="41"/>
      <c r="K37" s="41"/>
    </row>
    <row r="38" spans="1:26" x14ac:dyDescent="0.25">
      <c r="A38" s="23" t="s">
        <v>20</v>
      </c>
    </row>
    <row r="39" spans="1:26" x14ac:dyDescent="0.25">
      <c r="A39" s="9" t="str">
        <f t="shared" ref="A39:Z39" si="5">A10</f>
        <v>Crab Nursery Establishment</v>
      </c>
      <c r="B39" s="33">
        <f t="shared" si="5"/>
        <v>0</v>
      </c>
      <c r="C39" s="33">
        <f t="shared" si="5"/>
        <v>40000</v>
      </c>
      <c r="D39" s="33">
        <f t="shared" si="5"/>
        <v>100000</v>
      </c>
      <c r="E39" s="33">
        <f t="shared" si="5"/>
        <v>160000</v>
      </c>
      <c r="F39" s="33">
        <f t="shared" si="5"/>
        <v>200000</v>
      </c>
      <c r="G39" s="33">
        <f t="shared" si="5"/>
        <v>200000</v>
      </c>
      <c r="H39" s="33">
        <f t="shared" si="5"/>
        <v>200000</v>
      </c>
      <c r="I39" s="33">
        <f t="shared" si="5"/>
        <v>200000</v>
      </c>
      <c r="J39" s="33">
        <f t="shared" si="5"/>
        <v>200000</v>
      </c>
      <c r="K39" s="33">
        <f t="shared" si="5"/>
        <v>200000</v>
      </c>
      <c r="L39" s="33">
        <f t="shared" si="5"/>
        <v>200000</v>
      </c>
      <c r="M39" s="33">
        <f t="shared" si="5"/>
        <v>200000</v>
      </c>
      <c r="N39" s="33">
        <f t="shared" si="5"/>
        <v>200000</v>
      </c>
      <c r="O39" s="33">
        <f t="shared" si="5"/>
        <v>200000</v>
      </c>
      <c r="P39" s="33">
        <f t="shared" si="5"/>
        <v>200000</v>
      </c>
      <c r="Q39" s="33">
        <f t="shared" si="5"/>
        <v>200000</v>
      </c>
      <c r="R39" s="33">
        <f t="shared" si="5"/>
        <v>200000</v>
      </c>
      <c r="S39" s="33">
        <f t="shared" si="5"/>
        <v>200000</v>
      </c>
      <c r="T39" s="33">
        <f t="shared" si="5"/>
        <v>200000</v>
      </c>
      <c r="U39" s="33">
        <f t="shared" si="5"/>
        <v>200000</v>
      </c>
      <c r="V39" s="33">
        <f t="shared" si="5"/>
        <v>200000</v>
      </c>
      <c r="W39" s="33">
        <f t="shared" si="5"/>
        <v>160000</v>
      </c>
      <c r="X39" s="33">
        <f t="shared" si="5"/>
        <v>100000</v>
      </c>
      <c r="Y39" s="33">
        <f t="shared" si="5"/>
        <v>40000</v>
      </c>
      <c r="Z39" s="33">
        <f t="shared" si="5"/>
        <v>0</v>
      </c>
    </row>
    <row r="40" spans="1:26" x14ac:dyDescent="0.25">
      <c r="A40" s="9" t="str">
        <f t="shared" ref="A40:Z40" si="6">A11</f>
        <v>Operation Cost (Crablet purchase)</v>
      </c>
      <c r="B40" s="33">
        <f t="shared" si="6"/>
        <v>0</v>
      </c>
      <c r="C40" s="33">
        <f t="shared" si="6"/>
        <v>85000.000000000015</v>
      </c>
      <c r="D40" s="33">
        <f t="shared" si="6"/>
        <v>212500.00000000003</v>
      </c>
      <c r="E40" s="33">
        <f t="shared" si="6"/>
        <v>340000.00000000006</v>
      </c>
      <c r="F40" s="33">
        <f t="shared" si="6"/>
        <v>425000.00000000006</v>
      </c>
      <c r="G40" s="33">
        <f t="shared" si="6"/>
        <v>425000.00000000006</v>
      </c>
      <c r="H40" s="33">
        <f t="shared" si="6"/>
        <v>425000.00000000006</v>
      </c>
      <c r="I40" s="33">
        <f t="shared" si="6"/>
        <v>425000.00000000006</v>
      </c>
      <c r="J40" s="33">
        <f t="shared" si="6"/>
        <v>425000.00000000006</v>
      </c>
      <c r="K40" s="33">
        <f t="shared" si="6"/>
        <v>425000.00000000006</v>
      </c>
      <c r="L40" s="33">
        <f t="shared" si="6"/>
        <v>425000.00000000006</v>
      </c>
      <c r="M40" s="33">
        <f t="shared" si="6"/>
        <v>425000.00000000006</v>
      </c>
      <c r="N40" s="33">
        <f t="shared" si="6"/>
        <v>425000.00000000006</v>
      </c>
      <c r="O40" s="33">
        <f t="shared" si="6"/>
        <v>425000.00000000006</v>
      </c>
      <c r="P40" s="33">
        <f t="shared" si="6"/>
        <v>425000.00000000006</v>
      </c>
      <c r="Q40" s="33">
        <f t="shared" si="6"/>
        <v>425000.00000000006</v>
      </c>
      <c r="R40" s="33">
        <f t="shared" si="6"/>
        <v>425000.00000000006</v>
      </c>
      <c r="S40" s="33">
        <f t="shared" si="6"/>
        <v>425000.00000000006</v>
      </c>
      <c r="T40" s="33">
        <f t="shared" si="6"/>
        <v>425000.00000000006</v>
      </c>
      <c r="U40" s="33">
        <f t="shared" si="6"/>
        <v>425000.00000000006</v>
      </c>
      <c r="V40" s="33">
        <f t="shared" si="6"/>
        <v>425000.00000000006</v>
      </c>
      <c r="W40" s="33">
        <f t="shared" si="6"/>
        <v>340000.00000000006</v>
      </c>
      <c r="X40" s="33">
        <f t="shared" si="6"/>
        <v>212500.00000000003</v>
      </c>
      <c r="Y40" s="33">
        <f t="shared" si="6"/>
        <v>85000.000000000015</v>
      </c>
      <c r="Z40" s="33">
        <f t="shared" si="6"/>
        <v>0</v>
      </c>
    </row>
    <row r="41" spans="1:26" x14ac:dyDescent="0.25">
      <c r="A41" s="9" t="str">
        <f t="shared" ref="A41:Z41" si="7">A12</f>
        <v>Feed</v>
      </c>
      <c r="B41" s="33">
        <f t="shared" si="7"/>
        <v>0</v>
      </c>
      <c r="C41" s="33">
        <f t="shared" si="7"/>
        <v>5000</v>
      </c>
      <c r="D41" s="33">
        <f t="shared" si="7"/>
        <v>12500</v>
      </c>
      <c r="E41" s="33">
        <f t="shared" si="7"/>
        <v>21822.499999999996</v>
      </c>
      <c r="F41" s="33">
        <f t="shared" si="7"/>
        <v>25000</v>
      </c>
      <c r="G41" s="33">
        <f t="shared" si="7"/>
        <v>25000</v>
      </c>
      <c r="H41" s="33">
        <f t="shared" si="7"/>
        <v>27278.124999999996</v>
      </c>
      <c r="I41" s="33">
        <f t="shared" si="7"/>
        <v>25000</v>
      </c>
      <c r="J41" s="33">
        <f t="shared" si="7"/>
        <v>25000</v>
      </c>
      <c r="K41" s="33">
        <f t="shared" si="7"/>
        <v>27278.124999999996</v>
      </c>
      <c r="L41" s="33">
        <f t="shared" si="7"/>
        <v>25000</v>
      </c>
      <c r="M41" s="33">
        <f t="shared" si="7"/>
        <v>25000</v>
      </c>
      <c r="N41" s="33">
        <f t="shared" si="7"/>
        <v>27278.124999999996</v>
      </c>
      <c r="O41" s="33">
        <f t="shared" si="7"/>
        <v>25000</v>
      </c>
      <c r="P41" s="33">
        <f t="shared" si="7"/>
        <v>25000</v>
      </c>
      <c r="Q41" s="33">
        <f t="shared" si="7"/>
        <v>27278.124999999996</v>
      </c>
      <c r="R41" s="33">
        <f t="shared" si="7"/>
        <v>25000</v>
      </c>
      <c r="S41" s="33">
        <f t="shared" si="7"/>
        <v>25000</v>
      </c>
      <c r="T41" s="33">
        <f t="shared" si="7"/>
        <v>27278.124999999996</v>
      </c>
      <c r="U41" s="33">
        <f t="shared" si="7"/>
        <v>25000</v>
      </c>
      <c r="V41" s="33">
        <f t="shared" si="7"/>
        <v>25000</v>
      </c>
      <c r="W41" s="33">
        <f t="shared" si="7"/>
        <v>21822.499999999996</v>
      </c>
      <c r="X41" s="33">
        <f t="shared" si="7"/>
        <v>12500</v>
      </c>
      <c r="Y41" s="33">
        <f t="shared" si="7"/>
        <v>5000</v>
      </c>
      <c r="Z41" s="33">
        <f t="shared" si="7"/>
        <v>0</v>
      </c>
    </row>
    <row r="42" spans="1:26" x14ac:dyDescent="0.25">
      <c r="A42" s="9" t="str">
        <f t="shared" ref="A42:Z42" si="8">A13</f>
        <v>Land rent</v>
      </c>
      <c r="B42" s="33">
        <f t="shared" si="8"/>
        <v>0</v>
      </c>
      <c r="C42" s="33">
        <f t="shared" si="8"/>
        <v>4000</v>
      </c>
      <c r="D42" s="33">
        <f t="shared" si="8"/>
        <v>10000</v>
      </c>
      <c r="E42" s="33">
        <f t="shared" si="8"/>
        <v>16000</v>
      </c>
      <c r="F42" s="33">
        <f t="shared" si="8"/>
        <v>20000</v>
      </c>
      <c r="G42" s="33">
        <f t="shared" si="8"/>
        <v>20000</v>
      </c>
      <c r="H42" s="33">
        <f t="shared" si="8"/>
        <v>20000</v>
      </c>
      <c r="I42" s="33">
        <f t="shared" si="8"/>
        <v>20000</v>
      </c>
      <c r="J42" s="33">
        <f t="shared" si="8"/>
        <v>20000</v>
      </c>
      <c r="K42" s="33">
        <f t="shared" si="8"/>
        <v>20000</v>
      </c>
      <c r="L42" s="33">
        <f t="shared" si="8"/>
        <v>20000</v>
      </c>
      <c r="M42" s="33">
        <f t="shared" si="8"/>
        <v>20000</v>
      </c>
      <c r="N42" s="33">
        <f t="shared" si="8"/>
        <v>20000</v>
      </c>
      <c r="O42" s="33">
        <f t="shared" si="8"/>
        <v>20000</v>
      </c>
      <c r="P42" s="33">
        <f t="shared" si="8"/>
        <v>20000</v>
      </c>
      <c r="Q42" s="33">
        <f t="shared" si="8"/>
        <v>20000</v>
      </c>
      <c r="R42" s="33">
        <f t="shared" si="8"/>
        <v>20000</v>
      </c>
      <c r="S42" s="33">
        <f t="shared" si="8"/>
        <v>20000</v>
      </c>
      <c r="T42" s="33">
        <f t="shared" si="8"/>
        <v>20000</v>
      </c>
      <c r="U42" s="33">
        <f t="shared" si="8"/>
        <v>20000</v>
      </c>
      <c r="V42" s="33">
        <f t="shared" si="8"/>
        <v>20000</v>
      </c>
      <c r="W42" s="33">
        <f t="shared" si="8"/>
        <v>16000</v>
      </c>
      <c r="X42" s="33">
        <f t="shared" si="8"/>
        <v>10000</v>
      </c>
      <c r="Y42" s="33">
        <f t="shared" si="8"/>
        <v>4000</v>
      </c>
      <c r="Z42" s="33">
        <f t="shared" si="8"/>
        <v>0</v>
      </c>
    </row>
    <row r="43" spans="1:26" x14ac:dyDescent="0.25">
      <c r="A43" s="9" t="str">
        <f t="shared" ref="A43:Z43" si="9">A14</f>
        <v>Labor</v>
      </c>
      <c r="B43" s="33">
        <f t="shared" si="9"/>
        <v>0</v>
      </c>
      <c r="C43" s="33">
        <f t="shared" si="9"/>
        <v>42420</v>
      </c>
      <c r="D43" s="33">
        <f t="shared" si="9"/>
        <v>107110.5</v>
      </c>
      <c r="E43" s="33">
        <f t="shared" si="9"/>
        <v>173090.56799999997</v>
      </c>
      <c r="F43" s="33">
        <f t="shared" si="9"/>
        <v>218526.84210000001</v>
      </c>
      <c r="G43" s="33">
        <f t="shared" si="9"/>
        <v>220712.11052099997</v>
      </c>
      <c r="H43" s="33">
        <f t="shared" si="9"/>
        <v>222919.23162621004</v>
      </c>
      <c r="I43" s="33">
        <f t="shared" si="9"/>
        <v>225148.42394247209</v>
      </c>
      <c r="J43" s="33">
        <f t="shared" si="9"/>
        <v>227399.90818189684</v>
      </c>
      <c r="K43" s="33">
        <f t="shared" si="9"/>
        <v>229673.90726371581</v>
      </c>
      <c r="L43" s="33">
        <f t="shared" si="9"/>
        <v>231970.64633635298</v>
      </c>
      <c r="M43" s="33">
        <f t="shared" si="9"/>
        <v>234290.35279971649</v>
      </c>
      <c r="N43" s="33">
        <f t="shared" si="9"/>
        <v>236633.25632771364</v>
      </c>
      <c r="O43" s="33">
        <f t="shared" si="9"/>
        <v>238999.5888909908</v>
      </c>
      <c r="P43" s="33">
        <f t="shared" si="9"/>
        <v>241389.58477990073</v>
      </c>
      <c r="Q43" s="33">
        <f t="shared" si="9"/>
        <v>243803.4806276997</v>
      </c>
      <c r="R43" s="33">
        <f t="shared" si="9"/>
        <v>246241.51543397675</v>
      </c>
      <c r="S43" s="33">
        <f t="shared" si="9"/>
        <v>248703.93058831652</v>
      </c>
      <c r="T43" s="33">
        <f t="shared" si="9"/>
        <v>251190.96989419969</v>
      </c>
      <c r="U43" s="33">
        <f t="shared" si="9"/>
        <v>253702.87959314164</v>
      </c>
      <c r="V43" s="33">
        <f t="shared" si="9"/>
        <v>256239.9083890731</v>
      </c>
      <c r="W43" s="33">
        <f t="shared" si="9"/>
        <v>207041.84597837101</v>
      </c>
      <c r="X43" s="33">
        <f t="shared" si="9"/>
        <v>130695.16527384675</v>
      </c>
      <c r="Y43" s="33">
        <f t="shared" si="9"/>
        <v>52800.846770634074</v>
      </c>
      <c r="Z43" s="33">
        <f t="shared" si="9"/>
        <v>0</v>
      </c>
    </row>
    <row r="44" spans="1:26" s="50" customFormat="1" x14ac:dyDescent="0.25">
      <c r="A44" s="52" t="str">
        <f>A15</f>
        <v>Debt Service</v>
      </c>
      <c r="B44" s="49">
        <f>Assumption_Nursery!D53</f>
        <v>0</v>
      </c>
      <c r="C44" s="49">
        <f>Assumption_Nursery!E53</f>
        <v>24800</v>
      </c>
      <c r="D44" s="49">
        <f>Assumption_Nursery!F53</f>
        <v>37200</v>
      </c>
      <c r="E44" s="49">
        <f>Assumption_Nursery!G53</f>
        <v>37200</v>
      </c>
      <c r="F44" s="49">
        <f>Assumption_Nursery!H53</f>
        <v>24800</v>
      </c>
      <c r="G44" s="49">
        <f>Assumption_Nursery!I53</f>
        <v>0</v>
      </c>
      <c r="H44" s="49">
        <f>Assumption_Nursery!J53</f>
        <v>0</v>
      </c>
      <c r="I44" s="49">
        <f>Assumption_Nursery!K53</f>
        <v>0</v>
      </c>
      <c r="J44" s="49">
        <f>Assumption_Nursery!L53</f>
        <v>0</v>
      </c>
      <c r="K44" s="49">
        <f>Assumption_Nursery!M53</f>
        <v>0</v>
      </c>
      <c r="L44" s="49">
        <f>Assumption_Nursery!N53</f>
        <v>0</v>
      </c>
      <c r="M44" s="49">
        <f>Assumption_Nursery!O53</f>
        <v>0</v>
      </c>
      <c r="N44" s="49">
        <f>Assumption_Nursery!P53</f>
        <v>0</v>
      </c>
      <c r="O44" s="49">
        <f>Assumption_Nursery!Q53</f>
        <v>0</v>
      </c>
      <c r="P44" s="49">
        <f>Assumption_Nursery!R53</f>
        <v>0</v>
      </c>
      <c r="Q44" s="49">
        <f>Assumption_Nursery!S53</f>
        <v>0</v>
      </c>
      <c r="R44" s="49">
        <f>Assumption_Nursery!T53</f>
        <v>0</v>
      </c>
      <c r="S44" s="49">
        <f>Assumption_Nursery!U53</f>
        <v>0</v>
      </c>
      <c r="T44" s="49">
        <f>Assumption_Nursery!V53</f>
        <v>0</v>
      </c>
      <c r="U44" s="49">
        <f>Assumption_Nursery!W53</f>
        <v>0</v>
      </c>
      <c r="V44" s="49">
        <f>Assumption_Nursery!X53</f>
        <v>0</v>
      </c>
      <c r="W44" s="49">
        <f>Assumption_Nursery!Y53</f>
        <v>0</v>
      </c>
      <c r="X44" s="49">
        <f>Assumption_Nursery!Z53</f>
        <v>0</v>
      </c>
      <c r="Y44" s="49">
        <f>Assumption_Nursery!AA53</f>
        <v>0</v>
      </c>
      <c r="Z44" s="49">
        <f>Assumption_Nursery!AB53</f>
        <v>0</v>
      </c>
    </row>
    <row r="45" spans="1:26" x14ac:dyDescent="0.25">
      <c r="A45" s="117" t="s">
        <v>54</v>
      </c>
      <c r="B45" s="37">
        <f t="shared" ref="B45:Z45" si="10">SUM(B39:B44)</f>
        <v>0</v>
      </c>
      <c r="C45" s="37">
        <f t="shared" si="10"/>
        <v>201220</v>
      </c>
      <c r="D45" s="37">
        <f t="shared" si="10"/>
        <v>479310.5</v>
      </c>
      <c r="E45" s="37">
        <f t="shared" si="10"/>
        <v>748113.06799999997</v>
      </c>
      <c r="F45" s="37">
        <f t="shared" si="10"/>
        <v>913326.84210000001</v>
      </c>
      <c r="G45" s="37">
        <f t="shared" si="10"/>
        <v>890712.110521</v>
      </c>
      <c r="H45" s="37">
        <f t="shared" si="10"/>
        <v>895197.35662621004</v>
      </c>
      <c r="I45" s="37">
        <f t="shared" si="10"/>
        <v>895148.42394247209</v>
      </c>
      <c r="J45" s="37">
        <f t="shared" si="10"/>
        <v>897399.9081818969</v>
      </c>
      <c r="K45" s="37">
        <f t="shared" si="10"/>
        <v>901952.03226371575</v>
      </c>
      <c r="L45" s="37">
        <f t="shared" si="10"/>
        <v>901970.64633635292</v>
      </c>
      <c r="M45" s="37">
        <f t="shared" si="10"/>
        <v>904290.35279971652</v>
      </c>
      <c r="N45" s="37">
        <f t="shared" si="10"/>
        <v>908911.38132771361</v>
      </c>
      <c r="O45" s="37">
        <f t="shared" si="10"/>
        <v>908999.58889099082</v>
      </c>
      <c r="P45" s="37">
        <f t="shared" si="10"/>
        <v>911389.58477990073</v>
      </c>
      <c r="Q45" s="37">
        <f t="shared" si="10"/>
        <v>916081.60562769976</v>
      </c>
      <c r="R45" s="37">
        <f t="shared" si="10"/>
        <v>916241.51543397678</v>
      </c>
      <c r="S45" s="37">
        <f t="shared" si="10"/>
        <v>918703.93058831652</v>
      </c>
      <c r="T45" s="37">
        <f t="shared" si="10"/>
        <v>923469.09489419963</v>
      </c>
      <c r="U45" s="37">
        <f t="shared" si="10"/>
        <v>923702.87959314161</v>
      </c>
      <c r="V45" s="37">
        <f t="shared" si="10"/>
        <v>926239.9083890731</v>
      </c>
      <c r="W45" s="37">
        <f t="shared" si="10"/>
        <v>744864.34597837098</v>
      </c>
      <c r="X45" s="37">
        <f t="shared" si="10"/>
        <v>465695.16527384677</v>
      </c>
      <c r="Y45" s="37">
        <f t="shared" si="10"/>
        <v>186800.84677063406</v>
      </c>
      <c r="Z45" s="37">
        <f t="shared" si="10"/>
        <v>0</v>
      </c>
    </row>
    <row r="46" spans="1:26" x14ac:dyDescent="0.25">
      <c r="B46" s="32"/>
      <c r="C46" s="32"/>
      <c r="D46" s="32"/>
      <c r="E46" s="32"/>
      <c r="F46" s="32"/>
      <c r="G46" s="32"/>
      <c r="H46" s="32"/>
      <c r="I46" s="32"/>
      <c r="J46" s="32"/>
      <c r="K46" s="32"/>
      <c r="L46" s="32"/>
    </row>
    <row r="47" spans="1:26" x14ac:dyDescent="0.25">
      <c r="A47" s="23" t="s">
        <v>55</v>
      </c>
      <c r="B47" s="34">
        <f t="shared" ref="B47:Z47" si="11">B36-B45</f>
        <v>0</v>
      </c>
      <c r="C47" s="34">
        <f t="shared" si="11"/>
        <v>-40569.999999999971</v>
      </c>
      <c r="D47" s="34">
        <f t="shared" si="11"/>
        <v>-69652.999999999942</v>
      </c>
      <c r="E47" s="34">
        <f t="shared" si="11"/>
        <v>-176493.37879999995</v>
      </c>
      <c r="F47" s="34">
        <f t="shared" si="11"/>
        <v>-60911.516099999892</v>
      </c>
      <c r="G47" s="34">
        <f t="shared" si="11"/>
        <v>-21248.478000999894</v>
      </c>
      <c r="H47" s="34">
        <f t="shared" si="11"/>
        <v>-136938.12270551792</v>
      </c>
      <c r="I47" s="34">
        <f t="shared" si="11"/>
        <v>9441.5393313359236</v>
      </c>
      <c r="J47" s="34">
        <f t="shared" si="11"/>
        <v>25281.854357387288</v>
      </c>
      <c r="K47" s="34">
        <f t="shared" si="11"/>
        <v>-97281.267153205932</v>
      </c>
      <c r="L47" s="34">
        <f t="shared" si="11"/>
        <v>57987.4594095184</v>
      </c>
      <c r="M47" s="34">
        <f t="shared" si="11"/>
        <v>74866.915061072097</v>
      </c>
      <c r="N47" s="34">
        <f t="shared" si="11"/>
        <v>-54988.328026319621</v>
      </c>
      <c r="O47" s="34">
        <f t="shared" si="11"/>
        <v>109715.63259137375</v>
      </c>
      <c r="P47" s="34">
        <f t="shared" si="11"/>
        <v>127699.94113211124</v>
      </c>
      <c r="Q47" s="34">
        <f t="shared" si="11"/>
        <v>-9891.6300798343727</v>
      </c>
      <c r="R47" s="34">
        <f t="shared" si="11"/>
        <v>164827.22732488031</v>
      </c>
      <c r="S47" s="34">
        <f t="shared" si="11"/>
        <v>183986.18702571781</v>
      </c>
      <c r="T47" s="34">
        <f t="shared" si="11"/>
        <v>38186.956676999689</v>
      </c>
      <c r="U47" s="34">
        <f t="shared" si="11"/>
        <v>223535.91877249954</v>
      </c>
      <c r="V47" s="34">
        <f t="shared" si="11"/>
        <v>243943.66594388103</v>
      </c>
      <c r="W47" s="34">
        <f t="shared" si="11"/>
        <v>71549.330162244383</v>
      </c>
      <c r="X47" s="34">
        <f t="shared" si="11"/>
        <v>143034.33009415591</v>
      </c>
      <c r="Y47" s="34">
        <f t="shared" si="11"/>
        <v>61560.787339511007</v>
      </c>
      <c r="Z47" s="34">
        <f t="shared" si="11"/>
        <v>0</v>
      </c>
    </row>
    <row r="48" spans="1:26" x14ac:dyDescent="0.25">
      <c r="B48" s="32"/>
      <c r="C48" s="32"/>
      <c r="D48" s="32"/>
      <c r="E48" s="32"/>
      <c r="F48" s="32"/>
      <c r="G48" s="32"/>
      <c r="H48" s="32"/>
      <c r="I48" s="32"/>
      <c r="J48" s="32"/>
      <c r="K48" s="32"/>
      <c r="L48" s="32"/>
    </row>
    <row r="49" spans="1:27" s="12" customFormat="1" x14ac:dyDescent="0.25">
      <c r="A49" s="10" t="s">
        <v>319</v>
      </c>
      <c r="B49" s="345">
        <f>B36/(1+Assumption_Nursery!$C76)^'RCP 8.5_Nursery'!B33</f>
        <v>0</v>
      </c>
      <c r="C49" s="345">
        <f>C36/(1+Assumption_Nursery!$C76)^'RCP 8.5_Nursery'!C33</f>
        <v>151556.60377358494</v>
      </c>
      <c r="D49" s="345">
        <f>D36/(1+Assumption_Nursery!$C76)^'RCP 8.5_Nursery'!D33</f>
        <v>364593.71662513353</v>
      </c>
      <c r="E49" s="345">
        <f>E36/(1+Assumption_Nursery!$C76)^'RCP 8.5_Nursery'!E33</f>
        <v>479942.91361325112</v>
      </c>
      <c r="F49" s="345">
        <f>F36/(1+Assumption_Nursery!$C76)^'RCP 8.5_Nursery'!F33</f>
        <v>675192.77817157144</v>
      </c>
      <c r="G49" s="345">
        <f>G36/(1+Assumption_Nursery!$C76)^'RCP 8.5_Nursery'!G33</f>
        <v>649713.80541038001</v>
      </c>
      <c r="H49" s="345">
        <f>H36/(1+Assumption_Nursery!$C76)^'RCP 8.5_Nursery'!H33</f>
        <v>534542.83933810599</v>
      </c>
      <c r="I49" s="345">
        <f>I36/(1+Assumption_Nursery!$C76)^'RCP 8.5_Nursery'!I33</f>
        <v>601603.98998661374</v>
      </c>
      <c r="J49" s="345">
        <f>J36/(1+Assumption_Nursery!$C76)^'RCP 8.5_Nursery'!J33</f>
        <v>578901.95262862835</v>
      </c>
      <c r="K49" s="345">
        <f>K36/(1+Assumption_Nursery!$C76)^'RCP 8.5_Nursery'!K33</f>
        <v>476283.38951644039</v>
      </c>
      <c r="L49" s="345">
        <f>L36/(1+Assumption_Nursery!$C76)^'RCP 8.5_Nursery'!L33</f>
        <v>536035.59230582498</v>
      </c>
      <c r="M49" s="345">
        <f>M36/(1+Assumption_Nursery!$C76)^'RCP 8.5_Nursery'!M33</f>
        <v>515807.83410560497</v>
      </c>
      <c r="N49" s="345">
        <f>N36/(1+Assumption_Nursery!$C76)^'RCP 8.5_Nursery'!N33</f>
        <v>424373.59634292283</v>
      </c>
      <c r="O49" s="345">
        <f>O36/(1+Assumption_Nursery!$C76)^'RCP 8.5_Nursery'!O33</f>
        <v>477613.44838329602</v>
      </c>
      <c r="P49" s="345">
        <f>P36/(1+Assumption_Nursery!$C76)^'RCP 8.5_Nursery'!P33</f>
        <v>459590.29938769998</v>
      </c>
      <c r="Q49" s="345">
        <f>Q36/(1+Assumption_Nursery!$C76)^'RCP 8.5_Nursery'!Q33</f>
        <v>378121.41518491786</v>
      </c>
      <c r="R49" s="345">
        <f>R36/(1+Assumption_Nursery!$C76)^'RCP 8.5_Nursery'!R33</f>
        <v>425558.69302506495</v>
      </c>
      <c r="S49" s="345">
        <f>S36/(1+Assumption_Nursery!$C76)^'RCP 8.5_Nursery'!S33</f>
        <v>409499.87442034553</v>
      </c>
      <c r="T49" s="345">
        <f>T36/(1+Assumption_Nursery!$C76)^'RCP 8.5_Nursery'!T33</f>
        <v>336910.22686979559</v>
      </c>
      <c r="U49" s="345">
        <f>U36/(1+Assumption_Nursery!$C76)^'RCP 8.5_Nursery'!U33</f>
        <v>379177.34900936933</v>
      </c>
      <c r="V49" s="345">
        <f>V36/(1+Assumption_Nursery!$C76)^'RCP 8.5_Nursery'!V33</f>
        <v>364868.76980146865</v>
      </c>
      <c r="W49" s="345">
        <f>W36/(1+Assumption_Nursery!$C76)^'RCP 8.5_Nursery'!W33</f>
        <v>240152.4936934798</v>
      </c>
      <c r="X49" s="345">
        <f>X36/(1+Assumption_Nursery!$C76)^'RCP 8.5_Nursery'!X33</f>
        <v>168925.53760299389</v>
      </c>
      <c r="Y49" s="345">
        <f>Y36/(1+Assumption_Nursery!$C76)^'RCP 8.5_Nursery'!Y33</f>
        <v>65020.395605680649</v>
      </c>
      <c r="Z49" s="345">
        <f>Z36/(1+Assumption_Nursery!$C76)^'RCP 8.5_Nursery'!Z33</f>
        <v>0</v>
      </c>
      <c r="AA49" s="343">
        <f>SUM(B49:Z49)</f>
        <v>9693987.5148021784</v>
      </c>
    </row>
    <row r="50" spans="1:27" s="12" customFormat="1" x14ac:dyDescent="0.25">
      <c r="A50" s="10" t="s">
        <v>320</v>
      </c>
      <c r="B50" s="346">
        <f>B45/(1+Assumption_Nursery!$C76)^'RCP 8.5_Nursery'!B33</f>
        <v>0</v>
      </c>
      <c r="C50" s="346">
        <f>C45/(1+Assumption_Nursery!$C76)^'RCP 8.5_Nursery'!C33</f>
        <v>189830.18867924527</v>
      </c>
      <c r="D50" s="346">
        <f>D45/(1+Assumption_Nursery!$C76)^'RCP 8.5_Nursery'!D33</f>
        <v>426584.63866144529</v>
      </c>
      <c r="E50" s="346">
        <f>E45/(1+Assumption_Nursery!$C76)^'RCP 8.5_Nursery'!E33</f>
        <v>628130.15778125543</v>
      </c>
      <c r="F50" s="346">
        <f>F45/(1+Assumption_Nursery!$C76)^'RCP 8.5_Nursery'!F33</f>
        <v>723440.40409260208</v>
      </c>
      <c r="G50" s="346">
        <f>G45/(1+Assumption_Nursery!$C76)^'RCP 8.5_Nursery'!G33</f>
        <v>665591.90425759181</v>
      </c>
      <c r="H50" s="346">
        <f>H45/(1+Assumption_Nursery!$C76)^'RCP 8.5_Nursery'!H33</f>
        <v>631078.81232738262</v>
      </c>
      <c r="I50" s="346">
        <f>I45/(1+Assumption_Nursery!$C76)^'RCP 8.5_Nursery'!I33</f>
        <v>595324.82709076372</v>
      </c>
      <c r="J50" s="346">
        <f>J45/(1+Assumption_Nursery!$C76)^'RCP 8.5_Nursery'!J33</f>
        <v>563039.80443434126</v>
      </c>
      <c r="K50" s="346">
        <f>K45/(1+Assumption_Nursery!$C76)^'RCP 8.5_Nursery'!K33</f>
        <v>533864.02207467693</v>
      </c>
      <c r="L50" s="346">
        <f>L45/(1+Assumption_Nursery!$C76)^'RCP 8.5_Nursery'!L33</f>
        <v>503655.69784497248</v>
      </c>
      <c r="M50" s="346">
        <f>M45/(1+Assumption_Nursery!$C76)^'RCP 8.5_Nursery'!M33</f>
        <v>476368.87718687818</v>
      </c>
      <c r="N50" s="346">
        <f>N45/(1+Assumption_Nursery!$C76)^'RCP 8.5_Nursery'!N33</f>
        <v>451701.11072632624</v>
      </c>
      <c r="O50" s="346">
        <f>O45/(1+Assumption_Nursery!$C76)^'RCP 8.5_Nursery'!O33</f>
        <v>426174.47847444413</v>
      </c>
      <c r="P50" s="346">
        <f>P45/(1+Assumption_Nursery!$C76)^'RCP 8.5_Nursery'!P33</f>
        <v>403108.49227373977</v>
      </c>
      <c r="Q50" s="346">
        <f>Q45/(1+Assumption_Nursery!$C76)^'RCP 8.5_Nursery'!Q33</f>
        <v>382248.84681095346</v>
      </c>
      <c r="R50" s="346">
        <f>R45/(1+Assumption_Nursery!$C76)^'RCP 8.5_Nursery'!R33</f>
        <v>360675.06753394526</v>
      </c>
      <c r="S50" s="346">
        <f>S45/(1+Assumption_Nursery!$C76)^'RCP 8.5_Nursery'!S33</f>
        <v>341173.95104566892</v>
      </c>
      <c r="T50" s="346">
        <f>T45/(1+Assumption_Nursery!$C76)^'RCP 8.5_Nursery'!T33</f>
        <v>323531.66369588883</v>
      </c>
      <c r="U50" s="346">
        <f>U45/(1+Assumption_Nursery!$C76)^'RCP 8.5_Nursery'!U33</f>
        <v>305295.81954115484</v>
      </c>
      <c r="V50" s="346">
        <f>V45/(1+Assumption_Nursery!$C76)^'RCP 8.5_Nursery'!V33</f>
        <v>288805.98166624666</v>
      </c>
      <c r="W50" s="346">
        <f>W45/(1+Assumption_Nursery!$C76)^'RCP 8.5_Nursery'!W33</f>
        <v>219105.87166506387</v>
      </c>
      <c r="X50" s="346">
        <f>X45/(1+Assumption_Nursery!$C76)^'RCP 8.5_Nursery'!X33</f>
        <v>129232.78196901178</v>
      </c>
      <c r="Y50" s="346">
        <f>Y45/(1+Assumption_Nursery!$C76)^'RCP 8.5_Nursery'!Y33</f>
        <v>48903.950080777089</v>
      </c>
      <c r="Z50" s="346">
        <f>Z45/(1+Assumption_Nursery!$C76)^'RCP 8.5_Nursery'!Z33</f>
        <v>0</v>
      </c>
      <c r="AA50" s="343">
        <f>SUM(B50:Z50)</f>
        <v>9616867.3499143757</v>
      </c>
    </row>
    <row r="51" spans="1:27" x14ac:dyDescent="0.25">
      <c r="B51" s="32"/>
      <c r="C51" s="32"/>
      <c r="D51" s="32"/>
      <c r="E51" s="32"/>
      <c r="F51" s="32"/>
      <c r="G51" s="32"/>
      <c r="H51" s="32"/>
      <c r="I51" s="32"/>
      <c r="J51" s="32"/>
      <c r="K51" s="32"/>
      <c r="L51" s="32"/>
    </row>
    <row r="52" spans="1:27" s="12" customFormat="1" x14ac:dyDescent="0.25">
      <c r="A52" s="25" t="s">
        <v>318</v>
      </c>
      <c r="B52" s="35">
        <f>NPV(Assumption_Hatchery!C76,C47:Z47)+B47</f>
        <v>77120.164887798703</v>
      </c>
      <c r="C52" s="40"/>
      <c r="D52" s="40"/>
      <c r="E52" s="40"/>
      <c r="F52" s="40"/>
      <c r="G52" s="40"/>
      <c r="H52" s="40"/>
      <c r="I52" s="40"/>
      <c r="J52" s="40"/>
      <c r="K52" s="40"/>
      <c r="L52" s="40"/>
    </row>
    <row r="54" spans="1:27" s="12" customFormat="1" x14ac:dyDescent="0.25">
      <c r="A54" s="25" t="s">
        <v>238</v>
      </c>
      <c r="B54" s="36">
        <f>IRR(B47:Z47)</f>
        <v>7.3216533351125879E-2</v>
      </c>
      <c r="C54" s="4"/>
      <c r="D54" s="4"/>
      <c r="E54" s="4"/>
      <c r="F54" s="4"/>
      <c r="G54" s="4"/>
      <c r="H54" s="4"/>
      <c r="I54" s="4"/>
      <c r="J54" s="4"/>
      <c r="K54" s="4"/>
      <c r="L54" s="4"/>
    </row>
    <row r="56" spans="1:27" ht="38.25" customHeight="1" x14ac:dyDescent="0.25">
      <c r="A56" s="11"/>
      <c r="B56" s="30"/>
      <c r="C56" s="69"/>
      <c r="D56" s="70"/>
      <c r="E56" s="30"/>
      <c r="F56" s="116"/>
      <c r="G56" s="30"/>
      <c r="H56" s="30"/>
      <c r="I56" s="30"/>
      <c r="J56" s="30"/>
      <c r="K56" s="30"/>
      <c r="L56" s="30"/>
      <c r="M56" s="11"/>
    </row>
    <row r="57" spans="1:27" s="1" customFormat="1" x14ac:dyDescent="0.25">
      <c r="A57" s="24"/>
      <c r="B57" s="42"/>
      <c r="C57" s="42"/>
      <c r="D57" s="42"/>
      <c r="E57" s="42"/>
      <c r="F57" s="42"/>
      <c r="G57" s="42"/>
      <c r="H57" s="42"/>
      <c r="I57" s="42"/>
      <c r="J57" s="42"/>
      <c r="K57" s="42"/>
      <c r="L57" s="42"/>
    </row>
    <row r="59" spans="1:27" ht="26.25" x14ac:dyDescent="0.25">
      <c r="F59" s="19" t="s">
        <v>92</v>
      </c>
    </row>
    <row r="60" spans="1:27" ht="38.25" customHeight="1" x14ac:dyDescent="0.25">
      <c r="A60" s="11" t="s">
        <v>332</v>
      </c>
      <c r="B60" s="30"/>
      <c r="C60" s="69"/>
      <c r="D60" s="70"/>
      <c r="E60" s="30"/>
      <c r="F60" s="30"/>
      <c r="G60" s="30"/>
      <c r="H60" s="30"/>
      <c r="I60" s="30"/>
      <c r="J60" s="30"/>
      <c r="K60" s="30"/>
      <c r="L60" s="30"/>
      <c r="M60" s="11"/>
    </row>
    <row r="62" spans="1:27" x14ac:dyDescent="0.25">
      <c r="A62" s="10" t="s">
        <v>19</v>
      </c>
      <c r="B62" s="26">
        <v>0</v>
      </c>
      <c r="C62" s="26">
        <v>1</v>
      </c>
      <c r="D62" s="26">
        <v>2</v>
      </c>
      <c r="E62" s="26">
        <v>3</v>
      </c>
      <c r="F62" s="26">
        <v>4</v>
      </c>
      <c r="G62" s="26">
        <v>5</v>
      </c>
      <c r="H62" s="26">
        <v>6</v>
      </c>
      <c r="I62" s="26">
        <v>7</v>
      </c>
      <c r="J62" s="26">
        <v>8</v>
      </c>
      <c r="K62" s="26">
        <v>9</v>
      </c>
      <c r="L62" s="26">
        <v>10</v>
      </c>
      <c r="M62" s="26">
        <v>11</v>
      </c>
      <c r="N62" s="26">
        <v>12</v>
      </c>
      <c r="O62" s="26">
        <v>13</v>
      </c>
      <c r="P62" s="26">
        <v>14</v>
      </c>
      <c r="Q62" s="26">
        <v>15</v>
      </c>
      <c r="R62" s="26">
        <v>16</v>
      </c>
      <c r="S62" s="26">
        <v>17</v>
      </c>
      <c r="T62" s="26">
        <v>18</v>
      </c>
      <c r="U62" s="26">
        <v>19</v>
      </c>
      <c r="V62" s="26">
        <v>20</v>
      </c>
      <c r="W62" s="26">
        <v>21</v>
      </c>
      <c r="X62" s="26">
        <v>22</v>
      </c>
      <c r="Y62" s="26">
        <v>23</v>
      </c>
      <c r="Z62" s="26">
        <v>24</v>
      </c>
    </row>
    <row r="63" spans="1:27" x14ac:dyDescent="0.25">
      <c r="A63" s="23" t="s">
        <v>3</v>
      </c>
    </row>
    <row r="64" spans="1:27" x14ac:dyDescent="0.25">
      <c r="A64" s="10" t="str">
        <f>A35</f>
        <v>Small Crab Sale ($)</v>
      </c>
      <c r="B64" s="31">
        <f t="shared" ref="B64:Z64" si="12">B6</f>
        <v>0</v>
      </c>
      <c r="C64" s="31">
        <f t="shared" si="12"/>
        <v>160650.00000000003</v>
      </c>
      <c r="D64" s="31">
        <f t="shared" si="12"/>
        <v>409657.50000000006</v>
      </c>
      <c r="E64" s="31">
        <f t="shared" si="12"/>
        <v>571619.68920000002</v>
      </c>
      <c r="F64" s="31">
        <f t="shared" si="12"/>
        <v>852415.32600000012</v>
      </c>
      <c r="G64" s="31">
        <f t="shared" si="12"/>
        <v>869463.6325200001</v>
      </c>
      <c r="H64" s="31">
        <f t="shared" si="12"/>
        <v>758259.23392069212</v>
      </c>
      <c r="I64" s="31">
        <f t="shared" si="12"/>
        <v>904589.96327380801</v>
      </c>
      <c r="J64" s="31">
        <f t="shared" si="12"/>
        <v>922681.76253928419</v>
      </c>
      <c r="K64" s="31">
        <f t="shared" si="12"/>
        <v>804670.76511050982</v>
      </c>
      <c r="L64" s="31">
        <f t="shared" si="12"/>
        <v>959958.10574587132</v>
      </c>
      <c r="M64" s="31">
        <f t="shared" si="12"/>
        <v>979157.26786078862</v>
      </c>
      <c r="N64" s="31">
        <f t="shared" si="12"/>
        <v>853923.05330139399</v>
      </c>
      <c r="O64" s="31">
        <f t="shared" si="12"/>
        <v>1018715.2214823646</v>
      </c>
      <c r="P64" s="31">
        <f t="shared" si="12"/>
        <v>1039089.525912012</v>
      </c>
      <c r="Q64" s="31">
        <f t="shared" si="12"/>
        <v>906189.97554786538</v>
      </c>
      <c r="R64" s="31">
        <f t="shared" si="12"/>
        <v>1081068.7427588571</v>
      </c>
      <c r="S64" s="31">
        <f t="shared" si="12"/>
        <v>1102690.1176140343</v>
      </c>
      <c r="T64" s="31">
        <f t="shared" si="12"/>
        <v>961656.05157119932</v>
      </c>
      <c r="U64" s="31">
        <f t="shared" si="12"/>
        <v>1147238.7983656412</v>
      </c>
      <c r="V64" s="31">
        <f t="shared" si="12"/>
        <v>1170183.5743329541</v>
      </c>
      <c r="W64" s="31">
        <f t="shared" si="12"/>
        <v>816413.67614061537</v>
      </c>
      <c r="X64" s="31">
        <f t="shared" si="12"/>
        <v>608729.49536800268</v>
      </c>
      <c r="Y64" s="31">
        <f t="shared" si="12"/>
        <v>248361.63411014507</v>
      </c>
      <c r="Z64" s="31">
        <f t="shared" si="12"/>
        <v>0</v>
      </c>
    </row>
    <row r="65" spans="1:27" s="12" customFormat="1" x14ac:dyDescent="0.25">
      <c r="A65" s="23" t="s">
        <v>53</v>
      </c>
      <c r="B65" s="38">
        <f t="shared" ref="B65:Z65" si="13">B7</f>
        <v>0</v>
      </c>
      <c r="C65" s="38">
        <f t="shared" si="13"/>
        <v>160650.00000000003</v>
      </c>
      <c r="D65" s="38">
        <f t="shared" si="13"/>
        <v>409657.50000000006</v>
      </c>
      <c r="E65" s="38">
        <f t="shared" si="13"/>
        <v>571619.68920000002</v>
      </c>
      <c r="F65" s="38">
        <f t="shared" si="13"/>
        <v>852415.32600000012</v>
      </c>
      <c r="G65" s="38">
        <f t="shared" si="13"/>
        <v>869463.6325200001</v>
      </c>
      <c r="H65" s="38">
        <f t="shared" si="13"/>
        <v>758259.23392069212</v>
      </c>
      <c r="I65" s="38">
        <f t="shared" si="13"/>
        <v>904589.96327380801</v>
      </c>
      <c r="J65" s="38">
        <f t="shared" si="13"/>
        <v>922681.76253928419</v>
      </c>
      <c r="K65" s="38">
        <f t="shared" si="13"/>
        <v>804670.76511050982</v>
      </c>
      <c r="L65" s="38">
        <f t="shared" si="13"/>
        <v>959958.10574587132</v>
      </c>
      <c r="M65" s="38">
        <f t="shared" si="13"/>
        <v>979157.26786078862</v>
      </c>
      <c r="N65" s="38">
        <f t="shared" si="13"/>
        <v>853923.05330139399</v>
      </c>
      <c r="O65" s="38">
        <f t="shared" si="13"/>
        <v>1018715.2214823646</v>
      </c>
      <c r="P65" s="38">
        <f t="shared" si="13"/>
        <v>1039089.525912012</v>
      </c>
      <c r="Q65" s="38">
        <f t="shared" si="13"/>
        <v>906189.97554786538</v>
      </c>
      <c r="R65" s="38">
        <f t="shared" si="13"/>
        <v>1081068.7427588571</v>
      </c>
      <c r="S65" s="38">
        <f t="shared" si="13"/>
        <v>1102690.1176140343</v>
      </c>
      <c r="T65" s="38">
        <f t="shared" si="13"/>
        <v>961656.05157119932</v>
      </c>
      <c r="U65" s="38">
        <f t="shared" si="13"/>
        <v>1147238.7983656412</v>
      </c>
      <c r="V65" s="38">
        <f t="shared" si="13"/>
        <v>1170183.5743329541</v>
      </c>
      <c r="W65" s="38">
        <f t="shared" si="13"/>
        <v>816413.67614061537</v>
      </c>
      <c r="X65" s="38">
        <f t="shared" si="13"/>
        <v>608729.49536800268</v>
      </c>
      <c r="Y65" s="38">
        <f t="shared" si="13"/>
        <v>248361.63411014507</v>
      </c>
      <c r="Z65" s="38">
        <f t="shared" si="13"/>
        <v>0</v>
      </c>
    </row>
    <row r="66" spans="1:27" x14ac:dyDescent="0.25">
      <c r="A66" s="23"/>
      <c r="B66" s="41"/>
      <c r="C66" s="41"/>
      <c r="D66" s="41"/>
      <c r="E66" s="41"/>
      <c r="F66" s="41"/>
      <c r="G66" s="41"/>
      <c r="H66" s="41"/>
      <c r="I66" s="41"/>
      <c r="J66" s="41"/>
      <c r="K66" s="41"/>
    </row>
    <row r="67" spans="1:27" x14ac:dyDescent="0.25">
      <c r="A67" s="23" t="s">
        <v>20</v>
      </c>
    </row>
    <row r="68" spans="1:27" x14ac:dyDescent="0.25">
      <c r="A68" s="9" t="str">
        <f>BaU_Nursery!A38</f>
        <v>Crab Nursery Establishment</v>
      </c>
      <c r="B68" s="33">
        <f t="shared" ref="B68:Z68" si="14">B10</f>
        <v>0</v>
      </c>
      <c r="C68" s="33">
        <f t="shared" si="14"/>
        <v>40000</v>
      </c>
      <c r="D68" s="33">
        <f t="shared" si="14"/>
        <v>100000</v>
      </c>
      <c r="E68" s="33">
        <f t="shared" si="14"/>
        <v>160000</v>
      </c>
      <c r="F68" s="33">
        <f t="shared" si="14"/>
        <v>200000</v>
      </c>
      <c r="G68" s="33">
        <f t="shared" si="14"/>
        <v>200000</v>
      </c>
      <c r="H68" s="33">
        <f t="shared" si="14"/>
        <v>200000</v>
      </c>
      <c r="I68" s="33">
        <f t="shared" si="14"/>
        <v>200000</v>
      </c>
      <c r="J68" s="33">
        <f t="shared" si="14"/>
        <v>200000</v>
      </c>
      <c r="K68" s="33">
        <f t="shared" si="14"/>
        <v>200000</v>
      </c>
      <c r="L68" s="33">
        <f t="shared" si="14"/>
        <v>200000</v>
      </c>
      <c r="M68" s="33">
        <f t="shared" si="14"/>
        <v>200000</v>
      </c>
      <c r="N68" s="33">
        <f t="shared" si="14"/>
        <v>200000</v>
      </c>
      <c r="O68" s="33">
        <f t="shared" si="14"/>
        <v>200000</v>
      </c>
      <c r="P68" s="33">
        <f t="shared" si="14"/>
        <v>200000</v>
      </c>
      <c r="Q68" s="33">
        <f t="shared" si="14"/>
        <v>200000</v>
      </c>
      <c r="R68" s="33">
        <f t="shared" si="14"/>
        <v>200000</v>
      </c>
      <c r="S68" s="33">
        <f t="shared" si="14"/>
        <v>200000</v>
      </c>
      <c r="T68" s="33">
        <f t="shared" si="14"/>
        <v>200000</v>
      </c>
      <c r="U68" s="33">
        <f t="shared" si="14"/>
        <v>200000</v>
      </c>
      <c r="V68" s="33">
        <f t="shared" si="14"/>
        <v>200000</v>
      </c>
      <c r="W68" s="33">
        <f t="shared" si="14"/>
        <v>160000</v>
      </c>
      <c r="X68" s="33">
        <f t="shared" si="14"/>
        <v>100000</v>
      </c>
      <c r="Y68" s="33">
        <f t="shared" si="14"/>
        <v>40000</v>
      </c>
      <c r="Z68" s="33">
        <f t="shared" si="14"/>
        <v>0</v>
      </c>
    </row>
    <row r="69" spans="1:27" x14ac:dyDescent="0.25">
      <c r="A69" s="9" t="str">
        <f>BaU_Nursery!A39</f>
        <v>Operation Cost (Crablet purchase)</v>
      </c>
      <c r="B69" s="33">
        <f t="shared" ref="B69:Z69" si="15">B11</f>
        <v>0</v>
      </c>
      <c r="C69" s="33">
        <f t="shared" si="15"/>
        <v>85000.000000000015</v>
      </c>
      <c r="D69" s="33">
        <f t="shared" si="15"/>
        <v>212500.00000000003</v>
      </c>
      <c r="E69" s="33">
        <f t="shared" si="15"/>
        <v>340000.00000000006</v>
      </c>
      <c r="F69" s="33">
        <f t="shared" si="15"/>
        <v>425000.00000000006</v>
      </c>
      <c r="G69" s="33">
        <f t="shared" si="15"/>
        <v>425000.00000000006</v>
      </c>
      <c r="H69" s="33">
        <f t="shared" si="15"/>
        <v>425000.00000000006</v>
      </c>
      <c r="I69" s="33">
        <f t="shared" si="15"/>
        <v>425000.00000000006</v>
      </c>
      <c r="J69" s="33">
        <f t="shared" si="15"/>
        <v>425000.00000000006</v>
      </c>
      <c r="K69" s="33">
        <f t="shared" si="15"/>
        <v>425000.00000000006</v>
      </c>
      <c r="L69" s="33">
        <f t="shared" si="15"/>
        <v>425000.00000000006</v>
      </c>
      <c r="M69" s="33">
        <f t="shared" si="15"/>
        <v>425000.00000000006</v>
      </c>
      <c r="N69" s="33">
        <f t="shared" si="15"/>
        <v>425000.00000000006</v>
      </c>
      <c r="O69" s="33">
        <f t="shared" si="15"/>
        <v>425000.00000000006</v>
      </c>
      <c r="P69" s="33">
        <f t="shared" si="15"/>
        <v>425000.00000000006</v>
      </c>
      <c r="Q69" s="33">
        <f t="shared" si="15"/>
        <v>425000.00000000006</v>
      </c>
      <c r="R69" s="33">
        <f t="shared" si="15"/>
        <v>425000.00000000006</v>
      </c>
      <c r="S69" s="33">
        <f t="shared" si="15"/>
        <v>425000.00000000006</v>
      </c>
      <c r="T69" s="33">
        <f t="shared" si="15"/>
        <v>425000.00000000006</v>
      </c>
      <c r="U69" s="33">
        <f t="shared" si="15"/>
        <v>425000.00000000006</v>
      </c>
      <c r="V69" s="33">
        <f t="shared" si="15"/>
        <v>425000.00000000006</v>
      </c>
      <c r="W69" s="33">
        <f t="shared" si="15"/>
        <v>340000.00000000006</v>
      </c>
      <c r="X69" s="33">
        <f t="shared" si="15"/>
        <v>212500.00000000003</v>
      </c>
      <c r="Y69" s="33">
        <f t="shared" si="15"/>
        <v>85000.000000000015</v>
      </c>
      <c r="Z69" s="33">
        <f t="shared" si="15"/>
        <v>0</v>
      </c>
    </row>
    <row r="70" spans="1:27" x14ac:dyDescent="0.25">
      <c r="A70" s="9" t="str">
        <f>BaU_Nursery!A40</f>
        <v>Feed</v>
      </c>
      <c r="B70" s="33">
        <f t="shared" ref="B70:Z70" si="16">B12</f>
        <v>0</v>
      </c>
      <c r="C70" s="33">
        <f t="shared" si="16"/>
        <v>5000</v>
      </c>
      <c r="D70" s="33">
        <f t="shared" si="16"/>
        <v>12500</v>
      </c>
      <c r="E70" s="33">
        <f t="shared" si="16"/>
        <v>21822.499999999996</v>
      </c>
      <c r="F70" s="33">
        <f t="shared" si="16"/>
        <v>25000</v>
      </c>
      <c r="G70" s="33">
        <f t="shared" si="16"/>
        <v>25000</v>
      </c>
      <c r="H70" s="33">
        <f t="shared" si="16"/>
        <v>27278.124999999996</v>
      </c>
      <c r="I70" s="33">
        <f t="shared" si="16"/>
        <v>25000</v>
      </c>
      <c r="J70" s="33">
        <f t="shared" si="16"/>
        <v>25000</v>
      </c>
      <c r="K70" s="33">
        <f t="shared" si="16"/>
        <v>27278.124999999996</v>
      </c>
      <c r="L70" s="33">
        <f t="shared" si="16"/>
        <v>25000</v>
      </c>
      <c r="M70" s="33">
        <f t="shared" si="16"/>
        <v>25000</v>
      </c>
      <c r="N70" s="33">
        <f t="shared" si="16"/>
        <v>27278.124999999996</v>
      </c>
      <c r="O70" s="33">
        <f t="shared" si="16"/>
        <v>25000</v>
      </c>
      <c r="P70" s="33">
        <f t="shared" si="16"/>
        <v>25000</v>
      </c>
      <c r="Q70" s="33">
        <f t="shared" si="16"/>
        <v>27278.124999999996</v>
      </c>
      <c r="R70" s="33">
        <f t="shared" si="16"/>
        <v>25000</v>
      </c>
      <c r="S70" s="33">
        <f t="shared" si="16"/>
        <v>25000</v>
      </c>
      <c r="T70" s="33">
        <f t="shared" si="16"/>
        <v>27278.124999999996</v>
      </c>
      <c r="U70" s="33">
        <f t="shared" si="16"/>
        <v>25000</v>
      </c>
      <c r="V70" s="33">
        <f t="shared" si="16"/>
        <v>25000</v>
      </c>
      <c r="W70" s="33">
        <f t="shared" si="16"/>
        <v>21822.499999999996</v>
      </c>
      <c r="X70" s="33">
        <f t="shared" si="16"/>
        <v>12500</v>
      </c>
      <c r="Y70" s="33">
        <f t="shared" si="16"/>
        <v>5000</v>
      </c>
      <c r="Z70" s="33">
        <f t="shared" si="16"/>
        <v>0</v>
      </c>
    </row>
    <row r="71" spans="1:27" x14ac:dyDescent="0.25">
      <c r="A71" s="9" t="str">
        <f>BaU_Nursery!A41</f>
        <v>Land rent</v>
      </c>
      <c r="B71" s="33">
        <f t="shared" ref="B71:Z71" si="17">B13</f>
        <v>0</v>
      </c>
      <c r="C71" s="33">
        <f t="shared" si="17"/>
        <v>4000</v>
      </c>
      <c r="D71" s="33">
        <f t="shared" si="17"/>
        <v>10000</v>
      </c>
      <c r="E71" s="33">
        <f t="shared" si="17"/>
        <v>16000</v>
      </c>
      <c r="F71" s="33">
        <f t="shared" si="17"/>
        <v>20000</v>
      </c>
      <c r="G71" s="33">
        <f t="shared" si="17"/>
        <v>20000</v>
      </c>
      <c r="H71" s="33">
        <f t="shared" si="17"/>
        <v>20000</v>
      </c>
      <c r="I71" s="33">
        <f t="shared" si="17"/>
        <v>20000</v>
      </c>
      <c r="J71" s="33">
        <f t="shared" si="17"/>
        <v>20000</v>
      </c>
      <c r="K71" s="33">
        <f t="shared" si="17"/>
        <v>20000</v>
      </c>
      <c r="L71" s="33">
        <f t="shared" si="17"/>
        <v>20000</v>
      </c>
      <c r="M71" s="33">
        <f t="shared" si="17"/>
        <v>20000</v>
      </c>
      <c r="N71" s="33">
        <f t="shared" si="17"/>
        <v>20000</v>
      </c>
      <c r="O71" s="33">
        <f t="shared" si="17"/>
        <v>20000</v>
      </c>
      <c r="P71" s="33">
        <f t="shared" si="17"/>
        <v>20000</v>
      </c>
      <c r="Q71" s="33">
        <f t="shared" si="17"/>
        <v>20000</v>
      </c>
      <c r="R71" s="33">
        <f t="shared" si="17"/>
        <v>20000</v>
      </c>
      <c r="S71" s="33">
        <f t="shared" si="17"/>
        <v>20000</v>
      </c>
      <c r="T71" s="33">
        <f t="shared" si="17"/>
        <v>20000</v>
      </c>
      <c r="U71" s="33">
        <f t="shared" si="17"/>
        <v>20000</v>
      </c>
      <c r="V71" s="33">
        <f t="shared" si="17"/>
        <v>20000</v>
      </c>
      <c r="W71" s="33">
        <f t="shared" si="17"/>
        <v>16000</v>
      </c>
      <c r="X71" s="33">
        <f t="shared" si="17"/>
        <v>10000</v>
      </c>
      <c r="Y71" s="33">
        <f t="shared" si="17"/>
        <v>4000</v>
      </c>
      <c r="Z71" s="33">
        <f t="shared" si="17"/>
        <v>0</v>
      </c>
    </row>
    <row r="72" spans="1:27" x14ac:dyDescent="0.25">
      <c r="A72" s="9" t="str">
        <f>BaU_Nursery!A42</f>
        <v>Labor</v>
      </c>
      <c r="B72" s="33">
        <f>BaU_Nursery!B42</f>
        <v>0</v>
      </c>
      <c r="C72" s="33">
        <f>BaU_Nursery!C42</f>
        <v>42420</v>
      </c>
      <c r="D72" s="33">
        <f>BaU_Nursery!D42</f>
        <v>107110.5</v>
      </c>
      <c r="E72" s="33">
        <f>BaU_Nursery!E42</f>
        <v>173090.56799999997</v>
      </c>
      <c r="F72" s="33">
        <f>BaU_Nursery!F42</f>
        <v>218526.84210000001</v>
      </c>
      <c r="G72" s="33">
        <f>BaU_Nursery!G42</f>
        <v>220712.11052099997</v>
      </c>
      <c r="H72" s="33">
        <f>BaU_Nursery!H42</f>
        <v>222919.23162621004</v>
      </c>
      <c r="I72" s="33">
        <f>BaU_Nursery!I42</f>
        <v>225148.42394247209</v>
      </c>
      <c r="J72" s="33">
        <f>BaU_Nursery!J42</f>
        <v>227399.90818189684</v>
      </c>
      <c r="K72" s="33">
        <f>BaU_Nursery!K42</f>
        <v>229673.90726371581</v>
      </c>
      <c r="L72" s="33">
        <f>BaU_Nursery!L42</f>
        <v>231970.64633635298</v>
      </c>
      <c r="M72" s="33">
        <f>BaU_Nursery!M42</f>
        <v>234290.35279971649</v>
      </c>
      <c r="N72" s="33">
        <f>BaU_Nursery!N42</f>
        <v>236633.25632771364</v>
      </c>
      <c r="O72" s="33">
        <f>BaU_Nursery!O42</f>
        <v>238999.5888909908</v>
      </c>
      <c r="P72" s="33">
        <f>BaU_Nursery!P42</f>
        <v>241389.58477990073</v>
      </c>
      <c r="Q72" s="33">
        <f>BaU_Nursery!Q42</f>
        <v>243803.4806276997</v>
      </c>
      <c r="R72" s="33">
        <f>BaU_Nursery!R42</f>
        <v>246241.51543397675</v>
      </c>
      <c r="S72" s="33">
        <f>BaU_Nursery!S42</f>
        <v>248703.93058831652</v>
      </c>
      <c r="T72" s="33">
        <f>BaU_Nursery!T42</f>
        <v>251190.96989419969</v>
      </c>
      <c r="U72" s="33">
        <f>BaU_Nursery!U42</f>
        <v>253702.87959314164</v>
      </c>
      <c r="V72" s="33">
        <f>BaU_Nursery!V42</f>
        <v>256239.9083890731</v>
      </c>
      <c r="W72" s="33">
        <f>BaU_Nursery!W42</f>
        <v>207041.84597837101</v>
      </c>
      <c r="X72" s="33">
        <f>BaU_Nursery!X42</f>
        <v>130695.16527384675</v>
      </c>
      <c r="Y72" s="33">
        <f>BaU_Nursery!Y42</f>
        <v>52800.846770634074</v>
      </c>
      <c r="Z72" s="33">
        <f>BaU_Nursery!Z42</f>
        <v>0</v>
      </c>
    </row>
    <row r="73" spans="1:27" s="50" customFormat="1" x14ac:dyDescent="0.25">
      <c r="A73" s="52" t="s">
        <v>131</v>
      </c>
      <c r="B73" s="49">
        <f>B15*Assumption_Nursery!$C33</f>
        <v>0</v>
      </c>
      <c r="C73" s="49">
        <f>C15*Assumption_Nursery!$C33</f>
        <v>0</v>
      </c>
      <c r="D73" s="49">
        <f>D15*Assumption_Nursery!$C33</f>
        <v>0</v>
      </c>
      <c r="E73" s="49">
        <f>E15*Assumption_Nursery!$C33</f>
        <v>0</v>
      </c>
      <c r="F73" s="49">
        <f>F15*Assumption_Nursery!$C33</f>
        <v>0</v>
      </c>
      <c r="G73" s="49">
        <f>G15*Assumption_Nursery!$C33</f>
        <v>0</v>
      </c>
      <c r="H73" s="49">
        <f>H15*Assumption_Nursery!$C33</f>
        <v>0</v>
      </c>
      <c r="I73" s="49">
        <f>I15*Assumption_Nursery!$C33</f>
        <v>0</v>
      </c>
      <c r="J73" s="49">
        <f>J15*Assumption_Nursery!$C33</f>
        <v>0</v>
      </c>
      <c r="K73" s="49">
        <f>K15*Assumption_Nursery!$C33</f>
        <v>0</v>
      </c>
      <c r="L73" s="49">
        <f>L15*Assumption_Nursery!$C33</f>
        <v>0</v>
      </c>
      <c r="M73" s="49">
        <f>M15*Assumption_Nursery!$C33</f>
        <v>0</v>
      </c>
      <c r="N73" s="49">
        <f>N15*Assumption_Nursery!$C33</f>
        <v>0</v>
      </c>
      <c r="O73" s="49">
        <f>O15*Assumption_Nursery!$C33</f>
        <v>0</v>
      </c>
      <c r="P73" s="49">
        <f>P15*Assumption_Nursery!$C33</f>
        <v>0</v>
      </c>
      <c r="Q73" s="49">
        <f>Q15*Assumption_Nursery!$C33</f>
        <v>0</v>
      </c>
      <c r="R73" s="49">
        <f>R15*Assumption_Nursery!$C33</f>
        <v>0</v>
      </c>
      <c r="S73" s="49">
        <f>S15*Assumption_Nursery!$C33</f>
        <v>0</v>
      </c>
      <c r="T73" s="49">
        <f>T15*Assumption_Nursery!$C33</f>
        <v>0</v>
      </c>
      <c r="U73" s="49">
        <f>U15*Assumption_Nursery!$C33</f>
        <v>0</v>
      </c>
      <c r="V73" s="49">
        <f>V15*Assumption_Nursery!$C33</f>
        <v>0</v>
      </c>
      <c r="W73" s="49">
        <f>W15*Assumption_Nursery!$C33</f>
        <v>0</v>
      </c>
      <c r="X73" s="49">
        <f>X15*Assumption_Nursery!$C33</f>
        <v>0</v>
      </c>
      <c r="Y73" s="49">
        <f>Y15*Assumption_Nursery!$C33</f>
        <v>0</v>
      </c>
      <c r="Z73" s="49">
        <f>Z15*Assumption_Nursery!$C33</f>
        <v>0</v>
      </c>
    </row>
    <row r="74" spans="1:27" x14ac:dyDescent="0.25">
      <c r="A74" s="117" t="s">
        <v>54</v>
      </c>
      <c r="B74" s="37">
        <f t="shared" ref="B74:Z74" si="18">SUM(B68:B73)</f>
        <v>0</v>
      </c>
      <c r="C74" s="37">
        <f t="shared" si="18"/>
        <v>176420</v>
      </c>
      <c r="D74" s="37">
        <f t="shared" si="18"/>
        <v>442110.5</v>
      </c>
      <c r="E74" s="37">
        <f t="shared" si="18"/>
        <v>710913.06799999997</v>
      </c>
      <c r="F74" s="37">
        <f t="shared" si="18"/>
        <v>888526.84210000001</v>
      </c>
      <c r="G74" s="37">
        <f t="shared" si="18"/>
        <v>890712.110521</v>
      </c>
      <c r="H74" s="37">
        <f t="shared" si="18"/>
        <v>895197.35662621004</v>
      </c>
      <c r="I74" s="37">
        <f t="shared" si="18"/>
        <v>895148.42394247209</v>
      </c>
      <c r="J74" s="37">
        <f t="shared" si="18"/>
        <v>897399.9081818969</v>
      </c>
      <c r="K74" s="37">
        <f t="shared" si="18"/>
        <v>901952.03226371575</v>
      </c>
      <c r="L74" s="37">
        <f t="shared" si="18"/>
        <v>901970.64633635292</v>
      </c>
      <c r="M74" s="37">
        <f t="shared" si="18"/>
        <v>904290.35279971652</v>
      </c>
      <c r="N74" s="37">
        <f t="shared" si="18"/>
        <v>908911.38132771361</v>
      </c>
      <c r="O74" s="37">
        <f t="shared" si="18"/>
        <v>908999.58889099082</v>
      </c>
      <c r="P74" s="37">
        <f t="shared" si="18"/>
        <v>911389.58477990073</v>
      </c>
      <c r="Q74" s="37">
        <f t="shared" si="18"/>
        <v>916081.60562769976</v>
      </c>
      <c r="R74" s="37">
        <f t="shared" si="18"/>
        <v>916241.51543397678</v>
      </c>
      <c r="S74" s="37">
        <f t="shared" si="18"/>
        <v>918703.93058831652</v>
      </c>
      <c r="T74" s="37">
        <f t="shared" si="18"/>
        <v>923469.09489419963</v>
      </c>
      <c r="U74" s="37">
        <f t="shared" si="18"/>
        <v>923702.87959314161</v>
      </c>
      <c r="V74" s="37">
        <f t="shared" si="18"/>
        <v>926239.9083890731</v>
      </c>
      <c r="W74" s="37">
        <f t="shared" si="18"/>
        <v>744864.34597837098</v>
      </c>
      <c r="X74" s="37">
        <f t="shared" si="18"/>
        <v>465695.16527384677</v>
      </c>
      <c r="Y74" s="37">
        <f t="shared" si="18"/>
        <v>186800.84677063406</v>
      </c>
      <c r="Z74" s="37">
        <f t="shared" si="18"/>
        <v>0</v>
      </c>
    </row>
    <row r="75" spans="1:27" x14ac:dyDescent="0.25">
      <c r="B75" s="32"/>
      <c r="C75" s="32"/>
      <c r="D75" s="32"/>
      <c r="E75" s="32"/>
      <c r="F75" s="32"/>
      <c r="G75" s="32"/>
      <c r="H75" s="32"/>
      <c r="I75" s="32"/>
      <c r="J75" s="32"/>
      <c r="K75" s="32"/>
      <c r="L75" s="32"/>
    </row>
    <row r="76" spans="1:27" x14ac:dyDescent="0.25">
      <c r="A76" s="23" t="s">
        <v>55</v>
      </c>
      <c r="B76" s="34">
        <f t="shared" ref="B76:Z76" si="19">B65-B74</f>
        <v>0</v>
      </c>
      <c r="C76" s="34">
        <f t="shared" si="19"/>
        <v>-15769.999999999971</v>
      </c>
      <c r="D76" s="34">
        <f t="shared" si="19"/>
        <v>-32452.999999999942</v>
      </c>
      <c r="E76" s="34">
        <f t="shared" si="19"/>
        <v>-139293.37879999995</v>
      </c>
      <c r="F76" s="34">
        <f t="shared" si="19"/>
        <v>-36111.516099999892</v>
      </c>
      <c r="G76" s="34">
        <f t="shared" si="19"/>
        <v>-21248.478000999894</v>
      </c>
      <c r="H76" s="34">
        <f t="shared" si="19"/>
        <v>-136938.12270551792</v>
      </c>
      <c r="I76" s="34">
        <f t="shared" si="19"/>
        <v>9441.5393313359236</v>
      </c>
      <c r="J76" s="34">
        <f t="shared" si="19"/>
        <v>25281.854357387288</v>
      </c>
      <c r="K76" s="34">
        <f t="shared" si="19"/>
        <v>-97281.267153205932</v>
      </c>
      <c r="L76" s="34">
        <f t="shared" si="19"/>
        <v>57987.4594095184</v>
      </c>
      <c r="M76" s="34">
        <f t="shared" si="19"/>
        <v>74866.915061072097</v>
      </c>
      <c r="N76" s="34">
        <f t="shared" si="19"/>
        <v>-54988.328026319621</v>
      </c>
      <c r="O76" s="34">
        <f t="shared" si="19"/>
        <v>109715.63259137375</v>
      </c>
      <c r="P76" s="34">
        <f t="shared" si="19"/>
        <v>127699.94113211124</v>
      </c>
      <c r="Q76" s="34">
        <f t="shared" si="19"/>
        <v>-9891.6300798343727</v>
      </c>
      <c r="R76" s="34">
        <f t="shared" si="19"/>
        <v>164827.22732488031</v>
      </c>
      <c r="S76" s="34">
        <f t="shared" si="19"/>
        <v>183986.18702571781</v>
      </c>
      <c r="T76" s="34">
        <f t="shared" si="19"/>
        <v>38186.956676999689</v>
      </c>
      <c r="U76" s="34">
        <f t="shared" si="19"/>
        <v>223535.91877249954</v>
      </c>
      <c r="V76" s="34">
        <f t="shared" si="19"/>
        <v>243943.66594388103</v>
      </c>
      <c r="W76" s="34">
        <f t="shared" si="19"/>
        <v>71549.330162244383</v>
      </c>
      <c r="X76" s="34">
        <f t="shared" si="19"/>
        <v>143034.33009415591</v>
      </c>
      <c r="Y76" s="34">
        <f t="shared" si="19"/>
        <v>61560.787339511007</v>
      </c>
      <c r="Z76" s="34">
        <f t="shared" si="19"/>
        <v>0</v>
      </c>
    </row>
    <row r="77" spans="1:27" x14ac:dyDescent="0.25">
      <c r="B77" s="32"/>
      <c r="C77" s="32"/>
      <c r="D77" s="32"/>
      <c r="E77" s="32"/>
      <c r="F77" s="32"/>
      <c r="G77" s="32"/>
      <c r="H77" s="32"/>
      <c r="I77" s="32"/>
      <c r="J77" s="32"/>
      <c r="K77" s="32"/>
      <c r="L77" s="32"/>
    </row>
    <row r="78" spans="1:27" s="12" customFormat="1" x14ac:dyDescent="0.25">
      <c r="A78" s="10" t="s">
        <v>319</v>
      </c>
      <c r="B78" s="346">
        <f>B65/(1+Assumption_Nursery!$C76)^'RCP 8.5_Nursery'!B62</f>
        <v>0</v>
      </c>
      <c r="C78" s="346">
        <f>C65/(1+Assumption_Nursery!$C76)^'RCP 8.5_Nursery'!C62</f>
        <v>151556.60377358494</v>
      </c>
      <c r="D78" s="346">
        <f>D65/(1+Assumption_Nursery!$C76)^'RCP 8.5_Nursery'!D62</f>
        <v>364593.71662513353</v>
      </c>
      <c r="E78" s="346">
        <f>E65/(1+Assumption_Nursery!$C76)^'RCP 8.5_Nursery'!E62</f>
        <v>479942.91361325112</v>
      </c>
      <c r="F78" s="346">
        <f>F65/(1+Assumption_Nursery!$C76)^'RCP 8.5_Nursery'!F62</f>
        <v>675192.77817157144</v>
      </c>
      <c r="G78" s="346">
        <f>G65/(1+Assumption_Nursery!$C76)^'RCP 8.5_Nursery'!G62</f>
        <v>649713.80541038001</v>
      </c>
      <c r="H78" s="346">
        <f>H65/(1+Assumption_Nursery!$C76)^'RCP 8.5_Nursery'!H62</f>
        <v>534542.83933810599</v>
      </c>
      <c r="I78" s="346">
        <f>I65/(1+Assumption_Nursery!$C76)^'RCP 8.5_Nursery'!I62</f>
        <v>601603.98998661374</v>
      </c>
      <c r="J78" s="346">
        <f>J65/(1+Assumption_Nursery!$C76)^'RCP 8.5_Nursery'!J62</f>
        <v>578901.95262862835</v>
      </c>
      <c r="K78" s="346">
        <f>K65/(1+Assumption_Nursery!$C76)^'RCP 8.5_Nursery'!K62</f>
        <v>476283.38951644039</v>
      </c>
      <c r="L78" s="346">
        <f>L65/(1+Assumption_Nursery!$C76)^'RCP 8.5_Nursery'!L62</f>
        <v>536035.59230582498</v>
      </c>
      <c r="M78" s="346">
        <f>M65/(1+Assumption_Nursery!$C76)^'RCP 8.5_Nursery'!M62</f>
        <v>515807.83410560497</v>
      </c>
      <c r="N78" s="346">
        <f>N65/(1+Assumption_Nursery!$C76)^'RCP 8.5_Nursery'!N62</f>
        <v>424373.59634292283</v>
      </c>
      <c r="O78" s="346">
        <f>O65/(1+Assumption_Nursery!$C76)^'RCP 8.5_Nursery'!O62</f>
        <v>477613.44838329602</v>
      </c>
      <c r="P78" s="346">
        <f>P65/(1+Assumption_Nursery!$C76)^'RCP 8.5_Nursery'!P62</f>
        <v>459590.29938769998</v>
      </c>
      <c r="Q78" s="346">
        <f>Q65/(1+Assumption_Nursery!$C76)^'RCP 8.5_Nursery'!Q62</f>
        <v>378121.41518491786</v>
      </c>
      <c r="R78" s="346">
        <f>R65/(1+Assumption_Nursery!$C76)^'RCP 8.5_Nursery'!R62</f>
        <v>425558.69302506495</v>
      </c>
      <c r="S78" s="346">
        <f>S65/(1+Assumption_Nursery!$C76)^'RCP 8.5_Nursery'!S62</f>
        <v>409499.87442034553</v>
      </c>
      <c r="T78" s="346">
        <f>T65/(1+Assumption_Nursery!$C76)^'RCP 8.5_Nursery'!T62</f>
        <v>336910.22686979559</v>
      </c>
      <c r="U78" s="346">
        <f>U65/(1+Assumption_Nursery!$C76)^'RCP 8.5_Nursery'!U62</f>
        <v>379177.34900936933</v>
      </c>
      <c r="V78" s="346">
        <f>V65/(1+Assumption_Nursery!$C76)^'RCP 8.5_Nursery'!V62</f>
        <v>364868.76980146865</v>
      </c>
      <c r="W78" s="346">
        <f>W65/(1+Assumption_Nursery!$C76)^'RCP 8.5_Nursery'!W62</f>
        <v>240152.4936934798</v>
      </c>
      <c r="X78" s="346">
        <f>X65/(1+Assumption_Nursery!$C76)^'RCP 8.5_Nursery'!X62</f>
        <v>168925.53760299389</v>
      </c>
      <c r="Y78" s="346">
        <f>Y65/(1+Assumption_Nursery!$C76)^'RCP 8.5_Nursery'!Y62</f>
        <v>65020.395605680649</v>
      </c>
      <c r="Z78" s="346">
        <f>Z65/(1+Assumption_Nursery!$C76)^'RCP 8.5_Nursery'!Z62</f>
        <v>0</v>
      </c>
      <c r="AA78" s="343">
        <f>SUM(B78:Z78)</f>
        <v>9693987.5148021784</v>
      </c>
    </row>
    <row r="79" spans="1:27" s="12" customFormat="1" x14ac:dyDescent="0.25">
      <c r="A79" s="10" t="s">
        <v>320</v>
      </c>
      <c r="B79" s="346">
        <f>B74/(1+Assumption_Nursery!$C76)^'RCP 8.5_Nursery'!B62</f>
        <v>0</v>
      </c>
      <c r="C79" s="346">
        <f>C74/(1+Assumption_Nursery!$C76)^'RCP 8.5_Nursery'!C62</f>
        <v>166433.96226415093</v>
      </c>
      <c r="D79" s="346">
        <f>D74/(1+Assumption_Nursery!$C76)^'RCP 8.5_Nursery'!D62</f>
        <v>393476.77109291556</v>
      </c>
      <c r="E79" s="346">
        <f>E74/(1+Assumption_Nursery!$C76)^'RCP 8.5_Nursery'!E62</f>
        <v>596896.32045245392</v>
      </c>
      <c r="F79" s="346">
        <f>F74/(1+Assumption_Nursery!$C76)^'RCP 8.5_Nursery'!F62</f>
        <v>703796.4812442991</v>
      </c>
      <c r="G79" s="346">
        <f>G74/(1+Assumption_Nursery!$C76)^'RCP 8.5_Nursery'!G62</f>
        <v>665591.90425759181</v>
      </c>
      <c r="H79" s="346">
        <f>H74/(1+Assumption_Nursery!$C76)^'RCP 8.5_Nursery'!H62</f>
        <v>631078.81232738262</v>
      </c>
      <c r="I79" s="346">
        <f>I74/(1+Assumption_Nursery!$C76)^'RCP 8.5_Nursery'!I62</f>
        <v>595324.82709076372</v>
      </c>
      <c r="J79" s="346">
        <f>J74/(1+Assumption_Nursery!$C76)^'RCP 8.5_Nursery'!J62</f>
        <v>563039.80443434126</v>
      </c>
      <c r="K79" s="346">
        <f>K74/(1+Assumption_Nursery!$C76)^'RCP 8.5_Nursery'!K62</f>
        <v>533864.02207467693</v>
      </c>
      <c r="L79" s="346">
        <f>L74/(1+Assumption_Nursery!$C76)^'RCP 8.5_Nursery'!L62</f>
        <v>503655.69784497248</v>
      </c>
      <c r="M79" s="346">
        <f>M74/(1+Assumption_Nursery!$C76)^'RCP 8.5_Nursery'!M62</f>
        <v>476368.87718687818</v>
      </c>
      <c r="N79" s="346">
        <f>N74/(1+Assumption_Nursery!$C76)^'RCP 8.5_Nursery'!N62</f>
        <v>451701.11072632624</v>
      </c>
      <c r="O79" s="346">
        <f>O74/(1+Assumption_Nursery!$C76)^'RCP 8.5_Nursery'!O62</f>
        <v>426174.47847444413</v>
      </c>
      <c r="P79" s="346">
        <f>P74/(1+Assumption_Nursery!$C76)^'RCP 8.5_Nursery'!P62</f>
        <v>403108.49227373977</v>
      </c>
      <c r="Q79" s="346">
        <f>Q74/(1+Assumption_Nursery!$C76)^'RCP 8.5_Nursery'!Q62</f>
        <v>382248.84681095346</v>
      </c>
      <c r="R79" s="346">
        <f>R74/(1+Assumption_Nursery!$C76)^'RCP 8.5_Nursery'!R62</f>
        <v>360675.06753394526</v>
      </c>
      <c r="S79" s="346">
        <f>S74/(1+Assumption_Nursery!$C76)^'RCP 8.5_Nursery'!S62</f>
        <v>341173.95104566892</v>
      </c>
      <c r="T79" s="346">
        <f>T74/(1+Assumption_Nursery!$C76)^'RCP 8.5_Nursery'!T62</f>
        <v>323531.66369588883</v>
      </c>
      <c r="U79" s="346">
        <f>U74/(1+Assumption_Nursery!$C76)^'RCP 8.5_Nursery'!U62</f>
        <v>305295.81954115484</v>
      </c>
      <c r="V79" s="346">
        <f>V74/(1+Assumption_Nursery!$C76)^'RCP 8.5_Nursery'!V62</f>
        <v>288805.98166624666</v>
      </c>
      <c r="W79" s="346">
        <f>W74/(1+Assumption_Nursery!$C76)^'RCP 8.5_Nursery'!W62</f>
        <v>219105.87166506387</v>
      </c>
      <c r="X79" s="346">
        <f>X74/(1+Assumption_Nursery!$C76)^'RCP 8.5_Nursery'!X62</f>
        <v>129232.78196901178</v>
      </c>
      <c r="Y79" s="346">
        <f>Y74/(1+Assumption_Nursery!$C76)^'RCP 8.5_Nursery'!Y62</f>
        <v>48903.950080777089</v>
      </c>
      <c r="Z79" s="346">
        <f>Z74/(1+Assumption_Nursery!$C76)^'RCP 8.5_Nursery'!Z62</f>
        <v>0</v>
      </c>
      <c r="AA79" s="343">
        <f>SUM(B79:Z79)</f>
        <v>9509485.4957536478</v>
      </c>
    </row>
    <row r="80" spans="1:27" x14ac:dyDescent="0.25">
      <c r="B80" s="32"/>
      <c r="C80" s="32"/>
      <c r="D80" s="32"/>
      <c r="E80" s="32"/>
      <c r="F80" s="32"/>
      <c r="G80" s="32"/>
      <c r="H80" s="32"/>
      <c r="I80" s="32"/>
      <c r="J80" s="32"/>
      <c r="K80" s="32"/>
      <c r="L80" s="32"/>
    </row>
    <row r="81" spans="1:12" s="12" customFormat="1" x14ac:dyDescent="0.25">
      <c r="A81" s="25" t="s">
        <v>318</v>
      </c>
      <c r="B81" s="35">
        <f>NPV(Assumption_Hatchery!C76,C76:Z76)+B76</f>
        <v>184502.01904852741</v>
      </c>
      <c r="C81" s="40"/>
      <c r="D81" s="40"/>
      <c r="E81" s="40"/>
      <c r="F81" s="40"/>
      <c r="G81" s="40"/>
      <c r="H81" s="40"/>
      <c r="I81" s="40"/>
      <c r="J81" s="40"/>
      <c r="K81" s="40"/>
      <c r="L81" s="40"/>
    </row>
    <row r="83" spans="1:12" s="12" customFormat="1" x14ac:dyDescent="0.25">
      <c r="A83" s="25" t="s">
        <v>238</v>
      </c>
      <c r="B83" s="36">
        <f>IRR(B76:Z76)</f>
        <v>9.8273336490084517E-2</v>
      </c>
      <c r="C83" s="4"/>
      <c r="D83" s="4"/>
      <c r="E83" s="4"/>
      <c r="F83" s="4"/>
      <c r="G83" s="4"/>
      <c r="H83" s="4"/>
      <c r="I83" s="4"/>
      <c r="J83" s="4"/>
      <c r="K83" s="4"/>
      <c r="L83" s="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K49"/>
  <sheetViews>
    <sheetView zoomScale="70" zoomScaleNormal="70" workbookViewId="0">
      <selection activeCell="H17" sqref="H17"/>
    </sheetView>
  </sheetViews>
  <sheetFormatPr defaultColWidth="26" defaultRowHeight="15" x14ac:dyDescent="0.25"/>
  <cols>
    <col min="1" max="1" width="53.7109375" style="309" customWidth="1"/>
    <col min="2" max="2" width="49.7109375" style="336" customWidth="1"/>
    <col min="3" max="3" width="19.28515625" style="234" customWidth="1"/>
    <col min="4" max="4" width="12.7109375" style="234" customWidth="1"/>
    <col min="5" max="5" width="13.7109375" style="234" customWidth="1"/>
    <col min="6" max="6" width="15.85546875" style="234" customWidth="1"/>
    <col min="7" max="7" width="12.28515625" style="276" customWidth="1"/>
    <col min="8" max="8" width="24.140625" style="234" customWidth="1"/>
    <col min="9" max="9" width="49" style="234" customWidth="1"/>
    <col min="10" max="10" width="45.140625" style="234" customWidth="1"/>
    <col min="11" max="16384" width="26" style="234"/>
  </cols>
  <sheetData>
    <row r="1" spans="1:11" ht="15.75" thickBot="1" x14ac:dyDescent="0.3">
      <c r="A1" s="363"/>
      <c r="B1" s="8"/>
      <c r="C1" s="364"/>
      <c r="D1" s="364"/>
      <c r="E1" s="364"/>
      <c r="F1" s="364"/>
      <c r="G1" s="365"/>
      <c r="H1" s="364"/>
      <c r="I1" s="364"/>
      <c r="J1" s="364"/>
      <c r="K1" s="268"/>
    </row>
    <row r="2" spans="1:11" ht="30.6" customHeight="1" x14ac:dyDescent="0.25">
      <c r="A2" s="227" t="s">
        <v>249</v>
      </c>
      <c r="B2" s="228" t="s">
        <v>250</v>
      </c>
      <c r="C2" s="229" t="s">
        <v>251</v>
      </c>
      <c r="D2" s="230" t="s">
        <v>252</v>
      </c>
      <c r="E2" s="229" t="s">
        <v>253</v>
      </c>
      <c r="F2" s="230" t="s">
        <v>254</v>
      </c>
      <c r="G2" s="231" t="s">
        <v>255</v>
      </c>
      <c r="H2" s="230" t="s">
        <v>256</v>
      </c>
      <c r="I2" s="230" t="s">
        <v>257</v>
      </c>
      <c r="J2" s="232" t="s">
        <v>258</v>
      </c>
      <c r="K2" s="233"/>
    </row>
    <row r="3" spans="1:11" ht="19.350000000000001" customHeight="1" x14ac:dyDescent="0.25">
      <c r="A3" s="505" t="s">
        <v>259</v>
      </c>
      <c r="B3" s="506"/>
      <c r="C3" s="506"/>
      <c r="D3" s="506"/>
      <c r="E3" s="506"/>
      <c r="F3" s="506"/>
      <c r="G3" s="506"/>
      <c r="H3" s="506"/>
      <c r="I3" s="506"/>
      <c r="J3" s="507"/>
      <c r="K3" s="236"/>
    </row>
    <row r="4" spans="1:11" s="244" customFormat="1" ht="19.350000000000001" customHeight="1" x14ac:dyDescent="0.25">
      <c r="A4" s="237" t="s">
        <v>260</v>
      </c>
      <c r="B4" s="238"/>
      <c r="C4" s="239"/>
      <c r="D4" s="239"/>
      <c r="E4" s="239"/>
      <c r="F4" s="239"/>
      <c r="G4" s="239"/>
      <c r="H4" s="240"/>
      <c r="I4" s="241"/>
      <c r="J4" s="242"/>
      <c r="K4" s="243"/>
    </row>
    <row r="5" spans="1:11" ht="19.350000000000001" customHeight="1" x14ac:dyDescent="0.25">
      <c r="A5" s="245" t="s">
        <v>263</v>
      </c>
      <c r="B5" s="250">
        <v>3002420000080</v>
      </c>
      <c r="C5" s="246">
        <v>0</v>
      </c>
      <c r="D5" s="246">
        <v>0</v>
      </c>
      <c r="E5" s="246">
        <v>0</v>
      </c>
      <c r="F5" s="246">
        <v>0.05</v>
      </c>
      <c r="G5" s="246">
        <v>0</v>
      </c>
      <c r="H5" s="247">
        <v>0</v>
      </c>
      <c r="I5" s="248" t="s">
        <v>261</v>
      </c>
      <c r="J5" s="249" t="s">
        <v>262</v>
      </c>
      <c r="K5" s="236"/>
    </row>
    <row r="6" spans="1:11" ht="19.350000000000001" customHeight="1" x14ac:dyDescent="0.25">
      <c r="A6" s="245" t="s">
        <v>264</v>
      </c>
      <c r="B6" s="251" t="s">
        <v>265</v>
      </c>
      <c r="C6" s="366" t="s">
        <v>265</v>
      </c>
      <c r="D6" s="366" t="s">
        <v>265</v>
      </c>
      <c r="E6" s="366" t="s">
        <v>265</v>
      </c>
      <c r="F6" s="366" t="s">
        <v>265</v>
      </c>
      <c r="G6" s="366" t="s">
        <v>265</v>
      </c>
      <c r="H6" s="366" t="s">
        <v>265</v>
      </c>
      <c r="I6" s="248"/>
      <c r="J6" s="249" t="s">
        <v>266</v>
      </c>
      <c r="K6" s="236"/>
    </row>
    <row r="7" spans="1:11" ht="19.350000000000001" customHeight="1" x14ac:dyDescent="0.25">
      <c r="A7" s="245" t="s">
        <v>267</v>
      </c>
      <c r="B7" s="251" t="s">
        <v>265</v>
      </c>
      <c r="C7" s="366" t="s">
        <v>265</v>
      </c>
      <c r="D7" s="366" t="s">
        <v>265</v>
      </c>
      <c r="E7" s="366" t="s">
        <v>265</v>
      </c>
      <c r="F7" s="366" t="s">
        <v>265</v>
      </c>
      <c r="G7" s="366" t="s">
        <v>265</v>
      </c>
      <c r="H7" s="366" t="s">
        <v>265</v>
      </c>
      <c r="I7" s="248"/>
      <c r="J7" s="252" t="s">
        <v>268</v>
      </c>
      <c r="K7" s="236"/>
    </row>
    <row r="8" spans="1:11" ht="19.350000000000001" customHeight="1" x14ac:dyDescent="0.25">
      <c r="A8" s="253" t="s">
        <v>269</v>
      </c>
      <c r="B8" s="235" t="s">
        <v>250</v>
      </c>
      <c r="C8" s="254" t="s">
        <v>251</v>
      </c>
      <c r="D8" s="255" t="s">
        <v>252</v>
      </c>
      <c r="E8" s="254" t="s">
        <v>253</v>
      </c>
      <c r="F8" s="254" t="s">
        <v>270</v>
      </c>
      <c r="G8" s="256" t="s">
        <v>255</v>
      </c>
      <c r="H8" s="255" t="s">
        <v>271</v>
      </c>
      <c r="I8" s="255" t="s">
        <v>257</v>
      </c>
      <c r="J8" s="257" t="s">
        <v>257</v>
      </c>
      <c r="K8" s="236"/>
    </row>
    <row r="9" spans="1:11" ht="19.350000000000001" customHeight="1" thickBot="1" x14ac:dyDescent="0.3">
      <c r="A9" s="245" t="s">
        <v>244</v>
      </c>
      <c r="B9" s="258" t="s">
        <v>314</v>
      </c>
      <c r="C9" s="246"/>
      <c r="D9" s="246"/>
      <c r="E9" s="246"/>
      <c r="F9" s="246"/>
      <c r="G9" s="246"/>
      <c r="H9" s="247"/>
      <c r="I9" s="248"/>
      <c r="J9" s="252" t="s">
        <v>268</v>
      </c>
      <c r="K9" s="236"/>
    </row>
    <row r="10" spans="1:11" ht="19.350000000000001" customHeight="1" x14ac:dyDescent="0.25">
      <c r="A10" s="259" t="s">
        <v>272</v>
      </c>
      <c r="B10" s="260"/>
      <c r="C10" s="261"/>
      <c r="D10" s="262"/>
      <c r="E10" s="263"/>
      <c r="F10" s="263"/>
      <c r="G10" s="263"/>
      <c r="H10" s="263"/>
      <c r="I10" s="263"/>
      <c r="J10" s="264"/>
      <c r="K10" s="236"/>
    </row>
    <row r="11" spans="1:11" ht="19.350000000000001" customHeight="1" x14ac:dyDescent="0.25">
      <c r="A11" s="265" t="s">
        <v>273</v>
      </c>
      <c r="B11" s="266">
        <v>0.15</v>
      </c>
      <c r="C11" s="267" t="s">
        <v>274</v>
      </c>
      <c r="D11" s="268"/>
      <c r="E11" s="263"/>
      <c r="F11" s="269"/>
      <c r="G11" s="270"/>
      <c r="H11" s="271"/>
      <c r="I11" s="271"/>
      <c r="J11" s="272"/>
      <c r="K11" s="236"/>
    </row>
    <row r="12" spans="1:11" ht="19.350000000000001" customHeight="1" x14ac:dyDescent="0.25">
      <c r="A12" s="265" t="s">
        <v>275</v>
      </c>
      <c r="B12" s="266">
        <v>0.09</v>
      </c>
      <c r="C12" s="273" t="s">
        <v>276</v>
      </c>
      <c r="D12" s="236"/>
      <c r="E12" s="274"/>
      <c r="F12" s="275"/>
      <c r="J12" s="277"/>
      <c r="K12" s="236"/>
    </row>
    <row r="13" spans="1:11" ht="19.350000000000001" customHeight="1" x14ac:dyDescent="0.25">
      <c r="A13" s="265" t="s">
        <v>277</v>
      </c>
      <c r="B13" s="266">
        <v>0.06</v>
      </c>
      <c r="C13" s="273" t="s">
        <v>276</v>
      </c>
      <c r="D13" s="236"/>
      <c r="E13" s="274"/>
      <c r="F13" s="278"/>
      <c r="J13" s="277"/>
      <c r="K13" s="236"/>
    </row>
    <row r="14" spans="1:11" ht="19.350000000000001" customHeight="1" x14ac:dyDescent="0.25">
      <c r="A14" s="265" t="s">
        <v>278</v>
      </c>
      <c r="B14" s="266">
        <v>0.05</v>
      </c>
      <c r="C14" s="273" t="s">
        <v>276</v>
      </c>
      <c r="D14" s="236"/>
      <c r="E14" s="279"/>
      <c r="F14" s="275"/>
      <c r="J14" s="277"/>
      <c r="K14" s="236"/>
    </row>
    <row r="15" spans="1:11" ht="19.350000000000001" customHeight="1" x14ac:dyDescent="0.25">
      <c r="A15" s="265" t="s">
        <v>279</v>
      </c>
      <c r="B15" s="280">
        <v>0.05</v>
      </c>
      <c r="C15" s="273" t="s">
        <v>276</v>
      </c>
      <c r="D15" s="236"/>
      <c r="E15" s="279"/>
      <c r="F15" s="275"/>
      <c r="J15" s="277"/>
      <c r="K15" s="236"/>
    </row>
    <row r="16" spans="1:11" ht="19.350000000000001" customHeight="1" x14ac:dyDescent="0.25">
      <c r="A16" s="265" t="s">
        <v>280</v>
      </c>
      <c r="B16" s="266">
        <v>2.81E-2</v>
      </c>
      <c r="C16" s="281" t="s">
        <v>281</v>
      </c>
      <c r="D16" s="236"/>
      <c r="E16" s="279"/>
      <c r="F16" s="275"/>
      <c r="J16" s="277"/>
      <c r="K16" s="236"/>
    </row>
    <row r="17" spans="1:11" ht="19.350000000000001" customHeight="1" thickBot="1" x14ac:dyDescent="0.3">
      <c r="A17" s="282" t="s">
        <v>282</v>
      </c>
      <c r="B17" s="283">
        <v>0</v>
      </c>
      <c r="C17" s="284" t="s">
        <v>276</v>
      </c>
      <c r="D17" s="236"/>
      <c r="J17" s="277"/>
      <c r="K17" s="236"/>
    </row>
    <row r="18" spans="1:11" ht="19.350000000000001" customHeight="1" x14ac:dyDescent="0.25">
      <c r="A18" s="285" t="s">
        <v>283</v>
      </c>
      <c r="B18" s="286"/>
      <c r="C18" s="287"/>
      <c r="D18" s="288"/>
      <c r="E18" s="289"/>
      <c r="F18" s="289"/>
      <c r="G18" s="290"/>
      <c r="H18" s="291"/>
      <c r="I18" s="236"/>
      <c r="J18" s="277"/>
      <c r="K18" s="236"/>
    </row>
    <row r="19" spans="1:11" ht="19.350000000000001" customHeight="1" x14ac:dyDescent="0.25">
      <c r="A19" s="292" t="s">
        <v>284</v>
      </c>
      <c r="B19" s="293"/>
      <c r="C19" s="294"/>
      <c r="D19" s="295"/>
      <c r="H19" s="277"/>
      <c r="I19" s="236"/>
      <c r="J19" s="277"/>
      <c r="K19" s="236"/>
    </row>
    <row r="20" spans="1:11" ht="19.350000000000001" customHeight="1" x14ac:dyDescent="0.25">
      <c r="A20" s="292" t="s">
        <v>285</v>
      </c>
      <c r="B20" s="293"/>
      <c r="C20" s="294"/>
      <c r="D20" s="295"/>
      <c r="H20" s="277"/>
      <c r="I20" s="236"/>
      <c r="J20" s="277"/>
      <c r="K20" s="236"/>
    </row>
    <row r="21" spans="1:11" ht="19.350000000000001" customHeight="1" x14ac:dyDescent="0.25">
      <c r="A21" s="292" t="s">
        <v>286</v>
      </c>
      <c r="B21" s="293"/>
      <c r="C21" s="294"/>
      <c r="D21" s="295"/>
      <c r="H21" s="277"/>
      <c r="I21" s="236"/>
      <c r="J21" s="277"/>
      <c r="K21" s="236"/>
    </row>
    <row r="22" spans="1:11" ht="19.350000000000001" customHeight="1" x14ac:dyDescent="0.25">
      <c r="A22" s="292" t="s">
        <v>287</v>
      </c>
      <c r="B22" s="293"/>
      <c r="C22" s="294"/>
      <c r="D22" s="295"/>
      <c r="H22" s="277"/>
      <c r="I22" s="236"/>
      <c r="J22" s="277"/>
      <c r="K22" s="236"/>
    </row>
    <row r="23" spans="1:11" ht="19.350000000000001" customHeight="1" thickBot="1" x14ac:dyDescent="0.3">
      <c r="A23" s="296"/>
      <c r="B23" s="297"/>
      <c r="C23" s="298"/>
      <c r="D23" s="299"/>
      <c r="E23" s="300"/>
      <c r="F23" s="300"/>
      <c r="G23" s="301"/>
      <c r="H23" s="302"/>
      <c r="I23" s="236"/>
      <c r="J23" s="277"/>
      <c r="K23" s="236"/>
    </row>
    <row r="24" spans="1:11" ht="19.350000000000001" customHeight="1" x14ac:dyDescent="0.25">
      <c r="A24" s="303"/>
      <c r="B24" s="304"/>
      <c r="C24" s="305"/>
      <c r="D24" s="262"/>
      <c r="E24" s="263"/>
      <c r="F24" s="263"/>
      <c r="G24" s="263"/>
      <c r="H24" s="263"/>
      <c r="I24" s="236"/>
      <c r="J24" s="277"/>
      <c r="K24" s="236"/>
    </row>
    <row r="25" spans="1:11" ht="19.350000000000001" customHeight="1" x14ac:dyDescent="0.25">
      <c r="A25" s="306" t="s">
        <v>288</v>
      </c>
      <c r="B25" s="307"/>
      <c r="C25" s="308"/>
      <c r="D25" s="236"/>
      <c r="E25" s="263"/>
      <c r="F25" s="263"/>
      <c r="G25" s="263"/>
      <c r="H25" s="263"/>
      <c r="I25" s="236"/>
      <c r="J25" s="277"/>
      <c r="K25" s="236"/>
    </row>
    <row r="26" spans="1:11" ht="19.350000000000001" customHeight="1" x14ac:dyDescent="0.25">
      <c r="B26" s="244">
        <v>2018</v>
      </c>
      <c r="C26" s="310"/>
      <c r="D26" s="236"/>
      <c r="E26" s="263"/>
      <c r="F26" s="263"/>
      <c r="G26" s="263"/>
      <c r="H26" s="263"/>
      <c r="I26" s="236"/>
      <c r="J26" s="277"/>
      <c r="K26" s="236"/>
    </row>
    <row r="27" spans="1:11" ht="19.350000000000001" customHeight="1" x14ac:dyDescent="0.25">
      <c r="A27" s="309" t="s">
        <v>289</v>
      </c>
      <c r="B27" s="234">
        <v>29.797999999999998</v>
      </c>
      <c r="C27" s="310" t="s">
        <v>290</v>
      </c>
      <c r="D27" s="236"/>
      <c r="E27" s="263"/>
      <c r="F27" s="263"/>
      <c r="G27" s="263"/>
      <c r="H27" s="263"/>
      <c r="I27" s="236"/>
      <c r="J27" s="277"/>
      <c r="K27" s="236"/>
    </row>
    <row r="28" spans="1:11" ht="19.350000000000001" customHeight="1" x14ac:dyDescent="0.25">
      <c r="A28" s="309" t="s">
        <v>291</v>
      </c>
      <c r="B28" s="234">
        <v>67.709999999999994</v>
      </c>
      <c r="C28" s="310" t="s">
        <v>290</v>
      </c>
      <c r="D28" s="236"/>
      <c r="E28" s="263"/>
      <c r="F28" s="263"/>
      <c r="G28" s="263"/>
      <c r="H28" s="263"/>
      <c r="I28" s="236"/>
      <c r="J28" s="277"/>
      <c r="K28" s="236"/>
    </row>
    <row r="29" spans="1:11" ht="19.350000000000001" customHeight="1" x14ac:dyDescent="0.25">
      <c r="A29" s="311" t="s">
        <v>292</v>
      </c>
      <c r="B29" s="312">
        <v>2.74</v>
      </c>
      <c r="C29" s="313" t="s">
        <v>290</v>
      </c>
      <c r="D29" s="236"/>
      <c r="E29" s="263"/>
      <c r="F29" s="263"/>
      <c r="G29" s="263"/>
      <c r="H29" s="263"/>
      <c r="I29" s="236"/>
      <c r="J29" s="277"/>
      <c r="K29" s="236"/>
    </row>
    <row r="30" spans="1:11" ht="19.350000000000001" customHeight="1" x14ac:dyDescent="0.25">
      <c r="A30" s="314"/>
      <c r="B30" s="271"/>
      <c r="C30" s="264"/>
      <c r="D30" s="236"/>
      <c r="E30" s="263"/>
      <c r="F30" s="263"/>
      <c r="G30" s="263"/>
      <c r="H30" s="263"/>
      <c r="I30" s="236"/>
      <c r="J30" s="277"/>
      <c r="K30" s="236"/>
    </row>
    <row r="31" spans="1:11" ht="19.350000000000001" customHeight="1" x14ac:dyDescent="0.25">
      <c r="A31" s="315" t="s">
        <v>293</v>
      </c>
      <c r="B31" s="234"/>
      <c r="C31" s="310"/>
      <c r="D31" s="236"/>
      <c r="E31" s="263"/>
      <c r="F31" s="263"/>
      <c r="G31" s="263"/>
      <c r="H31" s="263"/>
      <c r="I31" s="236"/>
      <c r="J31" s="277"/>
      <c r="K31" s="236"/>
    </row>
    <row r="32" spans="1:11" ht="19.350000000000001" customHeight="1" thickBot="1" x14ac:dyDescent="0.3">
      <c r="A32" s="316"/>
      <c r="B32" s="317"/>
      <c r="C32" s="318"/>
      <c r="D32" s="262"/>
      <c r="E32" s="263"/>
      <c r="F32" s="263"/>
      <c r="G32" s="263"/>
      <c r="H32" s="263"/>
      <c r="I32" s="236"/>
      <c r="J32" s="277"/>
      <c r="K32" s="236"/>
    </row>
    <row r="33" spans="1:11" ht="19.350000000000001" customHeight="1" x14ac:dyDescent="0.25">
      <c r="A33" s="319"/>
      <c r="B33" s="263"/>
      <c r="C33" s="263"/>
      <c r="D33" s="263"/>
      <c r="E33" s="263"/>
      <c r="F33" s="263"/>
      <c r="G33" s="263"/>
      <c r="H33" s="263"/>
      <c r="I33" s="236"/>
      <c r="J33" s="277"/>
      <c r="K33" s="236"/>
    </row>
    <row r="34" spans="1:11" ht="19.350000000000001" customHeight="1" x14ac:dyDescent="0.25">
      <c r="A34" s="333"/>
      <c r="B34" s="371"/>
      <c r="C34" s="371"/>
      <c r="D34" s="372"/>
      <c r="E34" s="371"/>
      <c r="F34" s="371"/>
      <c r="G34" s="373"/>
      <c r="H34" s="374"/>
      <c r="I34" s="236"/>
      <c r="J34" s="277"/>
      <c r="K34" s="236"/>
    </row>
    <row r="35" spans="1:11" ht="19.350000000000001" customHeight="1" x14ac:dyDescent="0.25">
      <c r="A35" s="320" t="s">
        <v>333</v>
      </c>
      <c r="B35" s="6"/>
      <c r="C35" s="16"/>
      <c r="D35" s="16"/>
      <c r="E35" s="16"/>
      <c r="F35" s="16"/>
      <c r="G35" s="375"/>
      <c r="H35" s="16"/>
      <c r="I35" s="236"/>
      <c r="J35" s="277"/>
      <c r="K35" s="236"/>
    </row>
    <row r="36" spans="1:11" ht="19.350000000000001" customHeight="1" x14ac:dyDescent="0.25">
      <c r="A36" s="321"/>
      <c r="B36" s="322"/>
      <c r="C36" s="256" t="s">
        <v>294</v>
      </c>
      <c r="D36" s="256" t="s">
        <v>295</v>
      </c>
      <c r="E36" s="256" t="s">
        <v>296</v>
      </c>
      <c r="F36" s="256" t="s">
        <v>297</v>
      </c>
      <c r="G36" s="323" t="s">
        <v>298</v>
      </c>
      <c r="H36" s="324" t="s">
        <v>299</v>
      </c>
      <c r="I36" s="236"/>
      <c r="J36" s="277"/>
      <c r="K36" s="236"/>
    </row>
    <row r="37" spans="1:11" ht="19.350000000000001" customHeight="1" x14ac:dyDescent="0.25">
      <c r="A37" s="325"/>
      <c r="B37" s="326" t="s">
        <v>300</v>
      </c>
      <c r="C37" s="327"/>
      <c r="D37" s="328">
        <v>1</v>
      </c>
      <c r="E37" s="328"/>
      <c r="F37" s="329">
        <f>$B$16</f>
        <v>2.81E-2</v>
      </c>
      <c r="G37" s="330">
        <f>D37*F37</f>
        <v>2.81E-2</v>
      </c>
      <c r="H37" s="331">
        <f>D37+G37</f>
        <v>1.0281</v>
      </c>
      <c r="I37" s="236"/>
      <c r="J37" s="277"/>
      <c r="K37" s="236"/>
    </row>
    <row r="38" spans="1:11" ht="19.350000000000001" customHeight="1" x14ac:dyDescent="0.25">
      <c r="A38" s="325" t="s">
        <v>301</v>
      </c>
      <c r="B38" s="326" t="s">
        <v>302</v>
      </c>
      <c r="C38" s="329">
        <f>C5</f>
        <v>0</v>
      </c>
      <c r="D38" s="328">
        <f>C38*D37</f>
        <v>0</v>
      </c>
      <c r="E38" s="328"/>
      <c r="F38" s="328"/>
      <c r="G38" s="332"/>
      <c r="H38" s="331"/>
      <c r="I38" s="236"/>
      <c r="J38" s="277"/>
      <c r="K38" s="236"/>
    </row>
    <row r="39" spans="1:11" ht="19.350000000000001" customHeight="1" x14ac:dyDescent="0.25">
      <c r="A39" s="325" t="s">
        <v>301</v>
      </c>
      <c r="B39" s="326" t="s">
        <v>303</v>
      </c>
      <c r="C39" s="329">
        <f>E5</f>
        <v>0</v>
      </c>
      <c r="D39" s="328">
        <f>SUM(D37:D38)*C39</f>
        <v>0</v>
      </c>
      <c r="E39" s="328"/>
      <c r="F39" s="328"/>
      <c r="G39" s="332"/>
      <c r="H39" s="331"/>
      <c r="I39" s="236"/>
      <c r="J39" s="277"/>
      <c r="K39" s="236"/>
    </row>
    <row r="40" spans="1:11" ht="19.350000000000001" customHeight="1" x14ac:dyDescent="0.25">
      <c r="A40" s="325" t="s">
        <v>301</v>
      </c>
      <c r="B40" s="326" t="s">
        <v>304</v>
      </c>
      <c r="C40" s="329">
        <f>$B$14</f>
        <v>0.05</v>
      </c>
      <c r="D40" s="328">
        <f>D37*C40</f>
        <v>0.05</v>
      </c>
      <c r="E40" s="328">
        <f>1-$B$11</f>
        <v>0.85</v>
      </c>
      <c r="F40" s="328"/>
      <c r="G40" s="332"/>
      <c r="H40" s="331">
        <f>D40*E40</f>
        <v>4.2500000000000003E-2</v>
      </c>
      <c r="I40" s="236"/>
      <c r="J40" s="277"/>
      <c r="K40" s="236"/>
    </row>
    <row r="41" spans="1:11" ht="19.350000000000001" customHeight="1" x14ac:dyDescent="0.25">
      <c r="A41" s="325" t="s">
        <v>301</v>
      </c>
      <c r="B41" s="326" t="s">
        <v>305</v>
      </c>
      <c r="C41" s="329"/>
      <c r="D41" s="328">
        <f>SUM(D37:D40)</f>
        <v>1.05</v>
      </c>
      <c r="E41" s="328"/>
      <c r="F41" s="328"/>
      <c r="G41" s="332"/>
      <c r="H41" s="331"/>
      <c r="I41" s="236"/>
      <c r="J41" s="277"/>
      <c r="K41" s="236"/>
    </row>
    <row r="42" spans="1:11" ht="19.350000000000001" customHeight="1" x14ac:dyDescent="0.25">
      <c r="A42" s="325" t="s">
        <v>301</v>
      </c>
      <c r="B42" s="326" t="s">
        <v>306</v>
      </c>
      <c r="C42" s="329">
        <f>$B$15</f>
        <v>0.05</v>
      </c>
      <c r="D42" s="328">
        <f>D37*C42</f>
        <v>0.05</v>
      </c>
      <c r="E42" s="328">
        <f>1-$B$11</f>
        <v>0.85</v>
      </c>
      <c r="F42" s="328"/>
      <c r="G42" s="332"/>
      <c r="H42" s="331">
        <f>D42*E42</f>
        <v>4.2500000000000003E-2</v>
      </c>
      <c r="I42" s="236"/>
      <c r="J42" s="277"/>
      <c r="K42" s="236"/>
    </row>
    <row r="43" spans="1:11" ht="19.350000000000001" customHeight="1" x14ac:dyDescent="0.25">
      <c r="A43" s="325" t="s">
        <v>307</v>
      </c>
      <c r="B43" s="326" t="s">
        <v>308</v>
      </c>
      <c r="C43" s="246">
        <v>0</v>
      </c>
      <c r="D43" s="328">
        <f>C43*(SUM(D41,D42))</f>
        <v>0</v>
      </c>
      <c r="E43" s="328"/>
      <c r="F43" s="328"/>
      <c r="G43" s="332"/>
      <c r="H43" s="331"/>
      <c r="I43" s="236"/>
      <c r="J43" s="277"/>
      <c r="K43" s="236"/>
    </row>
    <row r="44" spans="1:11" ht="19.350000000000001" customHeight="1" x14ac:dyDescent="0.25">
      <c r="A44" s="325"/>
      <c r="B44" s="326" t="s">
        <v>309</v>
      </c>
      <c r="C44" s="327"/>
      <c r="D44" s="328">
        <f>SUM(D41:D42)</f>
        <v>1.1000000000000001</v>
      </c>
      <c r="E44" s="328"/>
      <c r="F44" s="328"/>
      <c r="G44" s="332"/>
      <c r="H44" s="331">
        <f>SUM(H37:H43)</f>
        <v>1.1131</v>
      </c>
      <c r="I44" s="236"/>
      <c r="J44" s="277"/>
      <c r="K44" s="236"/>
    </row>
    <row r="45" spans="1:11" ht="19.350000000000001" customHeight="1" x14ac:dyDescent="0.25">
      <c r="A45" s="333"/>
      <c r="B45" s="235" t="s">
        <v>310</v>
      </c>
      <c r="C45" s="334">
        <f>H44/D44</f>
        <v>1.0119090909090909</v>
      </c>
      <c r="D45" s="262"/>
      <c r="E45" s="263"/>
      <c r="F45" s="263"/>
      <c r="G45" s="335"/>
      <c r="J45" s="277"/>
      <c r="K45" s="236"/>
    </row>
    <row r="46" spans="1:11" ht="19.350000000000001" customHeight="1" x14ac:dyDescent="0.25">
      <c r="A46" s="333"/>
      <c r="B46" s="263"/>
      <c r="C46" s="263"/>
      <c r="D46" s="262"/>
      <c r="E46" s="263"/>
      <c r="F46" s="263"/>
      <c r="G46" s="335"/>
      <c r="I46" s="236"/>
      <c r="J46" s="277"/>
      <c r="K46" s="236"/>
    </row>
    <row r="47" spans="1:11" x14ac:dyDescent="0.25">
      <c r="J47" s="277"/>
      <c r="K47" s="236"/>
    </row>
    <row r="48" spans="1:11" ht="15.75" thickBot="1" x14ac:dyDescent="0.3">
      <c r="A48" s="337"/>
      <c r="B48" s="338"/>
      <c r="C48" s="300"/>
      <c r="D48" s="300"/>
      <c r="E48" s="300"/>
      <c r="F48" s="300"/>
      <c r="G48" s="301"/>
      <c r="H48" s="300"/>
      <c r="I48" s="300"/>
      <c r="J48" s="302"/>
      <c r="K48" s="236"/>
    </row>
    <row r="49" spans="1:10" x14ac:dyDescent="0.25">
      <c r="A49" s="314"/>
      <c r="B49" s="339"/>
      <c r="C49" s="271"/>
      <c r="D49" s="271"/>
      <c r="E49" s="271"/>
      <c r="F49" s="271"/>
      <c r="G49" s="270"/>
      <c r="H49" s="271"/>
      <c r="I49" s="271"/>
      <c r="J49" s="271"/>
    </row>
  </sheetData>
  <mergeCells count="1">
    <mergeCell ref="A3:J3"/>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sheetPr>
  <dimension ref="A3:AE195"/>
  <sheetViews>
    <sheetView showGridLines="0" topLeftCell="A165" zoomScale="70" zoomScaleNormal="70" workbookViewId="0">
      <selection activeCell="F142" sqref="F142"/>
    </sheetView>
  </sheetViews>
  <sheetFormatPr defaultRowHeight="15" x14ac:dyDescent="0.25"/>
  <cols>
    <col min="2" max="2" width="50" customWidth="1"/>
    <col min="3" max="3" width="11.85546875" customWidth="1"/>
    <col min="4" max="4" width="21.7109375" customWidth="1"/>
    <col min="5" max="5" width="15.8554687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9" width="15.28515625" customWidth="1"/>
    <col min="30" max="30" width="15.7109375" customWidth="1"/>
  </cols>
  <sheetData>
    <row r="3" spans="1:30" x14ac:dyDescent="0.25">
      <c r="A3" s="63">
        <v>1</v>
      </c>
      <c r="B3" s="550" t="s">
        <v>105</v>
      </c>
      <c r="C3" s="551"/>
      <c r="D3" s="551"/>
      <c r="E3" s="551"/>
    </row>
    <row r="5" spans="1:30" x14ac:dyDescent="0.25">
      <c r="C5" s="8" t="s">
        <v>19</v>
      </c>
      <c r="D5" s="15">
        <v>0</v>
      </c>
      <c r="E5" s="15">
        <v>1</v>
      </c>
      <c r="F5" s="15">
        <v>2</v>
      </c>
      <c r="G5" s="15">
        <v>3</v>
      </c>
      <c r="H5" s="15">
        <v>4</v>
      </c>
      <c r="I5" s="15">
        <v>5</v>
      </c>
      <c r="J5" s="15">
        <v>6</v>
      </c>
      <c r="K5" s="15">
        <v>7</v>
      </c>
      <c r="L5" s="15">
        <v>8</v>
      </c>
      <c r="M5" s="15">
        <v>9</v>
      </c>
      <c r="N5" s="15">
        <v>10</v>
      </c>
      <c r="O5" s="15">
        <v>11</v>
      </c>
      <c r="P5" s="15">
        <v>12</v>
      </c>
      <c r="Q5" s="15">
        <v>13</v>
      </c>
      <c r="R5" s="15">
        <v>14</v>
      </c>
      <c r="S5" s="15">
        <v>15</v>
      </c>
      <c r="T5" s="15">
        <v>16</v>
      </c>
      <c r="U5" s="15">
        <v>17</v>
      </c>
      <c r="V5" s="15">
        <v>18</v>
      </c>
      <c r="W5" s="15">
        <v>19</v>
      </c>
      <c r="X5" s="15">
        <v>20</v>
      </c>
      <c r="Y5" s="15">
        <v>21</v>
      </c>
      <c r="Z5" s="15">
        <v>22</v>
      </c>
      <c r="AA5" s="15">
        <v>23</v>
      </c>
      <c r="AB5" s="15">
        <v>24</v>
      </c>
      <c r="AC5" s="15"/>
      <c r="AD5" s="53" t="s">
        <v>109</v>
      </c>
    </row>
    <row r="6" spans="1:30" x14ac:dyDescent="0.25">
      <c r="B6" s="66" t="s">
        <v>108</v>
      </c>
      <c r="C6" s="47"/>
      <c r="D6" s="68">
        <f>Assumption_Hatchery!D6</f>
        <v>0</v>
      </c>
      <c r="E6" s="68">
        <f>Assumption_Hatchery!E6</f>
        <v>10</v>
      </c>
      <c r="F6" s="68">
        <f>Assumption_Hatchery!F6</f>
        <v>15</v>
      </c>
      <c r="G6" s="68">
        <f>Assumption_Hatchery!G6</f>
        <v>20</v>
      </c>
      <c r="H6" s="68">
        <f>Assumption_Hatchery!H6</f>
        <v>5</v>
      </c>
      <c r="I6" s="68">
        <f>Assumption_Hatchery!I6</f>
        <v>0</v>
      </c>
      <c r="J6" s="68">
        <f>Assumption_Hatchery!J6</f>
        <v>0</v>
      </c>
      <c r="K6" s="68">
        <f>Assumption_Hatchery!K6</f>
        <v>0</v>
      </c>
      <c r="L6" s="68">
        <f>Assumption_Hatchery!L6</f>
        <v>0</v>
      </c>
      <c r="M6" s="68">
        <f>Assumption_Hatchery!M6</f>
        <v>0</v>
      </c>
      <c r="N6" s="68">
        <f>Assumption_Hatchery!N6</f>
        <v>0</v>
      </c>
      <c r="O6" s="68">
        <f>Assumption_Hatchery!O6</f>
        <v>0</v>
      </c>
      <c r="P6" s="68">
        <f>Assumption_Hatchery!P6</f>
        <v>0</v>
      </c>
      <c r="Q6" s="68">
        <f>Assumption_Hatchery!Q6</f>
        <v>0</v>
      </c>
      <c r="R6" s="68">
        <f>Assumption_Hatchery!R6</f>
        <v>0</v>
      </c>
      <c r="S6" s="68">
        <f>Assumption_Hatchery!S6</f>
        <v>0</v>
      </c>
      <c r="T6" s="68">
        <f>Assumption_Hatchery!T6</f>
        <v>0</v>
      </c>
      <c r="U6" s="68">
        <f>Assumption_Hatchery!U6</f>
        <v>0</v>
      </c>
      <c r="V6" s="68">
        <f>Assumption_Hatchery!V6</f>
        <v>0</v>
      </c>
      <c r="W6" s="68">
        <f>Assumption_Hatchery!W6</f>
        <v>0</v>
      </c>
      <c r="X6" s="68">
        <f>Assumption_Hatchery!X6</f>
        <v>0</v>
      </c>
      <c r="Y6" s="68">
        <f>Assumption_Hatchery!Y6</f>
        <v>0</v>
      </c>
      <c r="Z6" s="68">
        <f>Assumption_Hatchery!Z6</f>
        <v>0</v>
      </c>
      <c r="AA6" s="68">
        <f>Assumption_Hatchery!AA6</f>
        <v>0</v>
      </c>
      <c r="AB6" s="68">
        <f>Assumption_Hatchery!AB6</f>
        <v>0</v>
      </c>
      <c r="AC6" s="68"/>
      <c r="AD6" s="53">
        <f>SUM(D6:AB6)</f>
        <v>50</v>
      </c>
    </row>
    <row r="7" spans="1:30" x14ac:dyDescent="0.25">
      <c r="B7" s="66" t="s">
        <v>107</v>
      </c>
      <c r="C7" s="47"/>
      <c r="D7" s="68">
        <f>Assumption_Hatchery!D7</f>
        <v>0</v>
      </c>
      <c r="E7" s="68">
        <f>Assumption_Hatchery!E7</f>
        <v>100</v>
      </c>
      <c r="F7" s="68">
        <f>Assumption_Hatchery!F7</f>
        <v>150</v>
      </c>
      <c r="G7" s="68">
        <f>Assumption_Hatchery!G7</f>
        <v>150</v>
      </c>
      <c r="H7" s="68">
        <f>Assumption_Hatchery!H7</f>
        <v>100</v>
      </c>
      <c r="I7" s="68">
        <f>Assumption_Hatchery!I7</f>
        <v>0</v>
      </c>
      <c r="J7" s="68">
        <f>Assumption_Hatchery!J7</f>
        <v>0</v>
      </c>
      <c r="K7" s="68">
        <f>Assumption_Hatchery!K7</f>
        <v>0</v>
      </c>
      <c r="L7" s="68">
        <f>Assumption_Hatchery!L7</f>
        <v>0</v>
      </c>
      <c r="M7" s="68">
        <f>Assumption_Hatchery!M7</f>
        <v>0</v>
      </c>
      <c r="N7" s="68">
        <f>Assumption_Hatchery!N7</f>
        <v>0</v>
      </c>
      <c r="O7" s="68">
        <f>Assumption_Hatchery!O7</f>
        <v>0</v>
      </c>
      <c r="P7" s="68">
        <f>Assumption_Hatchery!P7</f>
        <v>0</v>
      </c>
      <c r="Q7" s="68">
        <f>Assumption_Hatchery!Q7</f>
        <v>0</v>
      </c>
      <c r="R7" s="68">
        <f>Assumption_Hatchery!R7</f>
        <v>0</v>
      </c>
      <c r="S7" s="68">
        <f>Assumption_Hatchery!S7</f>
        <v>0</v>
      </c>
      <c r="T7" s="68">
        <f>Assumption_Hatchery!T7</f>
        <v>0</v>
      </c>
      <c r="U7" s="68">
        <f>Assumption_Hatchery!U7</f>
        <v>0</v>
      </c>
      <c r="V7" s="68">
        <f>Assumption_Hatchery!V7</f>
        <v>0</v>
      </c>
      <c r="W7" s="68">
        <f>Assumption_Hatchery!W7</f>
        <v>0</v>
      </c>
      <c r="X7" s="68">
        <f>Assumption_Hatchery!X7</f>
        <v>0</v>
      </c>
      <c r="Y7" s="68">
        <f>Assumption_Hatchery!Y7</f>
        <v>0</v>
      </c>
      <c r="Z7" s="68">
        <f>Assumption_Hatchery!Z7</f>
        <v>0</v>
      </c>
      <c r="AA7" s="68">
        <f>Assumption_Hatchery!AA7</f>
        <v>0</v>
      </c>
      <c r="AB7" s="68">
        <f>Assumption_Hatchery!AB7</f>
        <v>0</v>
      </c>
      <c r="AC7" s="68"/>
      <c r="AD7" s="53">
        <f>SUM(D7:AB7)</f>
        <v>500</v>
      </c>
    </row>
    <row r="8" spans="1:30" x14ac:dyDescent="0.25">
      <c r="B8" s="66" t="s">
        <v>106</v>
      </c>
      <c r="C8" s="47"/>
      <c r="D8" s="68">
        <f>Assumption_Hatchery!D8</f>
        <v>0</v>
      </c>
      <c r="E8" s="68">
        <f>Assumption_Hatchery!E8</f>
        <v>3000</v>
      </c>
      <c r="F8" s="68">
        <f>Assumption_Hatchery!F8</f>
        <v>7000</v>
      </c>
      <c r="G8" s="68">
        <f>Assumption_Hatchery!G8</f>
        <v>7000</v>
      </c>
      <c r="H8" s="68">
        <f>Assumption_Hatchery!H8</f>
        <v>2000</v>
      </c>
      <c r="I8" s="68">
        <f>Assumption_Hatchery!I8</f>
        <v>1000</v>
      </c>
      <c r="J8" s="68">
        <f>Assumption_Hatchery!J8</f>
        <v>0</v>
      </c>
      <c r="K8" s="68">
        <f>Assumption_Hatchery!K8</f>
        <v>0</v>
      </c>
      <c r="L8" s="68">
        <f>Assumption_Hatchery!L8</f>
        <v>0</v>
      </c>
      <c r="M8" s="68">
        <f>Assumption_Hatchery!M8</f>
        <v>0</v>
      </c>
      <c r="N8" s="68">
        <f>Assumption_Hatchery!N8</f>
        <v>0</v>
      </c>
      <c r="O8" s="68">
        <f>Assumption_Hatchery!O8</f>
        <v>0</v>
      </c>
      <c r="P8" s="68">
        <f>Assumption_Hatchery!P8</f>
        <v>0</v>
      </c>
      <c r="Q8" s="68">
        <f>Assumption_Hatchery!Q8</f>
        <v>0</v>
      </c>
      <c r="R8" s="68">
        <f>Assumption_Hatchery!R8</f>
        <v>0</v>
      </c>
      <c r="S8" s="68">
        <f>Assumption_Hatchery!S8</f>
        <v>0</v>
      </c>
      <c r="T8" s="68">
        <f>Assumption_Hatchery!T8</f>
        <v>0</v>
      </c>
      <c r="U8" s="68">
        <f>Assumption_Hatchery!U8</f>
        <v>0</v>
      </c>
      <c r="V8" s="68">
        <f>Assumption_Hatchery!V8</f>
        <v>0</v>
      </c>
      <c r="W8" s="68">
        <f>Assumption_Hatchery!W8</f>
        <v>0</v>
      </c>
      <c r="X8" s="68">
        <f>Assumption_Hatchery!X8</f>
        <v>0</v>
      </c>
      <c r="Y8" s="68">
        <f>Assumption_Hatchery!Y8</f>
        <v>0</v>
      </c>
      <c r="Z8" s="68">
        <f>Assumption_Hatchery!Z8</f>
        <v>0</v>
      </c>
      <c r="AA8" s="68">
        <f>Assumption_Hatchery!AA8</f>
        <v>0</v>
      </c>
      <c r="AB8" s="68">
        <f>Assumption_Hatchery!AB8</f>
        <v>0</v>
      </c>
      <c r="AC8" s="68"/>
      <c r="AD8" s="53">
        <f>SUM(D8:AB8)</f>
        <v>20000</v>
      </c>
    </row>
    <row r="9" spans="1:30" x14ac:dyDescent="0.25">
      <c r="D9" s="105"/>
      <c r="E9" s="105"/>
      <c r="F9" s="105"/>
      <c r="G9" s="105"/>
      <c r="H9" s="105"/>
      <c r="I9" s="105"/>
      <c r="J9" s="105"/>
      <c r="K9" s="105"/>
      <c r="L9" s="105"/>
      <c r="M9" s="105"/>
      <c r="N9" s="105"/>
      <c r="O9" s="105"/>
      <c r="P9" s="105"/>
      <c r="Q9" s="105"/>
      <c r="R9" s="105"/>
      <c r="S9" s="105"/>
      <c r="T9" s="105"/>
      <c r="U9" s="105"/>
      <c r="V9" s="105"/>
      <c r="W9" s="105"/>
      <c r="X9" s="105"/>
      <c r="Y9" s="105"/>
      <c r="Z9" s="105"/>
      <c r="AA9" s="105"/>
      <c r="AB9" s="105"/>
      <c r="AC9" s="105"/>
    </row>
    <row r="10" spans="1:30" x14ac:dyDescent="0.25">
      <c r="D10" s="105"/>
      <c r="E10" s="105"/>
      <c r="F10" s="105"/>
      <c r="G10" s="105"/>
      <c r="H10" s="105"/>
      <c r="I10" s="105"/>
      <c r="J10" s="105"/>
      <c r="K10" s="105"/>
      <c r="L10" s="105"/>
      <c r="M10" s="105"/>
      <c r="N10" s="105"/>
      <c r="O10" s="105"/>
      <c r="P10" s="105"/>
      <c r="Q10" s="105"/>
      <c r="R10" s="105"/>
      <c r="S10" s="105"/>
      <c r="T10" s="105"/>
      <c r="U10" s="105"/>
      <c r="V10" s="105"/>
      <c r="W10" s="105"/>
      <c r="X10" s="105"/>
      <c r="Y10" s="105"/>
      <c r="Z10" s="105"/>
      <c r="AA10" s="105"/>
      <c r="AB10" s="105"/>
      <c r="AC10" s="105"/>
    </row>
    <row r="11" spans="1:30" x14ac:dyDescent="0.25">
      <c r="A11" s="63">
        <v>2</v>
      </c>
      <c r="B11" s="44" t="s">
        <v>152</v>
      </c>
    </row>
    <row r="13" spans="1:30" x14ac:dyDescent="0.25">
      <c r="B13" s="66" t="s">
        <v>153</v>
      </c>
      <c r="C13" s="68">
        <f>SUM(D16:S16)</f>
        <v>20000</v>
      </c>
      <c r="D13" t="s">
        <v>101</v>
      </c>
    </row>
    <row r="15" spans="1:30" x14ac:dyDescent="0.25">
      <c r="C15" s="8" t="s">
        <v>19</v>
      </c>
      <c r="D15" s="15">
        <v>0</v>
      </c>
      <c r="E15" s="15">
        <v>1</v>
      </c>
      <c r="F15" s="15">
        <v>2</v>
      </c>
      <c r="G15" s="15">
        <v>3</v>
      </c>
      <c r="H15" s="15">
        <v>4</v>
      </c>
      <c r="I15" s="15">
        <v>5</v>
      </c>
      <c r="J15" s="15">
        <v>6</v>
      </c>
      <c r="K15" s="15">
        <v>7</v>
      </c>
      <c r="L15" s="15">
        <v>8</v>
      </c>
      <c r="M15" s="15">
        <v>9</v>
      </c>
      <c r="N15" s="15">
        <v>10</v>
      </c>
      <c r="O15" s="15">
        <v>11</v>
      </c>
      <c r="P15" s="15">
        <v>12</v>
      </c>
      <c r="Q15" s="15">
        <v>13</v>
      </c>
      <c r="R15" s="15">
        <v>14</v>
      </c>
      <c r="S15" s="15">
        <v>15</v>
      </c>
      <c r="T15" s="15">
        <v>16</v>
      </c>
      <c r="U15" s="15">
        <v>17</v>
      </c>
      <c r="V15" s="15">
        <v>18</v>
      </c>
      <c r="W15" s="15">
        <v>19</v>
      </c>
      <c r="X15" s="15">
        <v>20</v>
      </c>
      <c r="Y15" s="15">
        <v>21</v>
      </c>
      <c r="Z15" s="15">
        <v>22</v>
      </c>
      <c r="AA15" s="15">
        <v>23</v>
      </c>
      <c r="AB15" s="15">
        <v>24</v>
      </c>
      <c r="AC15" s="15">
        <v>25</v>
      </c>
      <c r="AD15" s="95" t="s">
        <v>109</v>
      </c>
    </row>
    <row r="16" spans="1:30" x14ac:dyDescent="0.25">
      <c r="B16" s="66" t="s">
        <v>154</v>
      </c>
      <c r="C16" s="47"/>
      <c r="D16" s="94">
        <f>D8</f>
        <v>0</v>
      </c>
      <c r="E16" s="94">
        <f t="shared" ref="E16:AC16" si="0">E8</f>
        <v>3000</v>
      </c>
      <c r="F16" s="94">
        <f t="shared" si="0"/>
        <v>7000</v>
      </c>
      <c r="G16" s="94">
        <f t="shared" si="0"/>
        <v>7000</v>
      </c>
      <c r="H16" s="94">
        <f t="shared" si="0"/>
        <v>2000</v>
      </c>
      <c r="I16" s="94">
        <f t="shared" si="0"/>
        <v>1000</v>
      </c>
      <c r="J16" s="94">
        <f t="shared" si="0"/>
        <v>0</v>
      </c>
      <c r="K16" s="94">
        <f t="shared" si="0"/>
        <v>0</v>
      </c>
      <c r="L16" s="94">
        <f t="shared" si="0"/>
        <v>0</v>
      </c>
      <c r="M16" s="94">
        <f t="shared" si="0"/>
        <v>0</v>
      </c>
      <c r="N16" s="94">
        <f t="shared" si="0"/>
        <v>0</v>
      </c>
      <c r="O16" s="94">
        <f t="shared" si="0"/>
        <v>0</v>
      </c>
      <c r="P16" s="94">
        <f t="shared" si="0"/>
        <v>0</v>
      </c>
      <c r="Q16" s="94">
        <f t="shared" si="0"/>
        <v>0</v>
      </c>
      <c r="R16" s="94">
        <f t="shared" si="0"/>
        <v>0</v>
      </c>
      <c r="S16" s="94">
        <f t="shared" si="0"/>
        <v>0</v>
      </c>
      <c r="T16" s="94">
        <f t="shared" si="0"/>
        <v>0</v>
      </c>
      <c r="U16" s="94">
        <f t="shared" si="0"/>
        <v>0</v>
      </c>
      <c r="V16" s="94">
        <f t="shared" si="0"/>
        <v>0</v>
      </c>
      <c r="W16" s="94">
        <f t="shared" si="0"/>
        <v>0</v>
      </c>
      <c r="X16" s="94">
        <f t="shared" si="0"/>
        <v>0</v>
      </c>
      <c r="Y16" s="94">
        <f t="shared" si="0"/>
        <v>0</v>
      </c>
      <c r="Z16" s="94">
        <f t="shared" si="0"/>
        <v>0</v>
      </c>
      <c r="AA16" s="94">
        <f t="shared" si="0"/>
        <v>0</v>
      </c>
      <c r="AB16" s="94">
        <f t="shared" si="0"/>
        <v>0</v>
      </c>
      <c r="AC16" s="94">
        <f t="shared" si="0"/>
        <v>0</v>
      </c>
      <c r="AD16" s="53">
        <f>SUM(D16:AB16)</f>
        <v>20000</v>
      </c>
    </row>
    <row r="17" spans="1:30" x14ac:dyDescent="0.25">
      <c r="B17" s="66" t="s">
        <v>155</v>
      </c>
      <c r="C17" s="47"/>
      <c r="D17" s="94"/>
      <c r="E17" s="94"/>
      <c r="F17" s="94"/>
      <c r="G17" s="94"/>
      <c r="H17" s="94"/>
      <c r="I17" s="94"/>
      <c r="J17" s="94"/>
      <c r="K17" s="94"/>
      <c r="L17" s="94"/>
      <c r="M17" s="94"/>
      <c r="N17" s="94"/>
      <c r="O17" s="94"/>
      <c r="P17" s="94"/>
      <c r="Q17" s="94"/>
      <c r="R17" s="94"/>
      <c r="S17" s="94"/>
      <c r="T17" s="94"/>
      <c r="U17" s="94"/>
      <c r="V17" s="94"/>
      <c r="W17" s="94"/>
      <c r="X17" s="94"/>
      <c r="Y17" s="94">
        <f>E16</f>
        <v>3000</v>
      </c>
      <c r="Z17" s="94">
        <f t="shared" ref="Z17:AC17" si="1">F16</f>
        <v>7000</v>
      </c>
      <c r="AA17" s="94">
        <f t="shared" si="1"/>
        <v>7000</v>
      </c>
      <c r="AB17" s="94">
        <f t="shared" si="1"/>
        <v>2000</v>
      </c>
      <c r="AC17" s="94">
        <f t="shared" si="1"/>
        <v>1000</v>
      </c>
      <c r="AD17" s="53">
        <f>SUM(D17:AC17)</f>
        <v>20000</v>
      </c>
    </row>
    <row r="18" spans="1:30" ht="19.149999999999999" customHeight="1" x14ac:dyDescent="0.25">
      <c r="B18" s="66" t="s">
        <v>156</v>
      </c>
      <c r="C18" s="47"/>
      <c r="D18" s="63"/>
      <c r="E18" s="63">
        <f>E16</f>
        <v>3000</v>
      </c>
      <c r="F18" s="63">
        <f t="shared" ref="F18:AC18" si="2">F16+E18-F17</f>
        <v>10000</v>
      </c>
      <c r="G18" s="63">
        <f t="shared" si="2"/>
        <v>17000</v>
      </c>
      <c r="H18" s="63">
        <f t="shared" si="2"/>
        <v>19000</v>
      </c>
      <c r="I18" s="63">
        <f t="shared" si="2"/>
        <v>20000</v>
      </c>
      <c r="J18" s="63">
        <f t="shared" si="2"/>
        <v>20000</v>
      </c>
      <c r="K18" s="63">
        <f t="shared" si="2"/>
        <v>20000</v>
      </c>
      <c r="L18" s="63">
        <f t="shared" si="2"/>
        <v>20000</v>
      </c>
      <c r="M18" s="63">
        <f t="shared" si="2"/>
        <v>20000</v>
      </c>
      <c r="N18" s="63">
        <f t="shared" si="2"/>
        <v>20000</v>
      </c>
      <c r="O18" s="63">
        <f t="shared" si="2"/>
        <v>20000</v>
      </c>
      <c r="P18" s="63">
        <f t="shared" si="2"/>
        <v>20000</v>
      </c>
      <c r="Q18" s="63">
        <f t="shared" si="2"/>
        <v>20000</v>
      </c>
      <c r="R18" s="63">
        <f t="shared" si="2"/>
        <v>20000</v>
      </c>
      <c r="S18" s="63">
        <f t="shared" si="2"/>
        <v>20000</v>
      </c>
      <c r="T18" s="63">
        <f t="shared" si="2"/>
        <v>20000</v>
      </c>
      <c r="U18" s="63">
        <f t="shared" si="2"/>
        <v>20000</v>
      </c>
      <c r="V18" s="63">
        <f t="shared" si="2"/>
        <v>20000</v>
      </c>
      <c r="W18" s="63">
        <f t="shared" si="2"/>
        <v>20000</v>
      </c>
      <c r="X18" s="63">
        <f t="shared" si="2"/>
        <v>20000</v>
      </c>
      <c r="Y18" s="63">
        <f t="shared" si="2"/>
        <v>17000</v>
      </c>
      <c r="Z18" s="63">
        <f t="shared" si="2"/>
        <v>10000</v>
      </c>
      <c r="AA18" s="63">
        <f t="shared" si="2"/>
        <v>3000</v>
      </c>
      <c r="AB18" s="63">
        <f t="shared" si="2"/>
        <v>1000</v>
      </c>
      <c r="AC18" s="63">
        <f t="shared" si="2"/>
        <v>0</v>
      </c>
      <c r="AD18" s="53"/>
    </row>
    <row r="19" spans="1:30" ht="19.149999999999999" customHeight="1" x14ac:dyDescent="0.25">
      <c r="B19" s="61"/>
      <c r="AD19" s="83"/>
    </row>
    <row r="20" spans="1:30" ht="19.149999999999999" customHeight="1" x14ac:dyDescent="0.25">
      <c r="B20" s="96" t="s">
        <v>113</v>
      </c>
      <c r="AD20" s="83"/>
    </row>
    <row r="21" spans="1:30" ht="19.149999999999999" customHeight="1" x14ac:dyDescent="0.25">
      <c r="B21" t="s">
        <v>115</v>
      </c>
      <c r="AD21" s="83"/>
    </row>
    <row r="22" spans="1:30" ht="19.149999999999999" customHeight="1" x14ac:dyDescent="0.25">
      <c r="B22" s="486" t="s">
        <v>157</v>
      </c>
      <c r="C22" s="486"/>
      <c r="D22" s="486"/>
      <c r="E22" s="486"/>
      <c r="F22" s="486"/>
      <c r="G22" s="486"/>
      <c r="H22" s="486"/>
      <c r="AD22" s="83"/>
    </row>
    <row r="23" spans="1:30" ht="19.149999999999999" customHeight="1" x14ac:dyDescent="0.25">
      <c r="B23" s="486" t="s">
        <v>158</v>
      </c>
      <c r="C23" s="486"/>
      <c r="D23" s="486"/>
      <c r="E23" s="486"/>
      <c r="F23" s="486"/>
      <c r="G23" s="486"/>
      <c r="H23" s="486"/>
      <c r="I23" s="486"/>
      <c r="J23" s="486"/>
      <c r="AD23" s="83"/>
    </row>
    <row r="25" spans="1:30" x14ac:dyDescent="0.25">
      <c r="A25" s="63">
        <v>3</v>
      </c>
      <c r="B25" t="s">
        <v>121</v>
      </c>
      <c r="C25" s="98">
        <v>1</v>
      </c>
      <c r="D25" t="s">
        <v>78</v>
      </c>
    </row>
    <row r="26" spans="1:30" x14ac:dyDescent="0.25">
      <c r="B26" t="s">
        <v>79</v>
      </c>
      <c r="C26" s="98">
        <v>0</v>
      </c>
      <c r="D26" t="s">
        <v>78</v>
      </c>
    </row>
    <row r="27" spans="1:30" x14ac:dyDescent="0.25">
      <c r="B27" t="s">
        <v>122</v>
      </c>
      <c r="C27" s="68">
        <f>C25-C26</f>
        <v>1</v>
      </c>
    </row>
    <row r="28" spans="1:30" x14ac:dyDescent="0.25">
      <c r="C28" s="77"/>
    </row>
    <row r="29" spans="1:30" x14ac:dyDescent="0.25">
      <c r="B29" t="s">
        <v>159</v>
      </c>
      <c r="C29" s="98">
        <v>155</v>
      </c>
      <c r="D29" t="s">
        <v>9</v>
      </c>
      <c r="E29" t="s">
        <v>200</v>
      </c>
    </row>
    <row r="30" spans="1:30" x14ac:dyDescent="0.25">
      <c r="B30" t="s">
        <v>160</v>
      </c>
      <c r="C30" s="68">
        <f>D155</f>
        <v>300</v>
      </c>
      <c r="D30" t="s">
        <v>9</v>
      </c>
      <c r="E30" t="s">
        <v>189</v>
      </c>
    </row>
    <row r="31" spans="1:30" x14ac:dyDescent="0.25">
      <c r="C31" s="77"/>
    </row>
    <row r="32" spans="1:30" ht="17.45" customHeight="1" x14ac:dyDescent="0.25">
      <c r="C32" s="120" t="s">
        <v>18</v>
      </c>
      <c r="E32" s="62"/>
      <c r="F32" s="62"/>
      <c r="G32" s="62"/>
      <c r="H32" s="62"/>
      <c r="I32" s="62"/>
      <c r="J32" s="62"/>
      <c r="K32" s="62"/>
      <c r="L32" s="62"/>
    </row>
    <row r="33" spans="2:30" ht="17.45" customHeight="1" x14ac:dyDescent="0.25">
      <c r="B33" s="6" t="s">
        <v>92</v>
      </c>
      <c r="C33" s="102">
        <v>0</v>
      </c>
      <c r="E33" s="92"/>
      <c r="F33" s="92"/>
      <c r="G33" s="92"/>
      <c r="H33" s="92"/>
      <c r="I33" s="92"/>
      <c r="J33" s="92"/>
      <c r="K33" s="92"/>
      <c r="L33" s="92"/>
    </row>
    <row r="35" spans="2:30" x14ac:dyDescent="0.25">
      <c r="C35" s="71"/>
    </row>
    <row r="36" spans="2:30" x14ac:dyDescent="0.25">
      <c r="C36" s="71"/>
    </row>
    <row r="37" spans="2:30" x14ac:dyDescent="0.25">
      <c r="C37" s="71"/>
    </row>
    <row r="38" spans="2:30" x14ac:dyDescent="0.25">
      <c r="B38" s="99" t="s">
        <v>91</v>
      </c>
      <c r="C38" s="8" t="s">
        <v>19</v>
      </c>
      <c r="D38" s="15">
        <v>0</v>
      </c>
      <c r="E38" s="15">
        <v>1</v>
      </c>
      <c r="F38" s="15">
        <v>2</v>
      </c>
      <c r="G38" s="15">
        <v>3</v>
      </c>
      <c r="H38" s="15">
        <v>4</v>
      </c>
      <c r="I38" s="15">
        <v>5</v>
      </c>
      <c r="J38" s="15">
        <v>6</v>
      </c>
      <c r="K38" s="15">
        <v>7</v>
      </c>
      <c r="L38" s="15">
        <v>8</v>
      </c>
      <c r="M38" s="15">
        <v>9</v>
      </c>
      <c r="N38" s="15">
        <v>10</v>
      </c>
      <c r="O38" s="15">
        <v>11</v>
      </c>
      <c r="P38" s="15">
        <v>12</v>
      </c>
      <c r="Q38" s="15">
        <v>13</v>
      </c>
      <c r="R38" s="15">
        <v>14</v>
      </c>
      <c r="S38" s="15">
        <v>15</v>
      </c>
      <c r="T38" s="15">
        <v>16</v>
      </c>
      <c r="U38" s="15">
        <v>17</v>
      </c>
      <c r="V38" s="15">
        <v>18</v>
      </c>
      <c r="W38" s="15">
        <v>19</v>
      </c>
      <c r="X38" s="15">
        <v>20</v>
      </c>
      <c r="Y38" s="15">
        <v>21</v>
      </c>
      <c r="Z38" s="15">
        <v>22</v>
      </c>
      <c r="AA38" s="15">
        <v>23</v>
      </c>
      <c r="AB38" s="15">
        <v>24</v>
      </c>
      <c r="AC38" s="15">
        <v>25</v>
      </c>
      <c r="AD38" s="91" t="s">
        <v>109</v>
      </c>
    </row>
    <row r="39" spans="2:30" x14ac:dyDescent="0.25">
      <c r="B39" s="47" t="s">
        <v>83</v>
      </c>
      <c r="C39" s="47"/>
      <c r="D39" s="75"/>
      <c r="E39" s="75">
        <f>D44</f>
        <v>0</v>
      </c>
      <c r="F39" s="75">
        <f t="shared" ref="F39:AC39" si="3">E44</f>
        <v>0</v>
      </c>
      <c r="G39" s="75">
        <f t="shared" si="3"/>
        <v>0</v>
      </c>
      <c r="H39" s="75">
        <f t="shared" si="3"/>
        <v>0</v>
      </c>
      <c r="I39" s="75">
        <f t="shared" si="3"/>
        <v>0</v>
      </c>
      <c r="J39" s="103">
        <f t="shared" si="3"/>
        <v>0</v>
      </c>
      <c r="K39" s="75">
        <f t="shared" si="3"/>
        <v>0</v>
      </c>
      <c r="L39" s="75">
        <f t="shared" si="3"/>
        <v>0</v>
      </c>
      <c r="M39" s="75">
        <f t="shared" si="3"/>
        <v>0</v>
      </c>
      <c r="N39" s="75">
        <f t="shared" si="3"/>
        <v>0</v>
      </c>
      <c r="O39" s="75">
        <f t="shared" si="3"/>
        <v>0</v>
      </c>
      <c r="P39" s="75">
        <f t="shared" si="3"/>
        <v>0</v>
      </c>
      <c r="Q39" s="75">
        <f t="shared" si="3"/>
        <v>0</v>
      </c>
      <c r="R39" s="75">
        <f t="shared" si="3"/>
        <v>0</v>
      </c>
      <c r="S39" s="75">
        <f t="shared" si="3"/>
        <v>0</v>
      </c>
      <c r="T39" s="75">
        <f t="shared" si="3"/>
        <v>0</v>
      </c>
      <c r="U39" s="75">
        <f t="shared" si="3"/>
        <v>0</v>
      </c>
      <c r="V39" s="75">
        <f t="shared" si="3"/>
        <v>0</v>
      </c>
      <c r="W39" s="75">
        <f t="shared" si="3"/>
        <v>0</v>
      </c>
      <c r="X39" s="75">
        <f t="shared" si="3"/>
        <v>0</v>
      </c>
      <c r="Y39" s="75">
        <f t="shared" si="3"/>
        <v>0</v>
      </c>
      <c r="Z39" s="75">
        <f t="shared" si="3"/>
        <v>0</v>
      </c>
      <c r="AA39" s="75">
        <f t="shared" si="3"/>
        <v>0</v>
      </c>
      <c r="AB39" s="75">
        <f t="shared" si="3"/>
        <v>0</v>
      </c>
      <c r="AC39" s="75">
        <f t="shared" si="3"/>
        <v>0</v>
      </c>
      <c r="AD39" s="160"/>
    </row>
    <row r="40" spans="2:30" x14ac:dyDescent="0.25">
      <c r="B40" s="67" t="s">
        <v>84</v>
      </c>
      <c r="C40" s="47"/>
      <c r="D40" s="74">
        <f t="shared" ref="D40:AA40" si="4">($C29+$C30)*D16</f>
        <v>0</v>
      </c>
      <c r="E40" s="74">
        <f t="shared" si="4"/>
        <v>1365000</v>
      </c>
      <c r="F40" s="74">
        <f t="shared" si="4"/>
        <v>3185000</v>
      </c>
      <c r="G40" s="74">
        <f t="shared" si="4"/>
        <v>3185000</v>
      </c>
      <c r="H40" s="74">
        <f t="shared" si="4"/>
        <v>910000</v>
      </c>
      <c r="I40" s="74">
        <f t="shared" si="4"/>
        <v>455000</v>
      </c>
      <c r="J40" s="74">
        <f t="shared" si="4"/>
        <v>0</v>
      </c>
      <c r="K40" s="74">
        <f t="shared" si="4"/>
        <v>0</v>
      </c>
      <c r="L40" s="74">
        <f t="shared" si="4"/>
        <v>0</v>
      </c>
      <c r="M40" s="74">
        <f t="shared" si="4"/>
        <v>0</v>
      </c>
      <c r="N40" s="74">
        <f t="shared" si="4"/>
        <v>0</v>
      </c>
      <c r="O40" s="74">
        <f t="shared" si="4"/>
        <v>0</v>
      </c>
      <c r="P40" s="74">
        <f t="shared" si="4"/>
        <v>0</v>
      </c>
      <c r="Q40" s="74">
        <f t="shared" si="4"/>
        <v>0</v>
      </c>
      <c r="R40" s="74">
        <f t="shared" si="4"/>
        <v>0</v>
      </c>
      <c r="S40" s="74">
        <f t="shared" si="4"/>
        <v>0</v>
      </c>
      <c r="T40" s="74">
        <f t="shared" si="4"/>
        <v>0</v>
      </c>
      <c r="U40" s="74">
        <f t="shared" si="4"/>
        <v>0</v>
      </c>
      <c r="V40" s="74">
        <f t="shared" si="4"/>
        <v>0</v>
      </c>
      <c r="W40" s="74">
        <f t="shared" si="4"/>
        <v>0</v>
      </c>
      <c r="X40" s="74">
        <f t="shared" si="4"/>
        <v>0</v>
      </c>
      <c r="Y40" s="74">
        <f t="shared" si="4"/>
        <v>0</v>
      </c>
      <c r="Z40" s="74">
        <f t="shared" si="4"/>
        <v>0</v>
      </c>
      <c r="AA40" s="74">
        <f t="shared" si="4"/>
        <v>0</v>
      </c>
      <c r="AB40" s="75">
        <f t="shared" ref="AB40:AB41" si="5">AA45</f>
        <v>0</v>
      </c>
      <c r="AC40" s="75">
        <f t="shared" ref="AC40:AC41" si="6">AB45</f>
        <v>0</v>
      </c>
      <c r="AD40" s="160">
        <f>SUM(D40:AC40)</f>
        <v>9100000</v>
      </c>
    </row>
    <row r="41" spans="2:30" x14ac:dyDescent="0.25">
      <c r="B41" s="47" t="s">
        <v>85</v>
      </c>
      <c r="C41" s="47"/>
      <c r="D41" s="75">
        <f>D39*$D159</f>
        <v>0</v>
      </c>
      <c r="E41" s="75">
        <f t="shared" ref="E41:AA41" si="7">(E39+E40)*$D159</f>
        <v>327600</v>
      </c>
      <c r="F41" s="75">
        <f t="shared" si="7"/>
        <v>764400</v>
      </c>
      <c r="G41" s="75">
        <f t="shared" si="7"/>
        <v>764400</v>
      </c>
      <c r="H41" s="75">
        <f t="shared" si="7"/>
        <v>218400</v>
      </c>
      <c r="I41" s="75">
        <f t="shared" si="7"/>
        <v>109200</v>
      </c>
      <c r="J41" s="75">
        <f t="shared" si="7"/>
        <v>0</v>
      </c>
      <c r="K41" s="75">
        <f t="shared" si="7"/>
        <v>0</v>
      </c>
      <c r="L41" s="75">
        <f t="shared" si="7"/>
        <v>0</v>
      </c>
      <c r="M41" s="75">
        <f t="shared" si="7"/>
        <v>0</v>
      </c>
      <c r="N41" s="75">
        <f t="shared" si="7"/>
        <v>0</v>
      </c>
      <c r="O41" s="75">
        <f t="shared" si="7"/>
        <v>0</v>
      </c>
      <c r="P41" s="75">
        <f t="shared" si="7"/>
        <v>0</v>
      </c>
      <c r="Q41" s="75">
        <f t="shared" si="7"/>
        <v>0</v>
      </c>
      <c r="R41" s="75">
        <f t="shared" si="7"/>
        <v>0</v>
      </c>
      <c r="S41" s="75">
        <f t="shared" si="7"/>
        <v>0</v>
      </c>
      <c r="T41" s="75">
        <f t="shared" si="7"/>
        <v>0</v>
      </c>
      <c r="U41" s="75">
        <f t="shared" si="7"/>
        <v>0</v>
      </c>
      <c r="V41" s="75">
        <f t="shared" si="7"/>
        <v>0</v>
      </c>
      <c r="W41" s="75">
        <f t="shared" si="7"/>
        <v>0</v>
      </c>
      <c r="X41" s="75">
        <f t="shared" si="7"/>
        <v>0</v>
      </c>
      <c r="Y41" s="75">
        <f t="shared" si="7"/>
        <v>0</v>
      </c>
      <c r="Z41" s="75">
        <f t="shared" si="7"/>
        <v>0</v>
      </c>
      <c r="AA41" s="75">
        <f t="shared" si="7"/>
        <v>0</v>
      </c>
      <c r="AB41" s="75">
        <f t="shared" si="5"/>
        <v>0</v>
      </c>
      <c r="AC41" s="75">
        <f t="shared" si="6"/>
        <v>0</v>
      </c>
      <c r="AD41" s="160">
        <f>SUM(D41:AC41)</f>
        <v>2184000</v>
      </c>
    </row>
    <row r="42" spans="2:30" x14ac:dyDescent="0.25">
      <c r="B42" s="47" t="s">
        <v>87</v>
      </c>
      <c r="C42" s="47"/>
      <c r="D42" s="75">
        <v>0</v>
      </c>
      <c r="E42" s="75">
        <f>E40*$C27</f>
        <v>1365000</v>
      </c>
      <c r="F42" s="75">
        <f t="shared" ref="F42:AC42" si="8">F40*$C27</f>
        <v>3185000</v>
      </c>
      <c r="G42" s="75">
        <f t="shared" si="8"/>
        <v>3185000</v>
      </c>
      <c r="H42" s="75">
        <f t="shared" si="8"/>
        <v>910000</v>
      </c>
      <c r="I42" s="75">
        <f t="shared" si="8"/>
        <v>455000</v>
      </c>
      <c r="J42" s="75">
        <f t="shared" si="8"/>
        <v>0</v>
      </c>
      <c r="K42" s="75">
        <f t="shared" si="8"/>
        <v>0</v>
      </c>
      <c r="L42" s="75">
        <f t="shared" si="8"/>
        <v>0</v>
      </c>
      <c r="M42" s="75">
        <f t="shared" si="8"/>
        <v>0</v>
      </c>
      <c r="N42" s="75">
        <f t="shared" si="8"/>
        <v>0</v>
      </c>
      <c r="O42" s="75">
        <f t="shared" si="8"/>
        <v>0</v>
      </c>
      <c r="P42" s="75">
        <f t="shared" si="8"/>
        <v>0</v>
      </c>
      <c r="Q42" s="75">
        <f t="shared" si="8"/>
        <v>0</v>
      </c>
      <c r="R42" s="75">
        <f t="shared" si="8"/>
        <v>0</v>
      </c>
      <c r="S42" s="75">
        <f t="shared" si="8"/>
        <v>0</v>
      </c>
      <c r="T42" s="75">
        <f t="shared" si="8"/>
        <v>0</v>
      </c>
      <c r="U42" s="75">
        <f t="shared" si="8"/>
        <v>0</v>
      </c>
      <c r="V42" s="75">
        <f t="shared" si="8"/>
        <v>0</v>
      </c>
      <c r="W42" s="75">
        <f t="shared" si="8"/>
        <v>0</v>
      </c>
      <c r="X42" s="75">
        <f t="shared" si="8"/>
        <v>0</v>
      </c>
      <c r="Y42" s="75">
        <f t="shared" si="8"/>
        <v>0</v>
      </c>
      <c r="Z42" s="75">
        <f t="shared" si="8"/>
        <v>0</v>
      </c>
      <c r="AA42" s="75">
        <f t="shared" si="8"/>
        <v>0</v>
      </c>
      <c r="AB42" s="75">
        <f t="shared" si="8"/>
        <v>0</v>
      </c>
      <c r="AC42" s="75">
        <f t="shared" si="8"/>
        <v>0</v>
      </c>
      <c r="AD42" s="160">
        <f>SUM(D42:AC42)</f>
        <v>9100000</v>
      </c>
    </row>
    <row r="43" spans="2:30" x14ac:dyDescent="0.25">
      <c r="B43" s="47" t="s">
        <v>120</v>
      </c>
      <c r="C43" s="47"/>
      <c r="D43" s="75">
        <f>D41+D42</f>
        <v>0</v>
      </c>
      <c r="E43" s="75">
        <f>E41+E42</f>
        <v>1692600</v>
      </c>
      <c r="F43" s="75">
        <f t="shared" ref="F43:AC43" si="9">F41+F42</f>
        <v>3949400</v>
      </c>
      <c r="G43" s="75">
        <f t="shared" si="9"/>
        <v>3949400</v>
      </c>
      <c r="H43" s="75">
        <f t="shared" si="9"/>
        <v>1128400</v>
      </c>
      <c r="I43" s="75">
        <f t="shared" si="9"/>
        <v>564200</v>
      </c>
      <c r="J43" s="103">
        <f t="shared" si="9"/>
        <v>0</v>
      </c>
      <c r="K43" s="75">
        <f t="shared" si="9"/>
        <v>0</v>
      </c>
      <c r="L43" s="75">
        <f t="shared" si="9"/>
        <v>0</v>
      </c>
      <c r="M43" s="75">
        <f t="shared" si="9"/>
        <v>0</v>
      </c>
      <c r="N43" s="75">
        <f t="shared" si="9"/>
        <v>0</v>
      </c>
      <c r="O43" s="75">
        <f t="shared" si="9"/>
        <v>0</v>
      </c>
      <c r="P43" s="75">
        <f t="shared" si="9"/>
        <v>0</v>
      </c>
      <c r="Q43" s="75">
        <f t="shared" si="9"/>
        <v>0</v>
      </c>
      <c r="R43" s="75">
        <f t="shared" si="9"/>
        <v>0</v>
      </c>
      <c r="S43" s="75">
        <f t="shared" si="9"/>
        <v>0</v>
      </c>
      <c r="T43" s="75">
        <f t="shared" si="9"/>
        <v>0</v>
      </c>
      <c r="U43" s="75">
        <f t="shared" si="9"/>
        <v>0</v>
      </c>
      <c r="V43" s="75">
        <f t="shared" si="9"/>
        <v>0</v>
      </c>
      <c r="W43" s="75">
        <f t="shared" si="9"/>
        <v>0</v>
      </c>
      <c r="X43" s="75">
        <f t="shared" si="9"/>
        <v>0</v>
      </c>
      <c r="Y43" s="75">
        <f t="shared" si="9"/>
        <v>0</v>
      </c>
      <c r="Z43" s="75">
        <f t="shared" si="9"/>
        <v>0</v>
      </c>
      <c r="AA43" s="75">
        <f t="shared" si="9"/>
        <v>0</v>
      </c>
      <c r="AB43" s="75">
        <f t="shared" si="9"/>
        <v>0</v>
      </c>
      <c r="AC43" s="75">
        <f t="shared" si="9"/>
        <v>0</v>
      </c>
      <c r="AD43" s="160">
        <f>SUM(D43:AC43)</f>
        <v>11284000</v>
      </c>
    </row>
    <row r="44" spans="2:30" x14ac:dyDescent="0.25">
      <c r="B44" s="47" t="s">
        <v>86</v>
      </c>
      <c r="C44" s="47"/>
      <c r="D44" s="75">
        <f>D39+D40-D43</f>
        <v>0</v>
      </c>
      <c r="E44" s="75">
        <f>E39+E40-E43+E41</f>
        <v>0</v>
      </c>
      <c r="F44" s="75">
        <f t="shared" ref="F44:AC44" si="10">F39+F40-F43+F41</f>
        <v>0</v>
      </c>
      <c r="G44" s="75">
        <f t="shared" si="10"/>
        <v>0</v>
      </c>
      <c r="H44" s="75">
        <f t="shared" si="10"/>
        <v>0</v>
      </c>
      <c r="I44" s="75">
        <f t="shared" si="10"/>
        <v>0</v>
      </c>
      <c r="J44" s="103">
        <f t="shared" si="10"/>
        <v>0</v>
      </c>
      <c r="K44" s="75">
        <f t="shared" si="10"/>
        <v>0</v>
      </c>
      <c r="L44" s="75">
        <f t="shared" si="10"/>
        <v>0</v>
      </c>
      <c r="M44" s="75">
        <f t="shared" si="10"/>
        <v>0</v>
      </c>
      <c r="N44" s="75">
        <f t="shared" si="10"/>
        <v>0</v>
      </c>
      <c r="O44" s="75">
        <f t="shared" si="10"/>
        <v>0</v>
      </c>
      <c r="P44" s="75">
        <f t="shared" si="10"/>
        <v>0</v>
      </c>
      <c r="Q44" s="75">
        <f t="shared" si="10"/>
        <v>0</v>
      </c>
      <c r="R44" s="75">
        <f t="shared" si="10"/>
        <v>0</v>
      </c>
      <c r="S44" s="75">
        <f t="shared" si="10"/>
        <v>0</v>
      </c>
      <c r="T44" s="75">
        <f t="shared" si="10"/>
        <v>0</v>
      </c>
      <c r="U44" s="75">
        <f t="shared" si="10"/>
        <v>0</v>
      </c>
      <c r="V44" s="75">
        <f t="shared" si="10"/>
        <v>0</v>
      </c>
      <c r="W44" s="75">
        <f t="shared" si="10"/>
        <v>0</v>
      </c>
      <c r="X44" s="75">
        <f t="shared" si="10"/>
        <v>0</v>
      </c>
      <c r="Y44" s="75">
        <f t="shared" si="10"/>
        <v>0</v>
      </c>
      <c r="Z44" s="75">
        <f t="shared" si="10"/>
        <v>0</v>
      </c>
      <c r="AA44" s="75">
        <f t="shared" si="10"/>
        <v>0</v>
      </c>
      <c r="AB44" s="75">
        <f t="shared" si="10"/>
        <v>0</v>
      </c>
      <c r="AC44" s="75">
        <f t="shared" si="10"/>
        <v>0</v>
      </c>
      <c r="AD44" s="160"/>
    </row>
    <row r="45" spans="2:30" x14ac:dyDescent="0.25">
      <c r="C45" s="71"/>
    </row>
    <row r="46" spans="2:30" x14ac:dyDescent="0.25">
      <c r="B46" s="44"/>
      <c r="C46" s="71"/>
    </row>
    <row r="47" spans="2:30" x14ac:dyDescent="0.25">
      <c r="B47" s="44"/>
      <c r="C47" s="71"/>
    </row>
    <row r="48" spans="2:30" x14ac:dyDescent="0.25">
      <c r="B48" s="99" t="s">
        <v>90</v>
      </c>
      <c r="C48" s="8" t="s">
        <v>19</v>
      </c>
      <c r="D48" s="15">
        <v>0</v>
      </c>
      <c r="E48" s="15">
        <v>1</v>
      </c>
      <c r="F48" s="15">
        <v>2</v>
      </c>
      <c r="G48" s="15">
        <v>3</v>
      </c>
      <c r="H48" s="15">
        <v>4</v>
      </c>
      <c r="I48" s="15">
        <v>5</v>
      </c>
      <c r="J48" s="15">
        <v>6</v>
      </c>
      <c r="K48" s="15">
        <v>7</v>
      </c>
      <c r="L48" s="15">
        <v>8</v>
      </c>
      <c r="M48" s="15">
        <v>9</v>
      </c>
      <c r="N48" s="15">
        <v>10</v>
      </c>
      <c r="O48" s="15">
        <v>11</v>
      </c>
      <c r="P48" s="15">
        <v>12</v>
      </c>
      <c r="Q48" s="15">
        <v>13</v>
      </c>
      <c r="R48" s="15">
        <v>14</v>
      </c>
      <c r="S48" s="15">
        <v>15</v>
      </c>
      <c r="T48" s="15">
        <v>16</v>
      </c>
      <c r="U48" s="15">
        <v>17</v>
      </c>
      <c r="V48" s="15">
        <v>18</v>
      </c>
      <c r="W48" s="15">
        <v>19</v>
      </c>
      <c r="X48" s="15">
        <v>20</v>
      </c>
      <c r="Y48" s="15">
        <v>21</v>
      </c>
      <c r="Z48" s="15">
        <v>22</v>
      </c>
      <c r="AA48" s="15">
        <v>23</v>
      </c>
      <c r="AB48" s="15">
        <v>24</v>
      </c>
      <c r="AC48" s="15">
        <v>25</v>
      </c>
      <c r="AD48" s="91" t="s">
        <v>109</v>
      </c>
    </row>
    <row r="49" spans="2:30" x14ac:dyDescent="0.25">
      <c r="B49" s="47" t="s">
        <v>83</v>
      </c>
      <c r="C49" s="47"/>
      <c r="D49" s="75"/>
      <c r="E49" s="75">
        <f>D54</f>
        <v>0</v>
      </c>
      <c r="F49" s="75">
        <f t="shared" ref="F49:AC49" si="11">E54</f>
        <v>0</v>
      </c>
      <c r="G49" s="75">
        <f t="shared" si="11"/>
        <v>0</v>
      </c>
      <c r="H49" s="75">
        <f t="shared" si="11"/>
        <v>0</v>
      </c>
      <c r="I49" s="75">
        <f t="shared" si="11"/>
        <v>0</v>
      </c>
      <c r="J49" s="103">
        <f t="shared" si="11"/>
        <v>0</v>
      </c>
      <c r="K49" s="75">
        <f t="shared" si="11"/>
        <v>0</v>
      </c>
      <c r="L49" s="75">
        <f t="shared" si="11"/>
        <v>0</v>
      </c>
      <c r="M49" s="75">
        <f t="shared" si="11"/>
        <v>0</v>
      </c>
      <c r="N49" s="75">
        <f t="shared" si="11"/>
        <v>0</v>
      </c>
      <c r="O49" s="75">
        <f t="shared" si="11"/>
        <v>0</v>
      </c>
      <c r="P49" s="75">
        <f t="shared" si="11"/>
        <v>0</v>
      </c>
      <c r="Q49" s="75">
        <f t="shared" si="11"/>
        <v>0</v>
      </c>
      <c r="R49" s="75">
        <f t="shared" si="11"/>
        <v>0</v>
      </c>
      <c r="S49" s="75">
        <f t="shared" si="11"/>
        <v>0</v>
      </c>
      <c r="T49" s="75">
        <f t="shared" si="11"/>
        <v>0</v>
      </c>
      <c r="U49" s="75">
        <f t="shared" si="11"/>
        <v>0</v>
      </c>
      <c r="V49" s="75">
        <f t="shared" si="11"/>
        <v>0</v>
      </c>
      <c r="W49" s="75">
        <f t="shared" si="11"/>
        <v>0</v>
      </c>
      <c r="X49" s="75">
        <f t="shared" si="11"/>
        <v>0</v>
      </c>
      <c r="Y49" s="75">
        <f t="shared" si="11"/>
        <v>0</v>
      </c>
      <c r="Z49" s="75">
        <f t="shared" si="11"/>
        <v>0</v>
      </c>
      <c r="AA49" s="75">
        <f t="shared" si="11"/>
        <v>0</v>
      </c>
      <c r="AB49" s="75">
        <f t="shared" si="11"/>
        <v>0</v>
      </c>
      <c r="AC49" s="75">
        <f t="shared" si="11"/>
        <v>0</v>
      </c>
      <c r="AD49" s="160"/>
    </row>
    <row r="50" spans="2:30" x14ac:dyDescent="0.25">
      <c r="B50" s="67" t="s">
        <v>84</v>
      </c>
      <c r="C50" s="47"/>
      <c r="D50" s="74">
        <f t="shared" ref="D50:AC50" si="12">$C29*D16</f>
        <v>0</v>
      </c>
      <c r="E50" s="74">
        <f t="shared" si="12"/>
        <v>465000</v>
      </c>
      <c r="F50" s="74">
        <f t="shared" si="12"/>
        <v>1085000</v>
      </c>
      <c r="G50" s="74">
        <f t="shared" si="12"/>
        <v>1085000</v>
      </c>
      <c r="H50" s="74">
        <f t="shared" si="12"/>
        <v>310000</v>
      </c>
      <c r="I50" s="74">
        <f t="shared" si="12"/>
        <v>155000</v>
      </c>
      <c r="J50" s="74">
        <f t="shared" si="12"/>
        <v>0</v>
      </c>
      <c r="K50" s="74">
        <f t="shared" si="12"/>
        <v>0</v>
      </c>
      <c r="L50" s="74">
        <f t="shared" si="12"/>
        <v>0</v>
      </c>
      <c r="M50" s="74">
        <f t="shared" si="12"/>
        <v>0</v>
      </c>
      <c r="N50" s="74">
        <f t="shared" si="12"/>
        <v>0</v>
      </c>
      <c r="O50" s="74">
        <f t="shared" si="12"/>
        <v>0</v>
      </c>
      <c r="P50" s="74">
        <f t="shared" si="12"/>
        <v>0</v>
      </c>
      <c r="Q50" s="74">
        <f t="shared" si="12"/>
        <v>0</v>
      </c>
      <c r="R50" s="74">
        <f t="shared" si="12"/>
        <v>0</v>
      </c>
      <c r="S50" s="74">
        <f t="shared" si="12"/>
        <v>0</v>
      </c>
      <c r="T50" s="74">
        <f t="shared" si="12"/>
        <v>0</v>
      </c>
      <c r="U50" s="74">
        <f t="shared" si="12"/>
        <v>0</v>
      </c>
      <c r="V50" s="74">
        <f t="shared" si="12"/>
        <v>0</v>
      </c>
      <c r="W50" s="74">
        <f t="shared" si="12"/>
        <v>0</v>
      </c>
      <c r="X50" s="74">
        <f t="shared" si="12"/>
        <v>0</v>
      </c>
      <c r="Y50" s="74">
        <f t="shared" si="12"/>
        <v>0</v>
      </c>
      <c r="Z50" s="74">
        <f t="shared" si="12"/>
        <v>0</v>
      </c>
      <c r="AA50" s="74">
        <f t="shared" si="12"/>
        <v>0</v>
      </c>
      <c r="AB50" s="74">
        <f t="shared" si="12"/>
        <v>0</v>
      </c>
      <c r="AC50" s="74">
        <f t="shared" si="12"/>
        <v>0</v>
      </c>
      <c r="AD50" s="160">
        <f>SUM(D50:AC50)</f>
        <v>3100000</v>
      </c>
    </row>
    <row r="51" spans="2:30" x14ac:dyDescent="0.25">
      <c r="B51" s="47" t="s">
        <v>85</v>
      </c>
      <c r="C51" s="47"/>
      <c r="D51" s="75">
        <v>0</v>
      </c>
      <c r="E51" s="75">
        <f t="shared" ref="E51:AC51" si="13">(E49+E50)*$D159</f>
        <v>111600</v>
      </c>
      <c r="F51" s="75">
        <f t="shared" si="13"/>
        <v>260400</v>
      </c>
      <c r="G51" s="75">
        <f t="shared" si="13"/>
        <v>260400</v>
      </c>
      <c r="H51" s="75">
        <f t="shared" si="13"/>
        <v>74400</v>
      </c>
      <c r="I51" s="75">
        <f t="shared" si="13"/>
        <v>37200</v>
      </c>
      <c r="J51" s="75">
        <f t="shared" si="13"/>
        <v>0</v>
      </c>
      <c r="K51" s="75">
        <f t="shared" si="13"/>
        <v>0</v>
      </c>
      <c r="L51" s="75">
        <f t="shared" si="13"/>
        <v>0</v>
      </c>
      <c r="M51" s="75">
        <f t="shared" si="13"/>
        <v>0</v>
      </c>
      <c r="N51" s="75">
        <f t="shared" si="13"/>
        <v>0</v>
      </c>
      <c r="O51" s="75">
        <f t="shared" si="13"/>
        <v>0</v>
      </c>
      <c r="P51" s="75">
        <f t="shared" si="13"/>
        <v>0</v>
      </c>
      <c r="Q51" s="75">
        <f t="shared" si="13"/>
        <v>0</v>
      </c>
      <c r="R51" s="75">
        <f t="shared" si="13"/>
        <v>0</v>
      </c>
      <c r="S51" s="75">
        <f t="shared" si="13"/>
        <v>0</v>
      </c>
      <c r="T51" s="75">
        <f t="shared" si="13"/>
        <v>0</v>
      </c>
      <c r="U51" s="75">
        <f t="shared" si="13"/>
        <v>0</v>
      </c>
      <c r="V51" s="75">
        <f t="shared" si="13"/>
        <v>0</v>
      </c>
      <c r="W51" s="75">
        <f t="shared" si="13"/>
        <v>0</v>
      </c>
      <c r="X51" s="75">
        <f t="shared" si="13"/>
        <v>0</v>
      </c>
      <c r="Y51" s="75">
        <f t="shared" si="13"/>
        <v>0</v>
      </c>
      <c r="Z51" s="75">
        <f t="shared" si="13"/>
        <v>0</v>
      </c>
      <c r="AA51" s="75">
        <f t="shared" si="13"/>
        <v>0</v>
      </c>
      <c r="AB51" s="75">
        <f t="shared" si="13"/>
        <v>0</v>
      </c>
      <c r="AC51" s="75">
        <f t="shared" si="13"/>
        <v>0</v>
      </c>
      <c r="AD51" s="160">
        <f>SUM(D51:AC51)</f>
        <v>744000</v>
      </c>
    </row>
    <row r="52" spans="2:30" x14ac:dyDescent="0.25">
      <c r="B52" s="47" t="s">
        <v>87</v>
      </c>
      <c r="C52" s="47"/>
      <c r="D52" s="75">
        <v>0</v>
      </c>
      <c r="E52" s="75">
        <f>E50*$C27</f>
        <v>465000</v>
      </c>
      <c r="F52" s="75">
        <f t="shared" ref="F52:AC52" si="14">F50*$C27</f>
        <v>1085000</v>
      </c>
      <c r="G52" s="75">
        <f t="shared" si="14"/>
        <v>1085000</v>
      </c>
      <c r="H52" s="75">
        <f t="shared" si="14"/>
        <v>310000</v>
      </c>
      <c r="I52" s="75">
        <f t="shared" si="14"/>
        <v>155000</v>
      </c>
      <c r="J52" s="75">
        <f t="shared" si="14"/>
        <v>0</v>
      </c>
      <c r="K52" s="75">
        <f t="shared" si="14"/>
        <v>0</v>
      </c>
      <c r="L52" s="75">
        <f t="shared" si="14"/>
        <v>0</v>
      </c>
      <c r="M52" s="75">
        <f t="shared" si="14"/>
        <v>0</v>
      </c>
      <c r="N52" s="75">
        <f t="shared" si="14"/>
        <v>0</v>
      </c>
      <c r="O52" s="75">
        <f t="shared" si="14"/>
        <v>0</v>
      </c>
      <c r="P52" s="75">
        <f t="shared" si="14"/>
        <v>0</v>
      </c>
      <c r="Q52" s="75">
        <f t="shared" si="14"/>
        <v>0</v>
      </c>
      <c r="R52" s="75">
        <f t="shared" si="14"/>
        <v>0</v>
      </c>
      <c r="S52" s="75">
        <f t="shared" si="14"/>
        <v>0</v>
      </c>
      <c r="T52" s="75">
        <f t="shared" si="14"/>
        <v>0</v>
      </c>
      <c r="U52" s="75">
        <f t="shared" si="14"/>
        <v>0</v>
      </c>
      <c r="V52" s="75">
        <f t="shared" si="14"/>
        <v>0</v>
      </c>
      <c r="W52" s="75">
        <f t="shared" si="14"/>
        <v>0</v>
      </c>
      <c r="X52" s="75">
        <f t="shared" si="14"/>
        <v>0</v>
      </c>
      <c r="Y52" s="75">
        <f t="shared" si="14"/>
        <v>0</v>
      </c>
      <c r="Z52" s="75">
        <f t="shared" si="14"/>
        <v>0</v>
      </c>
      <c r="AA52" s="75">
        <f t="shared" si="14"/>
        <v>0</v>
      </c>
      <c r="AB52" s="75">
        <f t="shared" si="14"/>
        <v>0</v>
      </c>
      <c r="AC52" s="75">
        <f t="shared" si="14"/>
        <v>0</v>
      </c>
      <c r="AD52" s="160">
        <f>SUM(D52:AC52)</f>
        <v>3100000</v>
      </c>
    </row>
    <row r="53" spans="2:30" x14ac:dyDescent="0.25">
      <c r="B53" s="47" t="s">
        <v>120</v>
      </c>
      <c r="C53" s="47"/>
      <c r="D53" s="75">
        <f>D51+D52</f>
        <v>0</v>
      </c>
      <c r="E53" s="75">
        <f t="shared" ref="E53:AC53" si="15">E51+E52</f>
        <v>576600</v>
      </c>
      <c r="F53" s="75">
        <f t="shared" si="15"/>
        <v>1345400</v>
      </c>
      <c r="G53" s="75">
        <f t="shared" si="15"/>
        <v>1345400</v>
      </c>
      <c r="H53" s="75">
        <f t="shared" si="15"/>
        <v>384400</v>
      </c>
      <c r="I53" s="75">
        <f t="shared" si="15"/>
        <v>192200</v>
      </c>
      <c r="J53" s="103">
        <f t="shared" si="15"/>
        <v>0</v>
      </c>
      <c r="K53" s="75">
        <f t="shared" si="15"/>
        <v>0</v>
      </c>
      <c r="L53" s="75">
        <f t="shared" si="15"/>
        <v>0</v>
      </c>
      <c r="M53" s="75">
        <f t="shared" si="15"/>
        <v>0</v>
      </c>
      <c r="N53" s="75">
        <f t="shared" si="15"/>
        <v>0</v>
      </c>
      <c r="O53" s="75">
        <f t="shared" si="15"/>
        <v>0</v>
      </c>
      <c r="P53" s="75">
        <f t="shared" si="15"/>
        <v>0</v>
      </c>
      <c r="Q53" s="75">
        <f t="shared" si="15"/>
        <v>0</v>
      </c>
      <c r="R53" s="75">
        <f t="shared" si="15"/>
        <v>0</v>
      </c>
      <c r="S53" s="75">
        <f t="shared" si="15"/>
        <v>0</v>
      </c>
      <c r="T53" s="75">
        <f t="shared" si="15"/>
        <v>0</v>
      </c>
      <c r="U53" s="75">
        <f t="shared" si="15"/>
        <v>0</v>
      </c>
      <c r="V53" s="75">
        <f t="shared" si="15"/>
        <v>0</v>
      </c>
      <c r="W53" s="75">
        <f t="shared" si="15"/>
        <v>0</v>
      </c>
      <c r="X53" s="75">
        <f t="shared" si="15"/>
        <v>0</v>
      </c>
      <c r="Y53" s="75">
        <f t="shared" si="15"/>
        <v>0</v>
      </c>
      <c r="Z53" s="75">
        <f t="shared" si="15"/>
        <v>0</v>
      </c>
      <c r="AA53" s="75">
        <f t="shared" si="15"/>
        <v>0</v>
      </c>
      <c r="AB53" s="75">
        <f t="shared" si="15"/>
        <v>0</v>
      </c>
      <c r="AC53" s="75">
        <f t="shared" si="15"/>
        <v>0</v>
      </c>
      <c r="AD53" s="160">
        <f>SUM(D53:AC53)</f>
        <v>3844000</v>
      </c>
    </row>
    <row r="54" spans="2:30" x14ac:dyDescent="0.25">
      <c r="B54" s="47" t="s">
        <v>86</v>
      </c>
      <c r="C54" s="47"/>
      <c r="D54" s="75">
        <f>D49+D50-D53</f>
        <v>0</v>
      </c>
      <c r="E54" s="75">
        <f>E49+E50-E53+E51</f>
        <v>0</v>
      </c>
      <c r="F54" s="75">
        <f t="shared" ref="F54:AC54" si="16">F49+F50-F53+F51</f>
        <v>0</v>
      </c>
      <c r="G54" s="75">
        <f t="shared" si="16"/>
        <v>0</v>
      </c>
      <c r="H54" s="75">
        <f t="shared" si="16"/>
        <v>0</v>
      </c>
      <c r="I54" s="75">
        <f t="shared" si="16"/>
        <v>0</v>
      </c>
      <c r="J54" s="103">
        <f t="shared" si="16"/>
        <v>0</v>
      </c>
      <c r="K54" s="75">
        <f t="shared" si="16"/>
        <v>0</v>
      </c>
      <c r="L54" s="75">
        <f t="shared" si="16"/>
        <v>0</v>
      </c>
      <c r="M54" s="75">
        <f t="shared" si="16"/>
        <v>0</v>
      </c>
      <c r="N54" s="75">
        <f t="shared" si="16"/>
        <v>0</v>
      </c>
      <c r="O54" s="75">
        <f t="shared" si="16"/>
        <v>0</v>
      </c>
      <c r="P54" s="75">
        <f t="shared" si="16"/>
        <v>0</v>
      </c>
      <c r="Q54" s="75">
        <f t="shared" si="16"/>
        <v>0</v>
      </c>
      <c r="R54" s="75">
        <f t="shared" si="16"/>
        <v>0</v>
      </c>
      <c r="S54" s="75">
        <f t="shared" si="16"/>
        <v>0</v>
      </c>
      <c r="T54" s="75">
        <f t="shared" si="16"/>
        <v>0</v>
      </c>
      <c r="U54" s="75">
        <f t="shared" si="16"/>
        <v>0</v>
      </c>
      <c r="V54" s="75">
        <f t="shared" si="16"/>
        <v>0</v>
      </c>
      <c r="W54" s="75">
        <f t="shared" si="16"/>
        <v>0</v>
      </c>
      <c r="X54" s="75">
        <f t="shared" si="16"/>
        <v>0</v>
      </c>
      <c r="Y54" s="75">
        <f t="shared" si="16"/>
        <v>0</v>
      </c>
      <c r="Z54" s="75">
        <f t="shared" si="16"/>
        <v>0</v>
      </c>
      <c r="AA54" s="75">
        <f t="shared" si="16"/>
        <v>0</v>
      </c>
      <c r="AB54" s="75">
        <f t="shared" si="16"/>
        <v>0</v>
      </c>
      <c r="AC54" s="75">
        <f t="shared" si="16"/>
        <v>0</v>
      </c>
      <c r="AD54" s="160"/>
    </row>
    <row r="55" spans="2:30" x14ac:dyDescent="0.25">
      <c r="C55" s="72"/>
      <c r="D55" s="73"/>
      <c r="E55" s="73"/>
      <c r="F55" s="73"/>
      <c r="G55" s="73"/>
      <c r="H55" s="73"/>
      <c r="I55" s="73"/>
      <c r="J55" s="73"/>
      <c r="K55" s="73"/>
      <c r="L55" s="73"/>
      <c r="M55" s="73"/>
      <c r="N55" s="73"/>
      <c r="O55" s="73"/>
      <c r="P55" s="73"/>
      <c r="Q55" s="73"/>
      <c r="R55" s="73"/>
      <c r="S55" s="73"/>
      <c r="T55" s="73"/>
      <c r="U55" s="73"/>
      <c r="V55" s="73"/>
      <c r="W55" s="73"/>
    </row>
    <row r="56" spans="2:30" hidden="1" x14ac:dyDescent="0.25">
      <c r="B56" s="44" t="s">
        <v>88</v>
      </c>
      <c r="C56" s="71"/>
      <c r="T56" s="73"/>
      <c r="U56" s="73"/>
      <c r="V56" s="73"/>
      <c r="W56" s="73"/>
    </row>
    <row r="57" spans="2:30" hidden="1" x14ac:dyDescent="0.25">
      <c r="B57" s="44"/>
      <c r="C57" s="71"/>
      <c r="T57" s="73"/>
      <c r="U57" s="73"/>
      <c r="V57" s="73"/>
      <c r="W57" s="73"/>
    </row>
    <row r="58" spans="2:30" hidden="1" x14ac:dyDescent="0.25">
      <c r="B58" s="99" t="s">
        <v>90</v>
      </c>
      <c r="C58" s="8" t="s">
        <v>19</v>
      </c>
      <c r="D58" s="15">
        <v>0</v>
      </c>
      <c r="E58" s="15">
        <v>1</v>
      </c>
      <c r="F58" s="15">
        <v>2</v>
      </c>
      <c r="G58" s="15">
        <v>3</v>
      </c>
      <c r="H58" s="15">
        <v>4</v>
      </c>
      <c r="I58" s="15">
        <v>5</v>
      </c>
      <c r="J58" s="15">
        <v>6</v>
      </c>
      <c r="K58" s="15">
        <v>7</v>
      </c>
      <c r="L58" s="15">
        <v>8</v>
      </c>
      <c r="M58" s="15">
        <v>9</v>
      </c>
      <c r="N58" s="15">
        <v>10</v>
      </c>
      <c r="O58" s="15">
        <v>11</v>
      </c>
      <c r="P58" s="15">
        <v>12</v>
      </c>
      <c r="Q58" s="15">
        <v>13</v>
      </c>
      <c r="R58" s="15">
        <v>14</v>
      </c>
      <c r="S58" s="15">
        <v>15</v>
      </c>
      <c r="T58" s="15">
        <v>16</v>
      </c>
      <c r="U58" s="15">
        <v>17</v>
      </c>
      <c r="V58" s="15">
        <v>18</v>
      </c>
      <c r="W58" s="15">
        <v>19</v>
      </c>
      <c r="X58" s="15">
        <v>20</v>
      </c>
      <c r="Y58" s="15">
        <v>21</v>
      </c>
      <c r="Z58" s="15">
        <v>22</v>
      </c>
      <c r="AA58" s="15">
        <v>23</v>
      </c>
      <c r="AB58" s="15">
        <v>24</v>
      </c>
      <c r="AC58" s="15"/>
    </row>
    <row r="59" spans="2:30" hidden="1" x14ac:dyDescent="0.25">
      <c r="B59" s="47" t="s">
        <v>83</v>
      </c>
      <c r="C59" s="47"/>
      <c r="D59" s="75"/>
      <c r="E59" s="75">
        <f>D64</f>
        <v>0</v>
      </c>
      <c r="F59" s="75">
        <f t="shared" ref="F59:AB59" si="17">E64</f>
        <v>-463450</v>
      </c>
      <c r="G59" s="75">
        <f t="shared" si="17"/>
        <v>-1546125</v>
      </c>
      <c r="H59" s="75">
        <f t="shared" si="17"/>
        <v>-2628025</v>
      </c>
      <c r="I59" s="75">
        <f t="shared" si="17"/>
        <v>-2937250</v>
      </c>
      <c r="J59" s="103">
        <f t="shared" si="17"/>
        <v>-3092250</v>
      </c>
      <c r="K59" s="75">
        <f t="shared" si="17"/>
        <v>-3092250</v>
      </c>
      <c r="L59" s="75">
        <f t="shared" si="17"/>
        <v>-3092250</v>
      </c>
      <c r="M59" s="75">
        <f t="shared" si="17"/>
        <v>-3092250</v>
      </c>
      <c r="N59" s="75">
        <f t="shared" si="17"/>
        <v>-3092250</v>
      </c>
      <c r="O59" s="75">
        <f t="shared" si="17"/>
        <v>-3092250</v>
      </c>
      <c r="P59" s="75">
        <f t="shared" si="17"/>
        <v>-3092250</v>
      </c>
      <c r="Q59" s="75">
        <f t="shared" si="17"/>
        <v>-3092250</v>
      </c>
      <c r="R59" s="75">
        <f t="shared" si="17"/>
        <v>-3092250</v>
      </c>
      <c r="S59" s="75">
        <f t="shared" si="17"/>
        <v>-3092250</v>
      </c>
      <c r="T59" s="75">
        <f t="shared" si="17"/>
        <v>-3092250</v>
      </c>
      <c r="U59" s="75">
        <f t="shared" si="17"/>
        <v>-3092250</v>
      </c>
      <c r="V59" s="75">
        <f t="shared" si="17"/>
        <v>-3092250</v>
      </c>
      <c r="W59" s="75">
        <f t="shared" si="17"/>
        <v>-3092250</v>
      </c>
      <c r="X59" s="75">
        <f t="shared" si="17"/>
        <v>-3092250</v>
      </c>
      <c r="Y59" s="75">
        <f t="shared" si="17"/>
        <v>-3092250</v>
      </c>
      <c r="Z59" s="75">
        <f t="shared" si="17"/>
        <v>-3092250</v>
      </c>
      <c r="AA59" s="75">
        <f t="shared" si="17"/>
        <v>-3092250</v>
      </c>
      <c r="AB59" s="75">
        <f t="shared" si="17"/>
        <v>-3092250</v>
      </c>
      <c r="AC59" s="73"/>
      <c r="AD59" s="89"/>
    </row>
    <row r="60" spans="2:30" hidden="1" x14ac:dyDescent="0.25">
      <c r="B60" s="67" t="s">
        <v>84</v>
      </c>
      <c r="C60" s="47"/>
      <c r="D60" s="74">
        <f t="shared" ref="D60:AB60" si="18">$C29*D6</f>
        <v>0</v>
      </c>
      <c r="E60" s="74">
        <f t="shared" si="18"/>
        <v>1550</v>
      </c>
      <c r="F60" s="74">
        <f t="shared" si="18"/>
        <v>2325</v>
      </c>
      <c r="G60" s="74">
        <f t="shared" si="18"/>
        <v>3100</v>
      </c>
      <c r="H60" s="74">
        <f t="shared" si="18"/>
        <v>775</v>
      </c>
      <c r="I60" s="74">
        <f t="shared" si="18"/>
        <v>0</v>
      </c>
      <c r="J60" s="74">
        <f t="shared" si="18"/>
        <v>0</v>
      </c>
      <c r="K60" s="74">
        <f t="shared" si="18"/>
        <v>0</v>
      </c>
      <c r="L60" s="74">
        <f t="shared" si="18"/>
        <v>0</v>
      </c>
      <c r="M60" s="74">
        <f t="shared" si="18"/>
        <v>0</v>
      </c>
      <c r="N60" s="74">
        <f t="shared" si="18"/>
        <v>0</v>
      </c>
      <c r="O60" s="74">
        <f t="shared" si="18"/>
        <v>0</v>
      </c>
      <c r="P60" s="74">
        <f t="shared" si="18"/>
        <v>0</v>
      </c>
      <c r="Q60" s="74">
        <f t="shared" si="18"/>
        <v>0</v>
      </c>
      <c r="R60" s="74">
        <f t="shared" si="18"/>
        <v>0</v>
      </c>
      <c r="S60" s="74">
        <f t="shared" si="18"/>
        <v>0</v>
      </c>
      <c r="T60" s="74">
        <f t="shared" si="18"/>
        <v>0</v>
      </c>
      <c r="U60" s="74">
        <f t="shared" si="18"/>
        <v>0</v>
      </c>
      <c r="V60" s="74">
        <f t="shared" si="18"/>
        <v>0</v>
      </c>
      <c r="W60" s="74">
        <f t="shared" si="18"/>
        <v>0</v>
      </c>
      <c r="X60" s="74">
        <f t="shared" si="18"/>
        <v>0</v>
      </c>
      <c r="Y60" s="74">
        <f t="shared" si="18"/>
        <v>0</v>
      </c>
      <c r="Z60" s="74">
        <f t="shared" si="18"/>
        <v>0</v>
      </c>
      <c r="AA60" s="74">
        <f t="shared" si="18"/>
        <v>0</v>
      </c>
      <c r="AB60" s="74">
        <f t="shared" si="18"/>
        <v>0</v>
      </c>
      <c r="AC60" s="76"/>
      <c r="AD60" s="89">
        <f>SUM(D60:AB60)</f>
        <v>7750</v>
      </c>
    </row>
    <row r="61" spans="2:30" hidden="1" x14ac:dyDescent="0.25">
      <c r="B61" s="47" t="s">
        <v>85</v>
      </c>
      <c r="C61" s="47"/>
      <c r="D61" s="75">
        <v>0</v>
      </c>
      <c r="E61" s="75">
        <f t="shared" ref="E61:AB61" si="19">E59*$D159</f>
        <v>0</v>
      </c>
      <c r="F61" s="75">
        <f t="shared" si="19"/>
        <v>-111228</v>
      </c>
      <c r="G61" s="75">
        <f t="shared" si="19"/>
        <v>-371070</v>
      </c>
      <c r="H61" s="75">
        <f t="shared" si="19"/>
        <v>-630726</v>
      </c>
      <c r="I61" s="75">
        <f t="shared" si="19"/>
        <v>-704940</v>
      </c>
      <c r="J61" s="75">
        <f t="shared" si="19"/>
        <v>-742140</v>
      </c>
      <c r="K61" s="75">
        <f t="shared" si="19"/>
        <v>-742140</v>
      </c>
      <c r="L61" s="75">
        <f t="shared" si="19"/>
        <v>-742140</v>
      </c>
      <c r="M61" s="75">
        <f t="shared" si="19"/>
        <v>-742140</v>
      </c>
      <c r="N61" s="75">
        <f t="shared" si="19"/>
        <v>-742140</v>
      </c>
      <c r="O61" s="75">
        <f t="shared" si="19"/>
        <v>-742140</v>
      </c>
      <c r="P61" s="75">
        <f t="shared" si="19"/>
        <v>-742140</v>
      </c>
      <c r="Q61" s="75">
        <f t="shared" si="19"/>
        <v>-742140</v>
      </c>
      <c r="R61" s="75">
        <f t="shared" si="19"/>
        <v>-742140</v>
      </c>
      <c r="S61" s="75">
        <f t="shared" si="19"/>
        <v>-742140</v>
      </c>
      <c r="T61" s="75">
        <f t="shared" si="19"/>
        <v>-742140</v>
      </c>
      <c r="U61" s="75">
        <f t="shared" si="19"/>
        <v>-742140</v>
      </c>
      <c r="V61" s="75">
        <f t="shared" si="19"/>
        <v>-742140</v>
      </c>
      <c r="W61" s="75">
        <f t="shared" si="19"/>
        <v>-742140</v>
      </c>
      <c r="X61" s="75">
        <f t="shared" si="19"/>
        <v>-742140</v>
      </c>
      <c r="Y61" s="75">
        <f t="shared" si="19"/>
        <v>-742140</v>
      </c>
      <c r="Z61" s="75">
        <f t="shared" si="19"/>
        <v>-742140</v>
      </c>
      <c r="AA61" s="75">
        <f t="shared" si="19"/>
        <v>-742140</v>
      </c>
      <c r="AB61" s="75">
        <f t="shared" si="19"/>
        <v>-742140</v>
      </c>
      <c r="AC61" s="73"/>
      <c r="AD61" s="89">
        <f>SUM(D61:AB61)</f>
        <v>-15918624</v>
      </c>
    </row>
    <row r="62" spans="2:30" hidden="1" x14ac:dyDescent="0.25">
      <c r="B62" s="47" t="s">
        <v>87</v>
      </c>
      <c r="C62" s="47"/>
      <c r="D62" s="75">
        <f>D52</f>
        <v>0</v>
      </c>
      <c r="E62" s="75">
        <f t="shared" ref="E62:AB62" si="20">E52</f>
        <v>465000</v>
      </c>
      <c r="F62" s="75">
        <f t="shared" si="20"/>
        <v>1085000</v>
      </c>
      <c r="G62" s="75">
        <f t="shared" si="20"/>
        <v>1085000</v>
      </c>
      <c r="H62" s="75">
        <f t="shared" si="20"/>
        <v>310000</v>
      </c>
      <c r="I62" s="75">
        <f t="shared" si="20"/>
        <v>155000</v>
      </c>
      <c r="J62" s="75">
        <f t="shared" si="20"/>
        <v>0</v>
      </c>
      <c r="K62" s="75">
        <f t="shared" si="20"/>
        <v>0</v>
      </c>
      <c r="L62" s="75">
        <f t="shared" si="20"/>
        <v>0</v>
      </c>
      <c r="M62" s="75">
        <f t="shared" si="20"/>
        <v>0</v>
      </c>
      <c r="N62" s="75">
        <f t="shared" si="20"/>
        <v>0</v>
      </c>
      <c r="O62" s="75">
        <f t="shared" si="20"/>
        <v>0</v>
      </c>
      <c r="P62" s="75">
        <f t="shared" si="20"/>
        <v>0</v>
      </c>
      <c r="Q62" s="75">
        <f t="shared" si="20"/>
        <v>0</v>
      </c>
      <c r="R62" s="75">
        <f t="shared" si="20"/>
        <v>0</v>
      </c>
      <c r="S62" s="75">
        <f t="shared" si="20"/>
        <v>0</v>
      </c>
      <c r="T62" s="75">
        <f t="shared" si="20"/>
        <v>0</v>
      </c>
      <c r="U62" s="75">
        <f t="shared" si="20"/>
        <v>0</v>
      </c>
      <c r="V62" s="75">
        <f t="shared" si="20"/>
        <v>0</v>
      </c>
      <c r="W62" s="75">
        <f t="shared" si="20"/>
        <v>0</v>
      </c>
      <c r="X62" s="75">
        <f t="shared" si="20"/>
        <v>0</v>
      </c>
      <c r="Y62" s="75">
        <f t="shared" si="20"/>
        <v>0</v>
      </c>
      <c r="Z62" s="75">
        <f t="shared" si="20"/>
        <v>0</v>
      </c>
      <c r="AA62" s="75">
        <f t="shared" si="20"/>
        <v>0</v>
      </c>
      <c r="AB62" s="75">
        <f t="shared" si="20"/>
        <v>0</v>
      </c>
      <c r="AC62" s="73"/>
      <c r="AD62" s="89">
        <f>SUM(D62:AB62)</f>
        <v>3100000</v>
      </c>
    </row>
    <row r="63" spans="2:30" hidden="1" x14ac:dyDescent="0.25">
      <c r="B63" s="47" t="s">
        <v>120</v>
      </c>
      <c r="C63" s="47"/>
      <c r="D63" s="75">
        <f>D61+D62</f>
        <v>0</v>
      </c>
      <c r="E63" s="75">
        <f t="shared" ref="E63:AB63" si="21">E61+E62</f>
        <v>465000</v>
      </c>
      <c r="F63" s="75">
        <f t="shared" si="21"/>
        <v>973772</v>
      </c>
      <c r="G63" s="75">
        <f t="shared" si="21"/>
        <v>713930</v>
      </c>
      <c r="H63" s="75">
        <f t="shared" si="21"/>
        <v>-320726</v>
      </c>
      <c r="I63" s="75">
        <f t="shared" si="21"/>
        <v>-549940</v>
      </c>
      <c r="J63" s="103">
        <f t="shared" si="21"/>
        <v>-742140</v>
      </c>
      <c r="K63" s="75">
        <f t="shared" si="21"/>
        <v>-742140</v>
      </c>
      <c r="L63" s="75">
        <f t="shared" si="21"/>
        <v>-742140</v>
      </c>
      <c r="M63" s="75">
        <f t="shared" si="21"/>
        <v>-742140</v>
      </c>
      <c r="N63" s="75">
        <f t="shared" si="21"/>
        <v>-742140</v>
      </c>
      <c r="O63" s="75">
        <f t="shared" si="21"/>
        <v>-742140</v>
      </c>
      <c r="P63" s="75">
        <f t="shared" si="21"/>
        <v>-742140</v>
      </c>
      <c r="Q63" s="75">
        <f t="shared" si="21"/>
        <v>-742140</v>
      </c>
      <c r="R63" s="75">
        <f t="shared" si="21"/>
        <v>-742140</v>
      </c>
      <c r="S63" s="75">
        <f t="shared" si="21"/>
        <v>-742140</v>
      </c>
      <c r="T63" s="75">
        <f t="shared" si="21"/>
        <v>-742140</v>
      </c>
      <c r="U63" s="75">
        <f t="shared" si="21"/>
        <v>-742140</v>
      </c>
      <c r="V63" s="75">
        <f t="shared" si="21"/>
        <v>-742140</v>
      </c>
      <c r="W63" s="75">
        <f t="shared" si="21"/>
        <v>-742140</v>
      </c>
      <c r="X63" s="75">
        <f t="shared" si="21"/>
        <v>-742140</v>
      </c>
      <c r="Y63" s="75">
        <f t="shared" si="21"/>
        <v>-742140</v>
      </c>
      <c r="Z63" s="75">
        <f t="shared" si="21"/>
        <v>-742140</v>
      </c>
      <c r="AA63" s="75">
        <f t="shared" si="21"/>
        <v>-742140</v>
      </c>
      <c r="AB63" s="75">
        <f t="shared" si="21"/>
        <v>-742140</v>
      </c>
      <c r="AC63" s="73"/>
      <c r="AD63" s="89">
        <f>SUM(D63:AB63)</f>
        <v>-12818624</v>
      </c>
    </row>
    <row r="64" spans="2:30" hidden="1" x14ac:dyDescent="0.25">
      <c r="B64" s="47" t="s">
        <v>86</v>
      </c>
      <c r="C64" s="47"/>
      <c r="D64" s="75">
        <f>D59+D60-D63</f>
        <v>0</v>
      </c>
      <c r="E64" s="75">
        <f>E59+E60-E63+E61</f>
        <v>-463450</v>
      </c>
      <c r="F64" s="75">
        <f t="shared" ref="F64:AB64" si="22">F59+F60-F63+F61</f>
        <v>-1546125</v>
      </c>
      <c r="G64" s="75">
        <f t="shared" si="22"/>
        <v>-2628025</v>
      </c>
      <c r="H64" s="75">
        <f t="shared" si="22"/>
        <v>-2937250</v>
      </c>
      <c r="I64" s="75">
        <f t="shared" si="22"/>
        <v>-3092250</v>
      </c>
      <c r="J64" s="103">
        <f t="shared" si="22"/>
        <v>-3092250</v>
      </c>
      <c r="K64" s="75">
        <f t="shared" si="22"/>
        <v>-3092250</v>
      </c>
      <c r="L64" s="75">
        <f t="shared" si="22"/>
        <v>-3092250</v>
      </c>
      <c r="M64" s="75">
        <f t="shared" si="22"/>
        <v>-3092250</v>
      </c>
      <c r="N64" s="75">
        <f t="shared" si="22"/>
        <v>-3092250</v>
      </c>
      <c r="O64" s="75">
        <f t="shared" si="22"/>
        <v>-3092250</v>
      </c>
      <c r="P64" s="75">
        <f t="shared" si="22"/>
        <v>-3092250</v>
      </c>
      <c r="Q64" s="75">
        <f t="shared" si="22"/>
        <v>-3092250</v>
      </c>
      <c r="R64" s="75">
        <f t="shared" si="22"/>
        <v>-3092250</v>
      </c>
      <c r="S64" s="75">
        <f t="shared" si="22"/>
        <v>-3092250</v>
      </c>
      <c r="T64" s="75">
        <f t="shared" si="22"/>
        <v>-3092250</v>
      </c>
      <c r="U64" s="75">
        <f t="shared" si="22"/>
        <v>-3092250</v>
      </c>
      <c r="V64" s="75">
        <f t="shared" si="22"/>
        <v>-3092250</v>
      </c>
      <c r="W64" s="75">
        <f t="shared" si="22"/>
        <v>-3092250</v>
      </c>
      <c r="X64" s="75">
        <f t="shared" si="22"/>
        <v>-3092250</v>
      </c>
      <c r="Y64" s="75">
        <f t="shared" si="22"/>
        <v>-3092250</v>
      </c>
      <c r="Z64" s="75">
        <f t="shared" si="22"/>
        <v>-3092250</v>
      </c>
      <c r="AA64" s="75">
        <f t="shared" si="22"/>
        <v>-3092250</v>
      </c>
      <c r="AB64" s="75">
        <f t="shared" si="22"/>
        <v>-3092250</v>
      </c>
      <c r="AC64" s="73"/>
      <c r="AD64" s="89"/>
    </row>
    <row r="65" spans="1:30" hidden="1" x14ac:dyDescent="0.25">
      <c r="B65" s="99"/>
      <c r="C65" s="8"/>
      <c r="D65" s="15"/>
      <c r="E65" s="15"/>
      <c r="F65" s="15"/>
      <c r="G65" s="15"/>
      <c r="H65" s="15"/>
      <c r="I65" s="15"/>
      <c r="J65" s="15"/>
      <c r="K65" s="15"/>
      <c r="L65" s="15"/>
      <c r="M65" s="15"/>
      <c r="N65" s="15"/>
      <c r="O65" s="15"/>
      <c r="P65" s="15"/>
      <c r="Q65" s="15"/>
      <c r="R65" s="15"/>
      <c r="S65" s="15"/>
      <c r="T65" s="15"/>
      <c r="U65" s="15"/>
      <c r="V65" s="15"/>
      <c r="W65" s="15"/>
      <c r="X65" s="15"/>
      <c r="Y65" s="15"/>
      <c r="Z65" s="15"/>
      <c r="AA65" s="15"/>
      <c r="AB65" s="15"/>
      <c r="AC65" s="15"/>
    </row>
    <row r="66" spans="1:30" hidden="1" x14ac:dyDescent="0.25">
      <c r="B66" s="44" t="s">
        <v>89</v>
      </c>
      <c r="C66" s="71"/>
      <c r="T66" s="73"/>
      <c r="U66" s="73"/>
      <c r="V66" s="73"/>
      <c r="W66" s="73"/>
    </row>
    <row r="67" spans="1:30" hidden="1" x14ac:dyDescent="0.25">
      <c r="B67" s="99" t="s">
        <v>90</v>
      </c>
      <c r="C67" s="71"/>
      <c r="T67" s="73"/>
      <c r="U67" s="73"/>
      <c r="V67" s="73"/>
      <c r="W67" s="73"/>
    </row>
    <row r="68" spans="1:30" hidden="1" x14ac:dyDescent="0.25">
      <c r="B68" s="47" t="s">
        <v>83</v>
      </c>
      <c r="C68" s="47"/>
      <c r="D68" s="75"/>
      <c r="E68" s="75">
        <f>D73</f>
        <v>0</v>
      </c>
      <c r="F68" s="75">
        <f t="shared" ref="F68:AB68" si="23">E73</f>
        <v>-463450</v>
      </c>
      <c r="G68" s="75">
        <f t="shared" si="23"/>
        <v>-1546125</v>
      </c>
      <c r="H68" s="75">
        <f t="shared" si="23"/>
        <v>-2628025</v>
      </c>
      <c r="I68" s="75">
        <f t="shared" si="23"/>
        <v>-2937250</v>
      </c>
      <c r="J68" s="103">
        <f t="shared" si="23"/>
        <v>-3092250</v>
      </c>
      <c r="K68" s="75">
        <f t="shared" si="23"/>
        <v>-3092250</v>
      </c>
      <c r="L68" s="75">
        <f t="shared" si="23"/>
        <v>-3092250</v>
      </c>
      <c r="M68" s="75">
        <f t="shared" si="23"/>
        <v>-3092250</v>
      </c>
      <c r="N68" s="75">
        <f t="shared" si="23"/>
        <v>-3092250</v>
      </c>
      <c r="O68" s="75">
        <f t="shared" si="23"/>
        <v>-3092250</v>
      </c>
      <c r="P68" s="75">
        <f t="shared" si="23"/>
        <v>-3092250</v>
      </c>
      <c r="Q68" s="75">
        <f t="shared" si="23"/>
        <v>-3092250</v>
      </c>
      <c r="R68" s="75">
        <f t="shared" si="23"/>
        <v>-3092250</v>
      </c>
      <c r="S68" s="75">
        <f t="shared" si="23"/>
        <v>-3092250</v>
      </c>
      <c r="T68" s="75">
        <f t="shared" si="23"/>
        <v>-3092250</v>
      </c>
      <c r="U68" s="75">
        <f t="shared" si="23"/>
        <v>-3092250</v>
      </c>
      <c r="V68" s="75">
        <f t="shared" si="23"/>
        <v>-3092250</v>
      </c>
      <c r="W68" s="75">
        <f t="shared" si="23"/>
        <v>-3092250</v>
      </c>
      <c r="X68" s="75">
        <f t="shared" si="23"/>
        <v>-3092250</v>
      </c>
      <c r="Y68" s="75">
        <f t="shared" si="23"/>
        <v>-3092250</v>
      </c>
      <c r="Z68" s="75">
        <f t="shared" si="23"/>
        <v>-3092250</v>
      </c>
      <c r="AA68" s="75">
        <f t="shared" si="23"/>
        <v>-3092250</v>
      </c>
      <c r="AB68" s="75">
        <f t="shared" si="23"/>
        <v>-3092250</v>
      </c>
      <c r="AC68" s="73"/>
      <c r="AD68" s="89"/>
    </row>
    <row r="69" spans="1:30" hidden="1" x14ac:dyDescent="0.25">
      <c r="B69" s="67" t="s">
        <v>84</v>
      </c>
      <c r="C69" s="47"/>
      <c r="D69" s="74">
        <f>$C60*D47</f>
        <v>0</v>
      </c>
      <c r="E69" s="74">
        <f t="shared" ref="E69:AB69" si="24">$C29*E6</f>
        <v>1550</v>
      </c>
      <c r="F69" s="74">
        <f t="shared" si="24"/>
        <v>2325</v>
      </c>
      <c r="G69" s="74">
        <f t="shared" si="24"/>
        <v>3100</v>
      </c>
      <c r="H69" s="74">
        <f t="shared" si="24"/>
        <v>775</v>
      </c>
      <c r="I69" s="74">
        <f t="shared" si="24"/>
        <v>0</v>
      </c>
      <c r="J69" s="74">
        <f t="shared" si="24"/>
        <v>0</v>
      </c>
      <c r="K69" s="74">
        <f t="shared" si="24"/>
        <v>0</v>
      </c>
      <c r="L69" s="74">
        <f t="shared" si="24"/>
        <v>0</v>
      </c>
      <c r="M69" s="74">
        <f t="shared" si="24"/>
        <v>0</v>
      </c>
      <c r="N69" s="74">
        <f t="shared" si="24"/>
        <v>0</v>
      </c>
      <c r="O69" s="74">
        <f t="shared" si="24"/>
        <v>0</v>
      </c>
      <c r="P69" s="74">
        <f t="shared" si="24"/>
        <v>0</v>
      </c>
      <c r="Q69" s="74">
        <f t="shared" si="24"/>
        <v>0</v>
      </c>
      <c r="R69" s="74">
        <f t="shared" si="24"/>
        <v>0</v>
      </c>
      <c r="S69" s="74">
        <f t="shared" si="24"/>
        <v>0</v>
      </c>
      <c r="T69" s="74">
        <f t="shared" si="24"/>
        <v>0</v>
      </c>
      <c r="U69" s="74">
        <f t="shared" si="24"/>
        <v>0</v>
      </c>
      <c r="V69" s="74">
        <f t="shared" si="24"/>
        <v>0</v>
      </c>
      <c r="W69" s="74">
        <f t="shared" si="24"/>
        <v>0</v>
      </c>
      <c r="X69" s="74">
        <f t="shared" si="24"/>
        <v>0</v>
      </c>
      <c r="Y69" s="74">
        <f t="shared" si="24"/>
        <v>0</v>
      </c>
      <c r="Z69" s="74">
        <f t="shared" si="24"/>
        <v>0</v>
      </c>
      <c r="AA69" s="74">
        <f t="shared" si="24"/>
        <v>0</v>
      </c>
      <c r="AB69" s="74">
        <f t="shared" si="24"/>
        <v>0</v>
      </c>
      <c r="AC69" s="76"/>
      <c r="AD69" s="89">
        <f>SUM(D69:AB69)</f>
        <v>7750</v>
      </c>
    </row>
    <row r="70" spans="1:30" hidden="1" x14ac:dyDescent="0.25">
      <c r="B70" s="47" t="s">
        <v>85</v>
      </c>
      <c r="C70" s="47"/>
      <c r="D70" s="75">
        <v>0</v>
      </c>
      <c r="E70" s="75">
        <f t="shared" ref="E70:AB70" si="25">E68*$D159</f>
        <v>0</v>
      </c>
      <c r="F70" s="75">
        <f t="shared" si="25"/>
        <v>-111228</v>
      </c>
      <c r="G70" s="75">
        <f t="shared" si="25"/>
        <v>-371070</v>
      </c>
      <c r="H70" s="75">
        <f t="shared" si="25"/>
        <v>-630726</v>
      </c>
      <c r="I70" s="75">
        <f t="shared" si="25"/>
        <v>-704940</v>
      </c>
      <c r="J70" s="75">
        <f t="shared" si="25"/>
        <v>-742140</v>
      </c>
      <c r="K70" s="75">
        <f t="shared" si="25"/>
        <v>-742140</v>
      </c>
      <c r="L70" s="75">
        <f t="shared" si="25"/>
        <v>-742140</v>
      </c>
      <c r="M70" s="75">
        <f t="shared" si="25"/>
        <v>-742140</v>
      </c>
      <c r="N70" s="75">
        <f t="shared" si="25"/>
        <v>-742140</v>
      </c>
      <c r="O70" s="75">
        <f t="shared" si="25"/>
        <v>-742140</v>
      </c>
      <c r="P70" s="75">
        <f t="shared" si="25"/>
        <v>-742140</v>
      </c>
      <c r="Q70" s="75">
        <f t="shared" si="25"/>
        <v>-742140</v>
      </c>
      <c r="R70" s="75">
        <f t="shared" si="25"/>
        <v>-742140</v>
      </c>
      <c r="S70" s="75">
        <f t="shared" si="25"/>
        <v>-742140</v>
      </c>
      <c r="T70" s="75">
        <f t="shared" si="25"/>
        <v>-742140</v>
      </c>
      <c r="U70" s="75">
        <f t="shared" si="25"/>
        <v>-742140</v>
      </c>
      <c r="V70" s="75">
        <f t="shared" si="25"/>
        <v>-742140</v>
      </c>
      <c r="W70" s="75">
        <f t="shared" si="25"/>
        <v>-742140</v>
      </c>
      <c r="X70" s="75">
        <f t="shared" si="25"/>
        <v>-742140</v>
      </c>
      <c r="Y70" s="75">
        <f t="shared" si="25"/>
        <v>-742140</v>
      </c>
      <c r="Z70" s="75">
        <f t="shared" si="25"/>
        <v>-742140</v>
      </c>
      <c r="AA70" s="75">
        <f t="shared" si="25"/>
        <v>-742140</v>
      </c>
      <c r="AB70" s="75">
        <f t="shared" si="25"/>
        <v>-742140</v>
      </c>
      <c r="AC70" s="73"/>
      <c r="AD70" s="89">
        <f>SUM(D70:AB70)</f>
        <v>-15918624</v>
      </c>
    </row>
    <row r="71" spans="1:30" hidden="1" x14ac:dyDescent="0.25">
      <c r="B71" s="47" t="s">
        <v>87</v>
      </c>
      <c r="C71" s="47"/>
      <c r="D71" s="75">
        <v>0</v>
      </c>
      <c r="E71" s="75">
        <f>E62</f>
        <v>465000</v>
      </c>
      <c r="F71" s="75">
        <f t="shared" ref="F71:AB71" si="26">F62</f>
        <v>1085000</v>
      </c>
      <c r="G71" s="75">
        <f t="shared" si="26"/>
        <v>1085000</v>
      </c>
      <c r="H71" s="75">
        <f t="shared" si="26"/>
        <v>310000</v>
      </c>
      <c r="I71" s="75">
        <f t="shared" si="26"/>
        <v>155000</v>
      </c>
      <c r="J71" s="75">
        <f t="shared" si="26"/>
        <v>0</v>
      </c>
      <c r="K71" s="75">
        <f t="shared" si="26"/>
        <v>0</v>
      </c>
      <c r="L71" s="75">
        <f t="shared" si="26"/>
        <v>0</v>
      </c>
      <c r="M71" s="75">
        <f t="shared" si="26"/>
        <v>0</v>
      </c>
      <c r="N71" s="75">
        <f t="shared" si="26"/>
        <v>0</v>
      </c>
      <c r="O71" s="75">
        <f t="shared" si="26"/>
        <v>0</v>
      </c>
      <c r="P71" s="75">
        <f t="shared" si="26"/>
        <v>0</v>
      </c>
      <c r="Q71" s="75">
        <f t="shared" si="26"/>
        <v>0</v>
      </c>
      <c r="R71" s="75">
        <f t="shared" si="26"/>
        <v>0</v>
      </c>
      <c r="S71" s="75">
        <f t="shared" si="26"/>
        <v>0</v>
      </c>
      <c r="T71" s="75">
        <f t="shared" si="26"/>
        <v>0</v>
      </c>
      <c r="U71" s="75">
        <f t="shared" si="26"/>
        <v>0</v>
      </c>
      <c r="V71" s="75">
        <f t="shared" si="26"/>
        <v>0</v>
      </c>
      <c r="W71" s="75">
        <f t="shared" si="26"/>
        <v>0</v>
      </c>
      <c r="X71" s="75">
        <f t="shared" si="26"/>
        <v>0</v>
      </c>
      <c r="Y71" s="75">
        <f t="shared" si="26"/>
        <v>0</v>
      </c>
      <c r="Z71" s="75">
        <f t="shared" si="26"/>
        <v>0</v>
      </c>
      <c r="AA71" s="75">
        <f t="shared" si="26"/>
        <v>0</v>
      </c>
      <c r="AB71" s="75">
        <f t="shared" si="26"/>
        <v>0</v>
      </c>
      <c r="AC71" s="73"/>
      <c r="AD71" s="89">
        <f>SUM(D71:AB71)</f>
        <v>3100000</v>
      </c>
    </row>
    <row r="72" spans="1:30" hidden="1" x14ac:dyDescent="0.25">
      <c r="B72" s="47" t="s">
        <v>120</v>
      </c>
      <c r="C72" s="47"/>
      <c r="D72" s="75">
        <f>D70+D71</f>
        <v>0</v>
      </c>
      <c r="E72" s="75">
        <f t="shared" ref="E72:AB72" si="27">E70+E71</f>
        <v>465000</v>
      </c>
      <c r="F72" s="75">
        <f t="shared" si="27"/>
        <v>973772</v>
      </c>
      <c r="G72" s="75">
        <f t="shared" si="27"/>
        <v>713930</v>
      </c>
      <c r="H72" s="75">
        <f t="shared" si="27"/>
        <v>-320726</v>
      </c>
      <c r="I72" s="75">
        <f t="shared" si="27"/>
        <v>-549940</v>
      </c>
      <c r="J72" s="103">
        <f t="shared" si="27"/>
        <v>-742140</v>
      </c>
      <c r="K72" s="75">
        <f t="shared" si="27"/>
        <v>-742140</v>
      </c>
      <c r="L72" s="75">
        <f t="shared" si="27"/>
        <v>-742140</v>
      </c>
      <c r="M72" s="75">
        <f t="shared" si="27"/>
        <v>-742140</v>
      </c>
      <c r="N72" s="75">
        <f t="shared" si="27"/>
        <v>-742140</v>
      </c>
      <c r="O72" s="75">
        <f t="shared" si="27"/>
        <v>-742140</v>
      </c>
      <c r="P72" s="75">
        <f t="shared" si="27"/>
        <v>-742140</v>
      </c>
      <c r="Q72" s="75">
        <f t="shared" si="27"/>
        <v>-742140</v>
      </c>
      <c r="R72" s="75">
        <f t="shared" si="27"/>
        <v>-742140</v>
      </c>
      <c r="S72" s="75">
        <f t="shared" si="27"/>
        <v>-742140</v>
      </c>
      <c r="T72" s="75">
        <f t="shared" si="27"/>
        <v>-742140</v>
      </c>
      <c r="U72" s="75">
        <f t="shared" si="27"/>
        <v>-742140</v>
      </c>
      <c r="V72" s="75">
        <f t="shared" si="27"/>
        <v>-742140</v>
      </c>
      <c r="W72" s="75">
        <f t="shared" si="27"/>
        <v>-742140</v>
      </c>
      <c r="X72" s="75">
        <f t="shared" si="27"/>
        <v>-742140</v>
      </c>
      <c r="Y72" s="75">
        <f t="shared" si="27"/>
        <v>-742140</v>
      </c>
      <c r="Z72" s="75">
        <f t="shared" si="27"/>
        <v>-742140</v>
      </c>
      <c r="AA72" s="75">
        <f t="shared" si="27"/>
        <v>-742140</v>
      </c>
      <c r="AB72" s="75">
        <f t="shared" si="27"/>
        <v>-742140</v>
      </c>
      <c r="AC72" s="73"/>
      <c r="AD72" s="89">
        <f>SUM(D72:AB72)</f>
        <v>-12818624</v>
      </c>
    </row>
    <row r="73" spans="1:30" hidden="1" x14ac:dyDescent="0.25">
      <c r="B73" s="47" t="s">
        <v>86</v>
      </c>
      <c r="C73" s="47"/>
      <c r="D73" s="75">
        <f>D68+D69-D72</f>
        <v>0</v>
      </c>
      <c r="E73" s="75">
        <f>E68+E69-E72+E70</f>
        <v>-463450</v>
      </c>
      <c r="F73" s="75">
        <f t="shared" ref="F73:AB73" si="28">F68+F69-F72+F70</f>
        <v>-1546125</v>
      </c>
      <c r="G73" s="75">
        <f t="shared" si="28"/>
        <v>-2628025</v>
      </c>
      <c r="H73" s="75">
        <f t="shared" si="28"/>
        <v>-2937250</v>
      </c>
      <c r="I73" s="75">
        <f t="shared" si="28"/>
        <v>-3092250</v>
      </c>
      <c r="J73" s="103">
        <f t="shared" si="28"/>
        <v>-3092250</v>
      </c>
      <c r="K73" s="75">
        <f t="shared" si="28"/>
        <v>-3092250</v>
      </c>
      <c r="L73" s="75">
        <f t="shared" si="28"/>
        <v>-3092250</v>
      </c>
      <c r="M73" s="75">
        <f t="shared" si="28"/>
        <v>-3092250</v>
      </c>
      <c r="N73" s="75">
        <f t="shared" si="28"/>
        <v>-3092250</v>
      </c>
      <c r="O73" s="75">
        <f t="shared" si="28"/>
        <v>-3092250</v>
      </c>
      <c r="P73" s="75">
        <f t="shared" si="28"/>
        <v>-3092250</v>
      </c>
      <c r="Q73" s="75">
        <f t="shared" si="28"/>
        <v>-3092250</v>
      </c>
      <c r="R73" s="75">
        <f t="shared" si="28"/>
        <v>-3092250</v>
      </c>
      <c r="S73" s="75">
        <f t="shared" si="28"/>
        <v>-3092250</v>
      </c>
      <c r="T73" s="75">
        <f t="shared" si="28"/>
        <v>-3092250</v>
      </c>
      <c r="U73" s="75">
        <f t="shared" si="28"/>
        <v>-3092250</v>
      </c>
      <c r="V73" s="75">
        <f t="shared" si="28"/>
        <v>-3092250</v>
      </c>
      <c r="W73" s="75">
        <f t="shared" si="28"/>
        <v>-3092250</v>
      </c>
      <c r="X73" s="75">
        <f t="shared" si="28"/>
        <v>-3092250</v>
      </c>
      <c r="Y73" s="75">
        <f t="shared" si="28"/>
        <v>-3092250</v>
      </c>
      <c r="Z73" s="75">
        <f t="shared" si="28"/>
        <v>-3092250</v>
      </c>
      <c r="AA73" s="75">
        <f t="shared" si="28"/>
        <v>-3092250</v>
      </c>
      <c r="AB73" s="75">
        <f t="shared" si="28"/>
        <v>-3092250</v>
      </c>
      <c r="AC73" s="73"/>
      <c r="AD73" s="89"/>
    </row>
    <row r="74" spans="1:30" x14ac:dyDescent="0.25">
      <c r="B74" s="44"/>
      <c r="C74" s="71"/>
      <c r="T74" s="73"/>
      <c r="U74" s="73"/>
      <c r="V74" s="73"/>
      <c r="W74" s="73"/>
    </row>
    <row r="75" spans="1:30" x14ac:dyDescent="0.25">
      <c r="D75" s="73"/>
      <c r="E75" s="73"/>
      <c r="F75" s="73"/>
      <c r="G75" s="73"/>
      <c r="H75" s="73"/>
      <c r="I75" s="73"/>
      <c r="J75" s="73"/>
      <c r="K75" s="73"/>
      <c r="L75" s="73"/>
      <c r="M75" s="73"/>
      <c r="N75" s="73"/>
      <c r="O75" s="73"/>
      <c r="P75" s="73"/>
      <c r="Q75" s="73"/>
      <c r="R75" s="73"/>
      <c r="S75" s="73"/>
      <c r="T75" s="73"/>
      <c r="U75" s="73"/>
      <c r="V75" s="73"/>
      <c r="W75" s="73"/>
    </row>
    <row r="76" spans="1:30" x14ac:dyDescent="0.25">
      <c r="A76" s="63">
        <v>4</v>
      </c>
      <c r="B76" s="44" t="s">
        <v>331</v>
      </c>
      <c r="C76" s="139">
        <f>Assumption_Hatchery!C76</f>
        <v>0.06</v>
      </c>
      <c r="D76" s="73"/>
      <c r="E76" s="73"/>
      <c r="F76" s="73"/>
      <c r="G76" s="73"/>
      <c r="H76" s="73"/>
      <c r="I76" s="73"/>
      <c r="J76" s="73"/>
      <c r="K76" s="73"/>
      <c r="L76" s="73"/>
      <c r="M76" s="73"/>
      <c r="N76" s="73"/>
      <c r="O76" s="73"/>
      <c r="P76" s="73"/>
      <c r="Q76" s="73"/>
      <c r="R76" s="73"/>
      <c r="S76" s="73"/>
      <c r="T76" s="73"/>
      <c r="U76" s="73"/>
      <c r="V76" s="73"/>
      <c r="W76" s="73"/>
    </row>
    <row r="77" spans="1:30" x14ac:dyDescent="0.25">
      <c r="A77" s="91"/>
      <c r="C77" s="71"/>
      <c r="D77" s="73"/>
      <c r="E77" s="73"/>
      <c r="F77" s="73"/>
      <c r="G77" s="73"/>
      <c r="H77" s="73"/>
      <c r="I77" s="73"/>
      <c r="J77" s="73"/>
      <c r="K77" s="73"/>
      <c r="L77" s="73"/>
      <c r="M77" s="73"/>
      <c r="N77" s="73"/>
      <c r="O77" s="73"/>
      <c r="P77" s="73"/>
      <c r="Q77" s="73"/>
      <c r="R77" s="73"/>
      <c r="S77" s="73"/>
      <c r="T77" s="73"/>
      <c r="U77" s="73"/>
      <c r="V77" s="73"/>
      <c r="W77" s="73"/>
    </row>
    <row r="78" spans="1:30" x14ac:dyDescent="0.25">
      <c r="A78" s="63">
        <v>5</v>
      </c>
      <c r="B78" s="44" t="s">
        <v>123</v>
      </c>
      <c r="C78" s="71"/>
      <c r="D78" s="73"/>
      <c r="E78" s="73"/>
      <c r="F78" s="73"/>
      <c r="G78" s="73"/>
      <c r="H78" s="73"/>
      <c r="I78" s="73"/>
      <c r="J78" s="73"/>
      <c r="K78" s="73"/>
      <c r="L78" s="73"/>
      <c r="M78" s="73"/>
      <c r="N78" s="73"/>
      <c r="O78" s="73"/>
      <c r="P78" s="73"/>
      <c r="Q78" s="73"/>
      <c r="R78" s="73"/>
      <c r="S78" s="73"/>
      <c r="T78" s="73"/>
      <c r="U78" s="73"/>
      <c r="V78" s="73"/>
      <c r="W78" s="73"/>
    </row>
    <row r="79" spans="1:30" ht="48" customHeight="1" x14ac:dyDescent="0.25">
      <c r="B79" t="s">
        <v>124</v>
      </c>
      <c r="C79" s="498" t="s">
        <v>128</v>
      </c>
      <c r="D79" s="498"/>
      <c r="E79" s="498"/>
      <c r="F79" s="498"/>
      <c r="G79" s="73"/>
      <c r="H79" s="73"/>
      <c r="I79" s="73"/>
      <c r="J79" s="73"/>
      <c r="K79" s="73"/>
      <c r="L79" s="73"/>
      <c r="M79" s="73"/>
      <c r="N79" s="73"/>
      <c r="O79" s="73"/>
      <c r="P79" s="73"/>
      <c r="Q79" s="73"/>
      <c r="R79" s="73"/>
      <c r="S79" s="73"/>
      <c r="T79" s="73"/>
      <c r="U79" s="73"/>
      <c r="V79" s="73"/>
      <c r="W79" s="73"/>
    </row>
    <row r="80" spans="1:30" x14ac:dyDescent="0.25">
      <c r="B80" s="65"/>
      <c r="C80" s="16" t="s">
        <v>19</v>
      </c>
      <c r="D80" s="16">
        <v>1</v>
      </c>
      <c r="E80" s="16">
        <v>2</v>
      </c>
      <c r="F80" s="16">
        <v>3</v>
      </c>
      <c r="G80" s="73"/>
      <c r="H80" s="73"/>
      <c r="I80" s="73"/>
      <c r="J80" s="73"/>
      <c r="K80" s="73"/>
      <c r="L80" s="73"/>
      <c r="M80" s="73"/>
      <c r="N80" s="73"/>
      <c r="O80" s="73"/>
      <c r="P80" s="73"/>
      <c r="Q80" s="73"/>
      <c r="R80" s="73"/>
      <c r="S80" s="73"/>
      <c r="T80" s="73"/>
      <c r="U80" s="73"/>
      <c r="V80" s="73"/>
      <c r="W80" s="73"/>
    </row>
    <row r="81" spans="2:31" x14ac:dyDescent="0.25">
      <c r="B81" t="s">
        <v>80</v>
      </c>
      <c r="C81" s="63"/>
      <c r="D81" s="68">
        <f>Assumption_Hatchery!D81</f>
        <v>0</v>
      </c>
      <c r="E81" s="68">
        <f>Assumption_Hatchery!E81</f>
        <v>0</v>
      </c>
      <c r="F81" s="68">
        <f>Assumption_Hatchery!F81</f>
        <v>1</v>
      </c>
      <c r="G81" s="73"/>
      <c r="H81" s="73"/>
      <c r="I81" s="73"/>
      <c r="J81" s="73"/>
      <c r="K81" s="73"/>
      <c r="L81" s="73"/>
      <c r="M81" s="73"/>
      <c r="N81" s="73"/>
      <c r="O81" s="73"/>
      <c r="P81" s="73"/>
      <c r="Q81" s="73"/>
      <c r="R81" s="73"/>
      <c r="S81" s="73"/>
      <c r="T81" s="73"/>
      <c r="U81" s="73"/>
      <c r="V81" s="73"/>
      <c r="W81" s="73"/>
    </row>
    <row r="82" spans="2:31" x14ac:dyDescent="0.25">
      <c r="B82" t="s">
        <v>82</v>
      </c>
      <c r="C82" s="63"/>
      <c r="D82" s="139">
        <f>Assumption_Hatchery!D82</f>
        <v>0</v>
      </c>
      <c r="E82" s="139">
        <f>Assumption_Hatchery!E82</f>
        <v>0</v>
      </c>
      <c r="F82" s="139">
        <f>Assumption_Hatchery!F82</f>
        <v>0.5</v>
      </c>
      <c r="G82" s="73"/>
      <c r="H82" s="73"/>
      <c r="I82" s="73"/>
      <c r="J82" s="73"/>
      <c r="K82" s="73"/>
      <c r="L82" s="73"/>
      <c r="M82" s="73"/>
      <c r="N82" s="73"/>
      <c r="O82" s="73"/>
      <c r="P82" s="73"/>
      <c r="Q82" s="73"/>
      <c r="R82" s="73"/>
      <c r="S82" s="73"/>
      <c r="T82" s="73"/>
      <c r="U82" s="73"/>
      <c r="V82" s="73"/>
      <c r="W82" s="73"/>
    </row>
    <row r="83" spans="2:31" x14ac:dyDescent="0.25">
      <c r="C83" s="91"/>
      <c r="D83" s="71"/>
      <c r="E83" s="71"/>
      <c r="F83" s="71"/>
      <c r="G83" s="73"/>
      <c r="H83" s="73"/>
      <c r="I83" s="73"/>
      <c r="J83" s="73"/>
      <c r="K83" s="73"/>
      <c r="L83" s="73"/>
      <c r="M83" s="73"/>
      <c r="N83" s="73"/>
      <c r="O83" s="73"/>
      <c r="P83" s="73"/>
      <c r="Q83" s="73"/>
      <c r="R83" s="73"/>
      <c r="S83" s="73"/>
      <c r="T83" s="73"/>
      <c r="U83" s="73"/>
      <c r="V83" s="73"/>
      <c r="W83" s="73"/>
    </row>
    <row r="85" spans="2:31" x14ac:dyDescent="0.25">
      <c r="B85" s="65"/>
      <c r="C85" s="16" t="s">
        <v>19</v>
      </c>
      <c r="D85" s="16">
        <v>0</v>
      </c>
      <c r="E85" s="16">
        <v>1</v>
      </c>
      <c r="F85" s="16">
        <v>2</v>
      </c>
      <c r="G85" s="16">
        <v>3</v>
      </c>
      <c r="H85" s="16">
        <v>4</v>
      </c>
      <c r="I85" s="16">
        <v>5</v>
      </c>
      <c r="J85" s="16">
        <v>6</v>
      </c>
      <c r="K85" s="16">
        <v>7</v>
      </c>
      <c r="L85" s="16">
        <v>8</v>
      </c>
      <c r="M85" s="16">
        <v>9</v>
      </c>
      <c r="N85" s="16">
        <v>10</v>
      </c>
      <c r="O85" s="16">
        <v>11</v>
      </c>
      <c r="P85" s="16">
        <v>12</v>
      </c>
      <c r="Q85" s="16">
        <v>13</v>
      </c>
      <c r="R85" s="16">
        <v>14</v>
      </c>
      <c r="S85" s="16">
        <v>15</v>
      </c>
      <c r="T85" s="16">
        <v>16</v>
      </c>
      <c r="U85" s="16">
        <v>17</v>
      </c>
      <c r="V85" s="16">
        <v>18</v>
      </c>
      <c r="W85" s="16">
        <v>19</v>
      </c>
      <c r="X85" s="16">
        <v>20</v>
      </c>
      <c r="Y85" s="16">
        <v>21</v>
      </c>
      <c r="Z85" s="16">
        <v>22</v>
      </c>
      <c r="AA85" s="16">
        <v>23</v>
      </c>
      <c r="AB85" s="16">
        <v>24</v>
      </c>
      <c r="AC85" s="16">
        <v>25</v>
      </c>
    </row>
    <row r="86" spans="2:31" x14ac:dyDescent="0.25">
      <c r="B86" t="s">
        <v>80</v>
      </c>
      <c r="C86" s="63"/>
      <c r="D86" s="63"/>
      <c r="E86" s="63">
        <f>D81</f>
        <v>0</v>
      </c>
      <c r="F86" s="63">
        <f>E81</f>
        <v>0</v>
      </c>
      <c r="G86" s="63">
        <f>F81</f>
        <v>1</v>
      </c>
      <c r="H86" s="63">
        <f>D81</f>
        <v>0</v>
      </c>
      <c r="I86" s="63">
        <f t="shared" ref="I86:J86" si="29">E81</f>
        <v>0</v>
      </c>
      <c r="J86" s="63">
        <f t="shared" si="29"/>
        <v>1</v>
      </c>
      <c r="K86" s="63">
        <f>D81</f>
        <v>0</v>
      </c>
      <c r="L86" s="63">
        <f t="shared" ref="L86:M86" si="30">E81</f>
        <v>0</v>
      </c>
      <c r="M86" s="63">
        <f t="shared" si="30"/>
        <v>1</v>
      </c>
      <c r="N86" s="63">
        <f>D81</f>
        <v>0</v>
      </c>
      <c r="O86" s="63">
        <f t="shared" ref="O86:P86" si="31">E81</f>
        <v>0</v>
      </c>
      <c r="P86" s="63">
        <f t="shared" si="31"/>
        <v>1</v>
      </c>
      <c r="Q86" s="63">
        <f>D81</f>
        <v>0</v>
      </c>
      <c r="R86" s="63">
        <f t="shared" ref="R86:S86" si="32">E81</f>
        <v>0</v>
      </c>
      <c r="S86" s="63">
        <f t="shared" si="32"/>
        <v>1</v>
      </c>
      <c r="T86" s="63">
        <f>D81</f>
        <v>0</v>
      </c>
      <c r="U86" s="63">
        <f t="shared" ref="U86:V86" si="33">E81</f>
        <v>0</v>
      </c>
      <c r="V86" s="63">
        <f t="shared" si="33"/>
        <v>1</v>
      </c>
      <c r="W86" s="63">
        <f>D81</f>
        <v>0</v>
      </c>
      <c r="X86" s="63">
        <f t="shared" ref="X86:Y86" si="34">E81</f>
        <v>0</v>
      </c>
      <c r="Y86" s="63">
        <f t="shared" si="34"/>
        <v>1</v>
      </c>
      <c r="Z86" s="63">
        <f>D81</f>
        <v>0</v>
      </c>
      <c r="AA86" s="63">
        <f t="shared" ref="AA86:AB86" si="35">E81</f>
        <v>0</v>
      </c>
      <c r="AB86" s="63">
        <f t="shared" si="35"/>
        <v>1</v>
      </c>
      <c r="AC86" s="91"/>
    </row>
    <row r="87" spans="2:31" x14ac:dyDescent="0.25">
      <c r="B87" t="s">
        <v>82</v>
      </c>
      <c r="C87" s="63"/>
      <c r="D87" s="68"/>
      <c r="E87" s="58">
        <f>$D82</f>
        <v>0</v>
      </c>
      <c r="F87" s="106">
        <f>$E82</f>
        <v>0</v>
      </c>
      <c r="G87" s="106">
        <f>$F82</f>
        <v>0.5</v>
      </c>
      <c r="H87" s="58">
        <f>$D82</f>
        <v>0</v>
      </c>
      <c r="I87" s="106">
        <f>$E82</f>
        <v>0</v>
      </c>
      <c r="J87" s="106">
        <f>$F82</f>
        <v>0.5</v>
      </c>
      <c r="K87" s="58">
        <f>$D82</f>
        <v>0</v>
      </c>
      <c r="L87" s="106">
        <f>$E82</f>
        <v>0</v>
      </c>
      <c r="M87" s="106">
        <f>$F82</f>
        <v>0.5</v>
      </c>
      <c r="N87" s="58">
        <f>$D82</f>
        <v>0</v>
      </c>
      <c r="O87" s="106">
        <f>$E82</f>
        <v>0</v>
      </c>
      <c r="P87" s="106">
        <f>$F82</f>
        <v>0.5</v>
      </c>
      <c r="Q87" s="58">
        <f>$D82</f>
        <v>0</v>
      </c>
      <c r="R87" s="106">
        <f>$E82</f>
        <v>0</v>
      </c>
      <c r="S87" s="106">
        <f>$F82</f>
        <v>0.5</v>
      </c>
      <c r="T87" s="58">
        <f>$D82</f>
        <v>0</v>
      </c>
      <c r="U87" s="106">
        <f>$E82</f>
        <v>0</v>
      </c>
      <c r="V87" s="106">
        <f>$F82</f>
        <v>0.5</v>
      </c>
      <c r="W87" s="58">
        <f>$D82</f>
        <v>0</v>
      </c>
      <c r="X87" s="106">
        <f>$E82</f>
        <v>0</v>
      </c>
      <c r="Y87" s="106">
        <f>$F82</f>
        <v>0.5</v>
      </c>
      <c r="Z87" s="58">
        <f>$D82</f>
        <v>0</v>
      </c>
      <c r="AA87" s="106">
        <f>$E82</f>
        <v>0</v>
      </c>
      <c r="AB87" s="106">
        <f>$F82</f>
        <v>0.5</v>
      </c>
      <c r="AC87" s="107"/>
      <c r="AD87" s="107"/>
      <c r="AE87" s="107"/>
    </row>
    <row r="88" spans="2:31" x14ac:dyDescent="0.25">
      <c r="C88" s="91"/>
      <c r="D88" s="71"/>
      <c r="E88" s="71"/>
      <c r="F88" s="71"/>
      <c r="G88" s="71"/>
      <c r="H88" s="71"/>
      <c r="I88" s="71"/>
      <c r="J88" s="71"/>
      <c r="K88" s="71"/>
      <c r="L88" s="71"/>
      <c r="M88" s="71"/>
      <c r="N88" s="71"/>
      <c r="O88" s="71"/>
      <c r="P88" s="71"/>
      <c r="Q88" s="71"/>
      <c r="R88" s="71"/>
      <c r="S88" s="71"/>
      <c r="T88" s="71"/>
      <c r="U88" s="71"/>
      <c r="V88" s="71"/>
      <c r="W88" s="71"/>
      <c r="X88" s="71"/>
      <c r="Y88" s="105"/>
      <c r="Z88" s="105"/>
      <c r="AA88" s="105"/>
      <c r="AB88" s="105"/>
      <c r="AC88" s="105"/>
      <c r="AD88" s="105"/>
    </row>
    <row r="89" spans="2:31" x14ac:dyDescent="0.25">
      <c r="C89" s="91"/>
      <c r="D89" s="104"/>
      <c r="E89" s="104"/>
      <c r="F89" s="104"/>
      <c r="G89" s="104"/>
      <c r="H89" s="104"/>
      <c r="I89" s="104"/>
      <c r="J89" s="104"/>
      <c r="K89" s="104"/>
      <c r="L89" s="104"/>
      <c r="M89" s="104"/>
      <c r="N89" s="104"/>
      <c r="O89" s="104"/>
      <c r="P89" s="104"/>
      <c r="Q89" s="104"/>
      <c r="R89" s="104"/>
      <c r="S89" s="104"/>
      <c r="T89" s="104"/>
      <c r="U89" s="104"/>
      <c r="V89" s="104"/>
      <c r="W89" s="104"/>
      <c r="X89" s="104"/>
    </row>
    <row r="90" spans="2:31" x14ac:dyDescent="0.25">
      <c r="C90" s="91"/>
      <c r="D90" s="104"/>
      <c r="E90" s="104"/>
      <c r="F90" s="104"/>
      <c r="G90" s="104"/>
      <c r="H90" s="104"/>
      <c r="I90" s="104"/>
      <c r="J90" s="104"/>
      <c r="K90" s="104"/>
      <c r="L90" s="104"/>
      <c r="M90" s="104"/>
      <c r="N90" s="104"/>
      <c r="O90" s="104"/>
      <c r="P90" s="104"/>
      <c r="Q90" s="104"/>
      <c r="R90" s="104"/>
      <c r="S90" s="104"/>
      <c r="T90" s="104"/>
      <c r="U90" s="104"/>
      <c r="V90" s="104"/>
      <c r="W90" s="104"/>
      <c r="X90" s="104"/>
    </row>
    <row r="91" spans="2:31" x14ac:dyDescent="0.25">
      <c r="B91" s="44" t="s">
        <v>125</v>
      </c>
      <c r="C91" s="91"/>
      <c r="D91" s="104"/>
      <c r="E91" s="104"/>
      <c r="F91" s="104"/>
      <c r="G91" s="104"/>
      <c r="H91" s="104"/>
      <c r="I91" s="104"/>
      <c r="J91" s="104"/>
      <c r="K91" s="104"/>
      <c r="L91" s="104"/>
      <c r="M91" s="104"/>
      <c r="N91" s="104"/>
      <c r="O91" s="104"/>
      <c r="P91" s="104"/>
      <c r="Q91" s="104"/>
      <c r="R91" s="104"/>
      <c r="S91" s="104"/>
      <c r="T91" s="104"/>
      <c r="U91" s="104"/>
      <c r="V91" s="104"/>
      <c r="W91" s="104"/>
      <c r="X91" s="104"/>
    </row>
    <row r="92" spans="2:31" x14ac:dyDescent="0.25">
      <c r="C92" s="91"/>
      <c r="D92" s="104"/>
      <c r="E92" s="104"/>
      <c r="F92" s="104"/>
      <c r="G92" s="104"/>
      <c r="H92" s="104"/>
      <c r="I92" s="104"/>
      <c r="J92" s="104"/>
      <c r="K92" s="104"/>
      <c r="L92" s="104"/>
      <c r="M92" s="104"/>
      <c r="N92" s="104"/>
      <c r="O92" s="104"/>
      <c r="P92" s="104"/>
      <c r="Q92" s="104"/>
      <c r="R92" s="104"/>
      <c r="S92" s="104"/>
      <c r="T92" s="104"/>
      <c r="U92" s="104"/>
      <c r="V92" s="104"/>
      <c r="W92" s="104"/>
      <c r="X92" s="104"/>
    </row>
    <row r="93" spans="2:31" ht="38.450000000000003" customHeight="1" x14ac:dyDescent="0.25">
      <c r="B93" t="s">
        <v>124</v>
      </c>
      <c r="C93" s="498" t="s">
        <v>127</v>
      </c>
      <c r="D93" s="498"/>
      <c r="E93" s="498"/>
      <c r="F93" s="498"/>
      <c r="G93" s="73"/>
      <c r="H93" s="73"/>
      <c r="I93" s="73"/>
      <c r="J93" s="73"/>
      <c r="K93" s="73"/>
      <c r="L93" s="73"/>
      <c r="M93" s="73"/>
      <c r="N93" s="73"/>
      <c r="O93" s="73"/>
      <c r="P93" s="73"/>
      <c r="Q93" s="73"/>
      <c r="R93" s="73"/>
      <c r="S93" s="73"/>
      <c r="T93" s="73"/>
      <c r="U93" s="73"/>
      <c r="V93" s="73"/>
      <c r="W93" s="73"/>
    </row>
    <row r="94" spans="2:31" x14ac:dyDescent="0.25">
      <c r="B94" s="65"/>
      <c r="C94" s="16" t="s">
        <v>19</v>
      </c>
      <c r="D94" s="16">
        <v>1</v>
      </c>
      <c r="E94" s="16">
        <v>2</v>
      </c>
      <c r="F94" s="16">
        <v>3</v>
      </c>
      <c r="G94" s="73"/>
      <c r="H94" s="73"/>
      <c r="I94" s="73"/>
      <c r="J94" s="73"/>
      <c r="K94" s="73"/>
      <c r="L94" s="73"/>
      <c r="M94" s="73"/>
      <c r="N94" s="73"/>
      <c r="O94" s="73"/>
      <c r="P94" s="73"/>
      <c r="Q94" s="73"/>
      <c r="R94" s="73"/>
      <c r="S94" s="73"/>
      <c r="T94" s="73"/>
      <c r="U94" s="73"/>
      <c r="V94" s="73"/>
      <c r="W94" s="73"/>
    </row>
    <row r="95" spans="2:31" x14ac:dyDescent="0.25">
      <c r="B95" t="s">
        <v>80</v>
      </c>
      <c r="C95" s="63"/>
      <c r="D95" s="68">
        <f>Assumption_Hatchery!D95</f>
        <v>0</v>
      </c>
      <c r="E95" s="68">
        <f>Assumption_Hatchery!E95</f>
        <v>0</v>
      </c>
      <c r="F95" s="68">
        <f>Assumption_Hatchery!F95</f>
        <v>1</v>
      </c>
      <c r="G95" s="73"/>
      <c r="H95" s="73"/>
      <c r="I95" s="73"/>
      <c r="J95" s="73"/>
      <c r="K95" s="73"/>
      <c r="L95" s="73"/>
      <c r="M95" s="73"/>
      <c r="N95" s="73"/>
      <c r="O95" s="73"/>
      <c r="P95" s="73"/>
      <c r="Q95" s="73"/>
      <c r="R95" s="73"/>
      <c r="S95" s="73"/>
      <c r="T95" s="73"/>
      <c r="U95" s="73"/>
      <c r="V95" s="73"/>
      <c r="W95" s="73"/>
    </row>
    <row r="96" spans="2:31" x14ac:dyDescent="0.25">
      <c r="B96" t="s">
        <v>82</v>
      </c>
      <c r="C96" s="63"/>
      <c r="D96" s="139">
        <f>Assumption_Hatchery!D96</f>
        <v>0</v>
      </c>
      <c r="E96" s="139">
        <f>Assumption_Hatchery!E96</f>
        <v>0</v>
      </c>
      <c r="F96" s="139">
        <f>Assumption_Hatchery!F96</f>
        <v>0.5</v>
      </c>
      <c r="G96" s="73"/>
      <c r="H96" s="73"/>
      <c r="I96" s="73"/>
      <c r="J96" s="73"/>
      <c r="K96" s="73"/>
      <c r="L96" s="73"/>
      <c r="M96" s="73"/>
      <c r="N96" s="73"/>
      <c r="O96" s="73"/>
      <c r="P96" s="73"/>
      <c r="Q96" s="73"/>
      <c r="R96" s="73"/>
      <c r="S96" s="73"/>
      <c r="T96" s="73"/>
      <c r="U96" s="73"/>
      <c r="V96" s="73"/>
      <c r="W96" s="73"/>
    </row>
    <row r="97" spans="2:31" x14ac:dyDescent="0.25">
      <c r="C97" s="91"/>
      <c r="D97" s="71"/>
      <c r="E97" s="71"/>
      <c r="F97" s="71"/>
      <c r="G97" s="73"/>
      <c r="H97" s="73"/>
      <c r="I97" s="73"/>
      <c r="J97" s="73"/>
      <c r="K97" s="73"/>
      <c r="L97" s="73"/>
      <c r="M97" s="73"/>
      <c r="N97" s="73"/>
      <c r="O97" s="73"/>
      <c r="P97" s="73"/>
      <c r="Q97" s="73"/>
      <c r="R97" s="73"/>
      <c r="S97" s="73"/>
      <c r="T97" s="73"/>
      <c r="U97" s="73"/>
      <c r="V97" s="73"/>
      <c r="W97" s="73"/>
    </row>
    <row r="99" spans="2:31" x14ac:dyDescent="0.25">
      <c r="B99" s="65"/>
      <c r="C99" s="16" t="s">
        <v>19</v>
      </c>
      <c r="D99" s="16">
        <v>0</v>
      </c>
      <c r="E99" s="16">
        <v>1</v>
      </c>
      <c r="F99" s="16">
        <v>2</v>
      </c>
      <c r="G99" s="16">
        <v>3</v>
      </c>
      <c r="H99" s="16">
        <v>4</v>
      </c>
      <c r="I99" s="16">
        <v>5</v>
      </c>
      <c r="J99" s="16">
        <v>6</v>
      </c>
      <c r="K99" s="16">
        <v>7</v>
      </c>
      <c r="L99" s="16">
        <v>8</v>
      </c>
      <c r="M99" s="16">
        <v>9</v>
      </c>
      <c r="N99" s="16">
        <v>10</v>
      </c>
      <c r="O99" s="16">
        <v>11</v>
      </c>
      <c r="P99" s="16">
        <v>12</v>
      </c>
      <c r="Q99" s="16">
        <v>13</v>
      </c>
      <c r="R99" s="16">
        <v>14</v>
      </c>
      <c r="S99" s="16">
        <v>15</v>
      </c>
      <c r="T99" s="16">
        <v>16</v>
      </c>
      <c r="U99" s="16">
        <v>17</v>
      </c>
      <c r="V99" s="16">
        <v>18</v>
      </c>
      <c r="W99" s="16">
        <v>19</v>
      </c>
      <c r="X99" s="16">
        <v>20</v>
      </c>
      <c r="Y99" s="16">
        <v>21</v>
      </c>
      <c r="Z99" s="16">
        <v>22</v>
      </c>
      <c r="AA99" s="16">
        <v>23</v>
      </c>
      <c r="AB99" s="16">
        <v>24</v>
      </c>
      <c r="AC99" s="16">
        <v>25</v>
      </c>
    </row>
    <row r="100" spans="2:31" x14ac:dyDescent="0.25">
      <c r="B100" t="s">
        <v>80</v>
      </c>
      <c r="C100" s="63"/>
      <c r="D100" s="63"/>
      <c r="E100" s="63">
        <f>D95</f>
        <v>0</v>
      </c>
      <c r="F100" s="63">
        <f>E95</f>
        <v>0</v>
      </c>
      <c r="G100" s="63">
        <f>F95</f>
        <v>1</v>
      </c>
      <c r="H100" s="63">
        <f>D95</f>
        <v>0</v>
      </c>
      <c r="I100" s="63">
        <f t="shared" ref="I100:J100" si="36">E95</f>
        <v>0</v>
      </c>
      <c r="J100" s="63">
        <f t="shared" si="36"/>
        <v>1</v>
      </c>
      <c r="K100" s="63">
        <f>D95</f>
        <v>0</v>
      </c>
      <c r="L100" s="63">
        <f t="shared" ref="L100:M100" si="37">E95</f>
        <v>0</v>
      </c>
      <c r="M100" s="63">
        <f t="shared" si="37"/>
        <v>1</v>
      </c>
      <c r="N100" s="63">
        <f>D95</f>
        <v>0</v>
      </c>
      <c r="O100" s="63">
        <f t="shared" ref="O100:P100" si="38">E95</f>
        <v>0</v>
      </c>
      <c r="P100" s="63">
        <f t="shared" si="38"/>
        <v>1</v>
      </c>
      <c r="Q100" s="63">
        <f>D95</f>
        <v>0</v>
      </c>
      <c r="R100" s="63">
        <f t="shared" ref="R100:S100" si="39">E95</f>
        <v>0</v>
      </c>
      <c r="S100" s="63">
        <f t="shared" si="39"/>
        <v>1</v>
      </c>
      <c r="T100" s="63">
        <f>D95</f>
        <v>0</v>
      </c>
      <c r="U100" s="63">
        <f t="shared" ref="U100:V100" si="40">E95</f>
        <v>0</v>
      </c>
      <c r="V100" s="63">
        <f t="shared" si="40"/>
        <v>1</v>
      </c>
      <c r="W100" s="63">
        <f>D95</f>
        <v>0</v>
      </c>
      <c r="X100" s="63">
        <f t="shared" ref="X100:Y100" si="41">E95</f>
        <v>0</v>
      </c>
      <c r="Y100" s="63">
        <f t="shared" si="41"/>
        <v>1</v>
      </c>
      <c r="Z100" s="63">
        <f>D95</f>
        <v>0</v>
      </c>
      <c r="AA100" s="63">
        <f t="shared" ref="AA100:AB100" si="42">E95</f>
        <v>0</v>
      </c>
      <c r="AB100" s="63">
        <f t="shared" si="42"/>
        <v>1</v>
      </c>
      <c r="AC100" s="91"/>
    </row>
    <row r="101" spans="2:31" x14ac:dyDescent="0.25">
      <c r="B101" t="s">
        <v>82</v>
      </c>
      <c r="C101" s="63"/>
      <c r="D101" s="68"/>
      <c r="E101" s="58">
        <f>$D96</f>
        <v>0</v>
      </c>
      <c r="F101" s="106">
        <f>$E96</f>
        <v>0</v>
      </c>
      <c r="G101" s="106">
        <f>$F96</f>
        <v>0.5</v>
      </c>
      <c r="H101" s="58">
        <f>$D96</f>
        <v>0</v>
      </c>
      <c r="I101" s="106">
        <f>$E96</f>
        <v>0</v>
      </c>
      <c r="J101" s="106">
        <f>$F96</f>
        <v>0.5</v>
      </c>
      <c r="K101" s="58">
        <f>$D96</f>
        <v>0</v>
      </c>
      <c r="L101" s="106">
        <f>$E96</f>
        <v>0</v>
      </c>
      <c r="M101" s="106">
        <f>$F96</f>
        <v>0.5</v>
      </c>
      <c r="N101" s="58">
        <f>$D96</f>
        <v>0</v>
      </c>
      <c r="O101" s="106">
        <f>$E96</f>
        <v>0</v>
      </c>
      <c r="P101" s="106">
        <f>$F96</f>
        <v>0.5</v>
      </c>
      <c r="Q101" s="58">
        <f>$D96</f>
        <v>0</v>
      </c>
      <c r="R101" s="106">
        <f>$E96</f>
        <v>0</v>
      </c>
      <c r="S101" s="106">
        <f>$F96</f>
        <v>0.5</v>
      </c>
      <c r="T101" s="58">
        <f>$D96</f>
        <v>0</v>
      </c>
      <c r="U101" s="106">
        <f>$E96</f>
        <v>0</v>
      </c>
      <c r="V101" s="106">
        <f>$F96</f>
        <v>0.5</v>
      </c>
      <c r="W101" s="58">
        <f>$D96</f>
        <v>0</v>
      </c>
      <c r="X101" s="106">
        <f>$E96</f>
        <v>0</v>
      </c>
      <c r="Y101" s="106">
        <f>$F96</f>
        <v>0.5</v>
      </c>
      <c r="Z101" s="58">
        <f>$D96</f>
        <v>0</v>
      </c>
      <c r="AA101" s="106">
        <f>$E96</f>
        <v>0</v>
      </c>
      <c r="AB101" s="106">
        <f>$F96</f>
        <v>0.5</v>
      </c>
      <c r="AC101" s="107"/>
      <c r="AD101" s="107"/>
      <c r="AE101" s="107"/>
    </row>
    <row r="102" spans="2:31" x14ac:dyDescent="0.25">
      <c r="C102" s="91"/>
      <c r="D102" s="104"/>
      <c r="E102" s="104"/>
      <c r="F102" s="104"/>
      <c r="G102" s="104"/>
      <c r="H102" s="104"/>
      <c r="I102" s="104"/>
      <c r="J102" s="104"/>
      <c r="K102" s="104"/>
      <c r="L102" s="104"/>
      <c r="M102" s="104"/>
      <c r="N102" s="104"/>
      <c r="O102" s="104"/>
      <c r="P102" s="104"/>
      <c r="Q102" s="104"/>
      <c r="R102" s="104"/>
      <c r="S102" s="104"/>
      <c r="T102" s="104"/>
      <c r="U102" s="104"/>
      <c r="V102" s="104"/>
      <c r="W102" s="104"/>
      <c r="X102" s="104"/>
    </row>
    <row r="103" spans="2:31" x14ac:dyDescent="0.25">
      <c r="B103" s="44" t="s">
        <v>126</v>
      </c>
      <c r="C103" s="91"/>
      <c r="D103" s="104"/>
      <c r="E103" s="104"/>
      <c r="F103" s="104"/>
      <c r="G103" s="104"/>
      <c r="H103" s="104"/>
      <c r="I103" s="104"/>
      <c r="J103" s="104"/>
      <c r="K103" s="104"/>
      <c r="L103" s="104"/>
      <c r="M103" s="104"/>
      <c r="N103" s="104"/>
      <c r="O103" s="104"/>
      <c r="P103" s="104"/>
      <c r="Q103" s="104"/>
      <c r="R103" s="104"/>
      <c r="S103" s="104"/>
      <c r="T103" s="104"/>
      <c r="U103" s="104"/>
      <c r="V103" s="104"/>
      <c r="W103" s="104"/>
      <c r="X103" s="104"/>
    </row>
    <row r="104" spans="2:31" x14ac:dyDescent="0.25">
      <c r="C104" s="91"/>
      <c r="D104" s="104"/>
      <c r="E104" s="104"/>
      <c r="F104" s="104"/>
      <c r="G104" s="104"/>
      <c r="H104" s="104"/>
      <c r="I104" s="104"/>
      <c r="J104" s="104"/>
      <c r="K104" s="104"/>
      <c r="L104" s="104"/>
      <c r="M104" s="104"/>
      <c r="N104" s="104"/>
      <c r="O104" s="104"/>
      <c r="P104" s="104"/>
      <c r="Q104" s="104"/>
      <c r="R104" s="104"/>
      <c r="S104" s="104"/>
      <c r="T104" s="104"/>
      <c r="U104" s="104"/>
      <c r="V104" s="104"/>
      <c r="W104" s="104"/>
      <c r="X104" s="104"/>
    </row>
    <row r="105" spans="2:31" ht="28.15" customHeight="1" x14ac:dyDescent="0.25">
      <c r="B105" t="s">
        <v>124</v>
      </c>
      <c r="C105" s="498" t="s">
        <v>127</v>
      </c>
      <c r="D105" s="498"/>
      <c r="E105" s="498"/>
      <c r="F105" s="498"/>
      <c r="G105" s="73"/>
      <c r="H105" s="73"/>
      <c r="I105" s="73"/>
      <c r="J105" s="73"/>
      <c r="K105" s="73"/>
      <c r="L105" s="73"/>
      <c r="M105" s="73"/>
      <c r="N105" s="73"/>
      <c r="O105" s="73"/>
      <c r="P105" s="73"/>
      <c r="Q105" s="73"/>
      <c r="R105" s="73"/>
      <c r="S105" s="73"/>
      <c r="T105" s="73"/>
      <c r="U105" s="73"/>
      <c r="V105" s="73"/>
      <c r="W105" s="73"/>
    </row>
    <row r="106" spans="2:31" x14ac:dyDescent="0.25">
      <c r="B106" s="65"/>
      <c r="C106" s="16" t="s">
        <v>19</v>
      </c>
      <c r="D106" s="16">
        <v>1</v>
      </c>
      <c r="E106" s="16">
        <v>2</v>
      </c>
      <c r="F106" s="16">
        <v>3</v>
      </c>
      <c r="G106" s="73"/>
      <c r="H106" s="73"/>
      <c r="I106" s="73"/>
      <c r="J106" s="73"/>
      <c r="K106" s="73"/>
      <c r="L106" s="73"/>
      <c r="M106" s="73"/>
      <c r="N106" s="73"/>
      <c r="O106" s="73"/>
      <c r="P106" s="73"/>
      <c r="Q106" s="73"/>
      <c r="R106" s="73"/>
      <c r="S106" s="73"/>
      <c r="T106" s="73"/>
      <c r="U106" s="73"/>
      <c r="V106" s="73"/>
      <c r="W106" s="73"/>
    </row>
    <row r="107" spans="2:31" x14ac:dyDescent="0.25">
      <c r="B107" t="s">
        <v>80</v>
      </c>
      <c r="C107" s="63"/>
      <c r="D107" s="68">
        <f>Assumption_Hatchery!D107</f>
        <v>0</v>
      </c>
      <c r="E107" s="68">
        <f>Assumption_Hatchery!E107</f>
        <v>0</v>
      </c>
      <c r="F107" s="68">
        <f>Assumption_Hatchery!F107</f>
        <v>1</v>
      </c>
      <c r="G107" s="73"/>
      <c r="H107" s="73"/>
      <c r="I107" s="73"/>
      <c r="J107" s="73"/>
      <c r="K107" s="73"/>
      <c r="L107" s="73"/>
      <c r="M107" s="73"/>
      <c r="N107" s="73"/>
      <c r="O107" s="73"/>
      <c r="P107" s="73"/>
      <c r="Q107" s="73"/>
      <c r="R107" s="73"/>
      <c r="S107" s="73"/>
      <c r="T107" s="73"/>
      <c r="U107" s="73"/>
      <c r="V107" s="73"/>
      <c r="W107" s="73"/>
    </row>
    <row r="108" spans="2:31" x14ac:dyDescent="0.25">
      <c r="B108" t="s">
        <v>82</v>
      </c>
      <c r="C108" s="63"/>
      <c r="D108" s="139">
        <f>Assumption_Hatchery!D108</f>
        <v>0</v>
      </c>
      <c r="E108" s="139">
        <f>Assumption_Hatchery!E108</f>
        <v>0</v>
      </c>
      <c r="F108" s="139">
        <f>Assumption_Hatchery!F108</f>
        <v>0.5</v>
      </c>
      <c r="G108" s="73"/>
      <c r="H108" s="73"/>
      <c r="I108" s="73"/>
      <c r="J108" s="73"/>
      <c r="K108" s="73"/>
      <c r="L108" s="73"/>
      <c r="M108" s="73"/>
      <c r="N108" s="73"/>
      <c r="O108" s="73"/>
      <c r="P108" s="73"/>
      <c r="Q108" s="73"/>
      <c r="R108" s="73"/>
      <c r="S108" s="73"/>
      <c r="T108" s="73"/>
      <c r="U108" s="73"/>
      <c r="V108" s="73"/>
      <c r="W108" s="73"/>
    </row>
    <row r="109" spans="2:31" x14ac:dyDescent="0.25">
      <c r="C109" s="91"/>
      <c r="D109" s="71"/>
      <c r="E109" s="71"/>
      <c r="F109" s="71"/>
      <c r="G109" s="73"/>
      <c r="H109" s="73"/>
      <c r="I109" s="73"/>
      <c r="J109" s="73"/>
      <c r="K109" s="73"/>
      <c r="L109" s="73"/>
      <c r="M109" s="73"/>
      <c r="N109" s="73"/>
      <c r="O109" s="73"/>
      <c r="P109" s="73"/>
      <c r="Q109" s="73"/>
      <c r="R109" s="73"/>
      <c r="S109" s="73"/>
      <c r="T109" s="73"/>
      <c r="U109" s="73"/>
      <c r="V109" s="73"/>
      <c r="W109" s="73"/>
    </row>
    <row r="111" spans="2:31" x14ac:dyDescent="0.25">
      <c r="B111" s="65"/>
      <c r="C111" s="16" t="s">
        <v>19</v>
      </c>
      <c r="D111" s="16">
        <v>0</v>
      </c>
      <c r="E111" s="16">
        <v>1</v>
      </c>
      <c r="F111" s="16">
        <v>2</v>
      </c>
      <c r="G111" s="16">
        <v>3</v>
      </c>
      <c r="H111" s="16">
        <v>4</v>
      </c>
      <c r="I111" s="16">
        <v>5</v>
      </c>
      <c r="J111" s="16">
        <v>6</v>
      </c>
      <c r="K111" s="16">
        <v>7</v>
      </c>
      <c r="L111" s="16">
        <v>8</v>
      </c>
      <c r="M111" s="16">
        <v>9</v>
      </c>
      <c r="N111" s="16">
        <v>10</v>
      </c>
      <c r="O111" s="16">
        <v>11</v>
      </c>
      <c r="P111" s="16">
        <v>12</v>
      </c>
      <c r="Q111" s="16">
        <v>13</v>
      </c>
      <c r="R111" s="16">
        <v>14</v>
      </c>
      <c r="S111" s="16">
        <v>15</v>
      </c>
      <c r="T111" s="16">
        <v>16</v>
      </c>
      <c r="U111" s="16">
        <v>17</v>
      </c>
      <c r="V111" s="16">
        <v>18</v>
      </c>
      <c r="W111" s="16">
        <v>19</v>
      </c>
      <c r="X111" s="16">
        <v>20</v>
      </c>
      <c r="Y111" s="16">
        <v>21</v>
      </c>
      <c r="Z111" s="16">
        <v>22</v>
      </c>
      <c r="AA111" s="16">
        <v>23</v>
      </c>
      <c r="AB111" s="16">
        <v>24</v>
      </c>
      <c r="AC111" s="15"/>
    </row>
    <row r="112" spans="2:31" x14ac:dyDescent="0.25">
      <c r="B112" t="s">
        <v>80</v>
      </c>
      <c r="C112" s="63"/>
      <c r="D112" s="63"/>
      <c r="E112" s="63">
        <f>D107</f>
        <v>0</v>
      </c>
      <c r="F112" s="63">
        <f>E107</f>
        <v>0</v>
      </c>
      <c r="G112" s="63">
        <f>F107</f>
        <v>1</v>
      </c>
      <c r="H112" s="63">
        <f>D107</f>
        <v>0</v>
      </c>
      <c r="I112" s="63">
        <f t="shared" ref="I112:J112" si="43">E107</f>
        <v>0</v>
      </c>
      <c r="J112" s="63">
        <f t="shared" si="43"/>
        <v>1</v>
      </c>
      <c r="K112" s="63">
        <f>D107</f>
        <v>0</v>
      </c>
      <c r="L112" s="63">
        <f t="shared" ref="L112:M112" si="44">E107</f>
        <v>0</v>
      </c>
      <c r="M112" s="63">
        <f t="shared" si="44"/>
        <v>1</v>
      </c>
      <c r="N112" s="63">
        <f>D107</f>
        <v>0</v>
      </c>
      <c r="O112" s="63">
        <f t="shared" ref="O112:P112" si="45">E107</f>
        <v>0</v>
      </c>
      <c r="P112" s="63">
        <f t="shared" si="45"/>
        <v>1</v>
      </c>
      <c r="Q112" s="63">
        <f>D107</f>
        <v>0</v>
      </c>
      <c r="R112" s="63">
        <f t="shared" ref="R112:S112" si="46">E107</f>
        <v>0</v>
      </c>
      <c r="S112" s="63">
        <f t="shared" si="46"/>
        <v>1</v>
      </c>
      <c r="T112" s="63">
        <f>D107</f>
        <v>0</v>
      </c>
      <c r="U112" s="63">
        <f t="shared" ref="U112:V112" si="47">E107</f>
        <v>0</v>
      </c>
      <c r="V112" s="63">
        <f t="shared" si="47"/>
        <v>1</v>
      </c>
      <c r="W112" s="63">
        <f>D107</f>
        <v>0</v>
      </c>
      <c r="X112" s="63">
        <f t="shared" ref="X112:Y112" si="48">E107</f>
        <v>0</v>
      </c>
      <c r="Y112" s="63">
        <f t="shared" si="48"/>
        <v>1</v>
      </c>
      <c r="Z112" s="63">
        <f>D107</f>
        <v>0</v>
      </c>
      <c r="AA112" s="63">
        <f t="shared" ref="AA112:AB112" si="49">E107</f>
        <v>0</v>
      </c>
      <c r="AB112" s="63">
        <f t="shared" si="49"/>
        <v>1</v>
      </c>
      <c r="AC112" s="91"/>
    </row>
    <row r="113" spans="1:31" x14ac:dyDescent="0.25">
      <c r="B113" t="s">
        <v>82</v>
      </c>
      <c r="C113" s="63"/>
      <c r="D113" s="68"/>
      <c r="E113" s="58">
        <f>$D108</f>
        <v>0</v>
      </c>
      <c r="F113" s="106">
        <f>$E108</f>
        <v>0</v>
      </c>
      <c r="G113" s="106">
        <f>$F108</f>
        <v>0.5</v>
      </c>
      <c r="H113" s="58">
        <f>$D108</f>
        <v>0</v>
      </c>
      <c r="I113" s="106">
        <f>$E108</f>
        <v>0</v>
      </c>
      <c r="J113" s="106">
        <f>$F108</f>
        <v>0.5</v>
      </c>
      <c r="K113" s="58">
        <f>$D108</f>
        <v>0</v>
      </c>
      <c r="L113" s="106">
        <f>$E108</f>
        <v>0</v>
      </c>
      <c r="M113" s="106">
        <f>$F108</f>
        <v>0.5</v>
      </c>
      <c r="N113" s="58">
        <f>$D108</f>
        <v>0</v>
      </c>
      <c r="O113" s="106">
        <f>$E108</f>
        <v>0</v>
      </c>
      <c r="P113" s="106">
        <f>$F108</f>
        <v>0.5</v>
      </c>
      <c r="Q113" s="58">
        <f>$D108</f>
        <v>0</v>
      </c>
      <c r="R113" s="106">
        <f>$E108</f>
        <v>0</v>
      </c>
      <c r="S113" s="106">
        <f>$F108</f>
        <v>0.5</v>
      </c>
      <c r="T113" s="58">
        <f>$D108</f>
        <v>0</v>
      </c>
      <c r="U113" s="106">
        <f>$E108</f>
        <v>0</v>
      </c>
      <c r="V113" s="106">
        <f>$F108</f>
        <v>0.5</v>
      </c>
      <c r="W113" s="58">
        <f>$D108</f>
        <v>0</v>
      </c>
      <c r="X113" s="106">
        <f>$E108</f>
        <v>0</v>
      </c>
      <c r="Y113" s="106">
        <f>$F108</f>
        <v>0.5</v>
      </c>
      <c r="Z113" s="58">
        <f>$D108</f>
        <v>0</v>
      </c>
      <c r="AA113" s="106">
        <f>$E108</f>
        <v>0</v>
      </c>
      <c r="AB113" s="106">
        <f>$F108</f>
        <v>0.5</v>
      </c>
      <c r="AC113" s="107"/>
      <c r="AD113" s="107"/>
      <c r="AE113" s="107"/>
    </row>
    <row r="114" spans="1:31" x14ac:dyDescent="0.25">
      <c r="C114" s="91"/>
      <c r="D114" s="104"/>
      <c r="E114" s="104"/>
      <c r="F114" s="104"/>
      <c r="G114" s="104"/>
      <c r="H114" s="104"/>
      <c r="I114" s="104"/>
      <c r="J114" s="104"/>
      <c r="K114" s="104"/>
      <c r="L114" s="104"/>
      <c r="M114" s="104"/>
      <c r="N114" s="104"/>
      <c r="O114" s="104"/>
      <c r="P114" s="104"/>
      <c r="Q114" s="104"/>
      <c r="R114" s="104"/>
      <c r="S114" s="104"/>
      <c r="T114" s="104"/>
      <c r="U114" s="104"/>
      <c r="V114" s="104"/>
      <c r="W114" s="104"/>
      <c r="X114" s="104"/>
    </row>
    <row r="115" spans="1:31" ht="15.75" x14ac:dyDescent="0.25">
      <c r="A115" s="63">
        <v>6</v>
      </c>
      <c r="B115" s="340" t="s">
        <v>341</v>
      </c>
      <c r="C115" s="91"/>
      <c r="D115" s="104"/>
      <c r="E115" s="104"/>
      <c r="F115" s="104"/>
      <c r="G115" s="104"/>
      <c r="H115" s="104"/>
      <c r="I115" s="104"/>
      <c r="J115" s="104"/>
      <c r="K115" s="104"/>
      <c r="L115" s="104"/>
      <c r="M115" s="104"/>
      <c r="N115" s="104"/>
      <c r="O115" s="104"/>
      <c r="P115" s="104"/>
      <c r="Q115" s="104"/>
      <c r="R115" s="104"/>
      <c r="S115" s="104"/>
      <c r="T115" s="104"/>
      <c r="U115" s="104"/>
      <c r="V115" s="104"/>
      <c r="W115" s="104"/>
      <c r="X115" s="104"/>
    </row>
    <row r="116" spans="1:31" x14ac:dyDescent="0.25">
      <c r="C116" s="91"/>
      <c r="D116" s="104"/>
      <c r="E116" s="104"/>
      <c r="F116" s="104"/>
      <c r="G116" s="104"/>
      <c r="H116" s="104"/>
      <c r="I116" s="104"/>
      <c r="J116" s="104"/>
      <c r="K116" s="104"/>
      <c r="L116" s="104"/>
      <c r="M116" s="104"/>
      <c r="N116" s="104"/>
      <c r="O116" s="104"/>
      <c r="P116" s="104"/>
      <c r="Q116" s="104"/>
      <c r="R116" s="104"/>
      <c r="S116" s="104"/>
      <c r="T116" s="104"/>
      <c r="U116" s="104"/>
      <c r="V116" s="104"/>
      <c r="W116" s="104"/>
      <c r="X116" s="104"/>
    </row>
    <row r="117" spans="1:31" x14ac:dyDescent="0.25">
      <c r="C117" s="91"/>
      <c r="D117" s="104"/>
      <c r="E117" s="104"/>
      <c r="F117" s="104"/>
      <c r="G117" s="104"/>
      <c r="H117" s="104"/>
      <c r="I117" s="104"/>
      <c r="J117" s="104"/>
      <c r="K117" s="104"/>
      <c r="L117" s="104"/>
      <c r="M117" s="104"/>
      <c r="N117" s="104"/>
      <c r="O117" s="104"/>
      <c r="P117" s="104"/>
      <c r="Q117" s="104"/>
      <c r="R117" s="104"/>
      <c r="S117" s="104"/>
      <c r="T117" s="104"/>
      <c r="U117" s="104"/>
      <c r="V117" s="104"/>
      <c r="W117" s="104"/>
      <c r="X117" s="104"/>
    </row>
    <row r="118" spans="1:31" x14ac:dyDescent="0.25">
      <c r="B118" s="17" t="s">
        <v>3</v>
      </c>
      <c r="C118" s="13" t="s">
        <v>4</v>
      </c>
      <c r="D118" s="20" t="s">
        <v>5</v>
      </c>
      <c r="E118" s="484" t="s">
        <v>6</v>
      </c>
      <c r="F118" s="484"/>
      <c r="G118" s="484"/>
      <c r="H118" s="484"/>
      <c r="J118" s="104"/>
      <c r="K118" s="104"/>
      <c r="L118" s="104"/>
      <c r="M118" s="104"/>
      <c r="N118" s="104"/>
      <c r="O118" s="104"/>
      <c r="P118" s="104"/>
      <c r="Q118" s="104"/>
      <c r="R118" s="104"/>
      <c r="S118" s="104"/>
      <c r="T118" s="104"/>
      <c r="U118" s="104"/>
      <c r="V118" s="104"/>
      <c r="W118" s="104"/>
      <c r="X118" s="104"/>
    </row>
    <row r="119" spans="1:31" x14ac:dyDescent="0.25">
      <c r="B119" s="2" t="s">
        <v>64</v>
      </c>
      <c r="C119" s="191">
        <f>(C132/C170)*(1-0.15)</f>
        <v>95.625</v>
      </c>
      <c r="D119" s="28" t="s">
        <v>194</v>
      </c>
      <c r="E119" s="500" t="s">
        <v>165</v>
      </c>
      <c r="F119" s="500"/>
      <c r="G119" s="500"/>
      <c r="H119" s="500"/>
      <c r="J119" s="104"/>
      <c r="K119" s="104"/>
      <c r="L119" s="104"/>
      <c r="M119" s="104"/>
      <c r="N119" s="104"/>
      <c r="O119" s="104"/>
      <c r="P119" s="104"/>
      <c r="Q119" s="104"/>
      <c r="R119" s="104"/>
      <c r="S119" s="104"/>
      <c r="T119" s="104"/>
      <c r="U119" s="104"/>
      <c r="V119" s="104"/>
      <c r="W119" s="104"/>
      <c r="X119" s="104"/>
    </row>
    <row r="120" spans="1:31" x14ac:dyDescent="0.25">
      <c r="B120" s="2" t="s">
        <v>65</v>
      </c>
      <c r="C120" s="140">
        <v>4.2</v>
      </c>
      <c r="D120" s="28" t="s">
        <v>66</v>
      </c>
      <c r="E120" s="500"/>
      <c r="F120" s="500"/>
      <c r="G120" s="500"/>
      <c r="H120" s="500"/>
      <c r="J120" s="104"/>
      <c r="K120" s="104"/>
      <c r="L120" s="104"/>
      <c r="M120" s="104"/>
      <c r="N120" s="104"/>
      <c r="O120" s="104"/>
      <c r="P120" s="104"/>
      <c r="Q120" s="104"/>
      <c r="R120" s="104"/>
      <c r="S120" s="104"/>
      <c r="T120" s="104"/>
      <c r="U120" s="104"/>
      <c r="V120" s="104"/>
      <c r="W120" s="104"/>
      <c r="X120" s="104"/>
    </row>
    <row r="121" spans="1:31" x14ac:dyDescent="0.25">
      <c r="B121" s="2" t="s">
        <v>60</v>
      </c>
      <c r="C121" s="114">
        <v>0.01</v>
      </c>
      <c r="D121" s="27" t="s">
        <v>16</v>
      </c>
      <c r="E121" s="500"/>
      <c r="F121" s="500"/>
      <c r="G121" s="500"/>
      <c r="H121" s="500"/>
      <c r="J121" s="104"/>
      <c r="K121" s="104"/>
      <c r="L121" s="104"/>
      <c r="M121" s="104"/>
      <c r="N121" s="104"/>
      <c r="O121" s="104"/>
      <c r="P121" s="104"/>
      <c r="Q121" s="104"/>
      <c r="R121" s="104"/>
      <c r="S121" s="104"/>
      <c r="T121" s="104"/>
      <c r="U121" s="104"/>
      <c r="V121" s="104"/>
      <c r="W121" s="104"/>
      <c r="X121" s="104"/>
    </row>
    <row r="122" spans="1:31" x14ac:dyDescent="0.25">
      <c r="J122" s="104"/>
      <c r="K122" s="104"/>
      <c r="L122" s="104"/>
      <c r="M122" s="104"/>
      <c r="N122" s="104"/>
      <c r="O122" s="104"/>
      <c r="P122" s="104"/>
      <c r="Q122" s="104"/>
      <c r="R122" s="104"/>
      <c r="S122" s="104"/>
      <c r="T122" s="104"/>
      <c r="U122" s="104"/>
      <c r="V122" s="104"/>
      <c r="W122" s="104"/>
      <c r="X122" s="104"/>
    </row>
    <row r="123" spans="1:31" x14ac:dyDescent="0.25">
      <c r="J123" s="104"/>
      <c r="K123" s="104"/>
      <c r="L123" s="104"/>
      <c r="M123" s="104"/>
      <c r="N123" s="104"/>
      <c r="O123" s="104"/>
      <c r="P123" s="104"/>
      <c r="Q123" s="104"/>
      <c r="R123" s="104"/>
      <c r="S123" s="104"/>
      <c r="T123" s="104"/>
      <c r="U123" s="104"/>
      <c r="V123" s="104"/>
      <c r="W123" s="104"/>
      <c r="X123" s="104"/>
    </row>
    <row r="124" spans="1:31" x14ac:dyDescent="0.25">
      <c r="B124" s="17" t="s">
        <v>10</v>
      </c>
      <c r="C124" s="14" t="s">
        <v>4</v>
      </c>
      <c r="D124" s="21" t="s">
        <v>5</v>
      </c>
      <c r="E124" s="474" t="s">
        <v>6</v>
      </c>
      <c r="F124" s="474"/>
      <c r="G124" s="474"/>
      <c r="H124" s="474"/>
      <c r="J124" s="104"/>
      <c r="K124" s="104"/>
      <c r="L124" s="104"/>
      <c r="M124" s="104"/>
      <c r="N124" s="104"/>
      <c r="O124" s="104"/>
      <c r="P124" s="104"/>
      <c r="Q124" s="104"/>
      <c r="R124" s="104"/>
      <c r="S124" s="104"/>
      <c r="T124" s="104"/>
      <c r="U124" s="104"/>
      <c r="V124" s="104"/>
      <c r="W124" s="104"/>
      <c r="X124" s="104"/>
    </row>
    <row r="125" spans="1:31" x14ac:dyDescent="0.25">
      <c r="B125" s="2" t="s">
        <v>67</v>
      </c>
      <c r="C125" s="140">
        <v>300</v>
      </c>
      <c r="D125" s="28" t="s">
        <v>9</v>
      </c>
      <c r="E125" s="481" t="s">
        <v>11</v>
      </c>
      <c r="F125" s="482"/>
      <c r="G125" s="482"/>
      <c r="H125" s="483"/>
      <c r="J125" s="104"/>
      <c r="K125" s="104"/>
      <c r="L125" s="104"/>
      <c r="M125" s="104"/>
      <c r="N125" s="104"/>
      <c r="O125" s="104"/>
      <c r="P125" s="104"/>
      <c r="Q125" s="104"/>
      <c r="R125" s="104"/>
      <c r="S125" s="104"/>
      <c r="T125" s="104"/>
      <c r="U125" s="104"/>
      <c r="V125" s="104"/>
      <c r="W125" s="104"/>
      <c r="X125" s="104"/>
    </row>
    <row r="126" spans="1:31" x14ac:dyDescent="0.25">
      <c r="B126" s="2" t="s">
        <v>68</v>
      </c>
      <c r="C126" s="151">
        <f>C132*C134</f>
        <v>39.375000000000007</v>
      </c>
      <c r="D126" s="28" t="s">
        <v>45</v>
      </c>
      <c r="E126" s="481" t="s">
        <v>161</v>
      </c>
      <c r="F126" s="482"/>
      <c r="G126" s="482"/>
      <c r="H126" s="483"/>
      <c r="J126" s="104"/>
      <c r="K126" s="104"/>
      <c r="L126" s="104"/>
      <c r="M126" s="104"/>
      <c r="N126" s="104"/>
      <c r="O126" s="104"/>
      <c r="P126" s="104"/>
      <c r="Q126" s="104"/>
      <c r="R126" s="104"/>
      <c r="S126" s="104"/>
      <c r="T126" s="104"/>
      <c r="U126" s="104"/>
      <c r="V126" s="104"/>
      <c r="W126" s="104"/>
      <c r="X126" s="104"/>
    </row>
    <row r="127" spans="1:31" x14ac:dyDescent="0.25">
      <c r="B127" s="2" t="s">
        <v>63</v>
      </c>
      <c r="C127" s="112">
        <v>140</v>
      </c>
      <c r="D127" s="28" t="s">
        <v>45</v>
      </c>
      <c r="E127" s="481" t="s">
        <v>161</v>
      </c>
      <c r="F127" s="482"/>
      <c r="G127" s="482"/>
      <c r="H127" s="483"/>
      <c r="J127" s="104"/>
      <c r="K127" s="104"/>
      <c r="L127" s="104"/>
      <c r="M127" s="104"/>
      <c r="N127" s="104"/>
      <c r="O127" s="104"/>
      <c r="P127" s="104"/>
      <c r="Q127" s="104"/>
      <c r="R127" s="104"/>
      <c r="S127" s="104"/>
      <c r="T127" s="104"/>
      <c r="U127" s="104"/>
      <c r="V127" s="104"/>
      <c r="W127" s="104"/>
      <c r="X127" s="104"/>
    </row>
    <row r="128" spans="1:31" x14ac:dyDescent="0.25">
      <c r="B128" s="2" t="s">
        <v>34</v>
      </c>
      <c r="C128" s="112">
        <v>150</v>
      </c>
      <c r="D128" s="28" t="s">
        <v>45</v>
      </c>
      <c r="E128" s="481" t="s">
        <v>161</v>
      </c>
      <c r="F128" s="482"/>
      <c r="G128" s="482"/>
      <c r="H128" s="483"/>
      <c r="J128" s="104"/>
      <c r="K128" s="104"/>
      <c r="L128" s="104"/>
      <c r="M128" s="104"/>
      <c r="N128" s="104"/>
      <c r="O128" s="104"/>
      <c r="P128" s="104"/>
      <c r="Q128" s="104"/>
      <c r="R128" s="104"/>
      <c r="S128" s="104"/>
      <c r="T128" s="104"/>
      <c r="U128" s="104"/>
      <c r="V128" s="104"/>
      <c r="W128" s="104"/>
      <c r="X128" s="104"/>
    </row>
    <row r="129" spans="1:24" x14ac:dyDescent="0.25">
      <c r="B129" s="9" t="s">
        <v>15</v>
      </c>
      <c r="C129" s="102">
        <v>0.24</v>
      </c>
      <c r="D129" s="27" t="s">
        <v>16</v>
      </c>
      <c r="E129" s="490" t="s">
        <v>17</v>
      </c>
      <c r="F129" s="490"/>
      <c r="G129" s="490"/>
      <c r="H129" s="490"/>
      <c r="J129" s="104"/>
      <c r="K129" s="104"/>
      <c r="L129" s="104"/>
      <c r="M129" s="104"/>
      <c r="N129" s="104"/>
      <c r="O129" s="104"/>
      <c r="P129" s="104"/>
      <c r="Q129" s="104"/>
      <c r="R129" s="104"/>
      <c r="S129" s="104"/>
      <c r="T129" s="104"/>
      <c r="U129" s="104"/>
      <c r="V129" s="104"/>
      <c r="W129" s="104"/>
      <c r="X129" s="104"/>
    </row>
    <row r="130" spans="1:24" x14ac:dyDescent="0.25">
      <c r="B130" s="9"/>
      <c r="C130" s="134"/>
      <c r="D130" s="27"/>
      <c r="E130" s="501" t="s">
        <v>202</v>
      </c>
      <c r="F130" s="502"/>
      <c r="G130" s="502"/>
      <c r="H130" s="503"/>
      <c r="J130" s="104"/>
      <c r="K130" s="104"/>
      <c r="L130" s="104"/>
      <c r="M130" s="104"/>
      <c r="N130" s="104"/>
      <c r="O130" s="104"/>
      <c r="P130" s="104"/>
      <c r="Q130" s="104"/>
      <c r="R130" s="104"/>
      <c r="S130" s="104"/>
      <c r="T130" s="104"/>
      <c r="U130" s="104"/>
      <c r="V130" s="104"/>
      <c r="W130" s="104"/>
      <c r="X130" s="104"/>
    </row>
    <row r="131" spans="1:24" x14ac:dyDescent="0.25">
      <c r="B131" s="10"/>
      <c r="C131" s="62"/>
      <c r="D131" s="100"/>
      <c r="E131" s="101"/>
      <c r="F131" s="101"/>
      <c r="G131" s="101"/>
      <c r="H131" s="101"/>
      <c r="J131" s="104"/>
      <c r="K131" s="104"/>
      <c r="L131" s="104"/>
      <c r="M131" s="104"/>
      <c r="N131" s="104"/>
      <c r="O131" s="104"/>
      <c r="P131" s="104"/>
      <c r="Q131" s="104"/>
      <c r="R131" s="104"/>
      <c r="S131" s="104"/>
      <c r="T131" s="104"/>
      <c r="U131" s="104"/>
      <c r="V131" s="104"/>
      <c r="W131" s="104"/>
      <c r="X131" s="104"/>
    </row>
    <row r="132" spans="1:24" x14ac:dyDescent="0.25">
      <c r="B132" s="9" t="s">
        <v>145</v>
      </c>
      <c r="C132" s="150">
        <v>1125</v>
      </c>
      <c r="D132" s="27" t="s">
        <v>201</v>
      </c>
      <c r="E132" s="541"/>
      <c r="F132" s="541"/>
      <c r="G132" s="541"/>
      <c r="H132" s="541"/>
      <c r="I132" s="541"/>
      <c r="J132" s="104"/>
      <c r="K132" s="104"/>
      <c r="L132" s="104"/>
      <c r="M132" s="104"/>
      <c r="N132" s="104"/>
      <c r="O132" s="104"/>
      <c r="P132" s="104"/>
      <c r="Q132" s="104"/>
      <c r="R132" s="104"/>
      <c r="S132" s="104"/>
      <c r="T132" s="104"/>
      <c r="U132" s="104"/>
      <c r="V132" s="104"/>
      <c r="W132" s="104"/>
      <c r="X132" s="104"/>
    </row>
    <row r="133" spans="1:24" x14ac:dyDescent="0.25">
      <c r="B133" s="115" t="s">
        <v>147</v>
      </c>
      <c r="C133" s="148">
        <v>2</v>
      </c>
      <c r="D133" s="27" t="s">
        <v>14</v>
      </c>
      <c r="E133" s="541"/>
      <c r="F133" s="541"/>
      <c r="G133" s="541"/>
      <c r="H133" s="541"/>
      <c r="I133" s="541"/>
      <c r="J133" s="104"/>
      <c r="K133" s="104"/>
      <c r="L133" s="104"/>
      <c r="M133" s="104"/>
      <c r="N133" s="104"/>
      <c r="O133" s="104"/>
      <c r="P133" s="104"/>
      <c r="Q133" s="104"/>
      <c r="R133" s="104"/>
      <c r="S133" s="104"/>
      <c r="T133" s="104"/>
      <c r="U133" s="104"/>
      <c r="V133" s="104"/>
      <c r="W133" s="104"/>
      <c r="X133" s="104"/>
    </row>
    <row r="134" spans="1:24" x14ac:dyDescent="0.25">
      <c r="B134" s="9" t="s">
        <v>148</v>
      </c>
      <c r="C134" s="150">
        <f>Assumption_Nursery!D152</f>
        <v>3.5000000000000003E-2</v>
      </c>
      <c r="D134" s="27"/>
      <c r="E134" s="101"/>
      <c r="F134" s="101"/>
      <c r="G134" s="101"/>
      <c r="H134" s="101"/>
      <c r="J134" s="104"/>
      <c r="K134" s="104"/>
      <c r="L134" s="104"/>
      <c r="M134" s="104"/>
      <c r="N134" s="104"/>
      <c r="O134" s="104"/>
      <c r="P134" s="104"/>
      <c r="Q134" s="104"/>
      <c r="R134" s="104"/>
      <c r="S134" s="104"/>
      <c r="T134" s="104"/>
      <c r="U134" s="104"/>
      <c r="V134" s="104"/>
      <c r="W134" s="104"/>
      <c r="X134" s="104"/>
    </row>
    <row r="135" spans="1:24" x14ac:dyDescent="0.25">
      <c r="C135" s="71"/>
      <c r="D135" s="73"/>
      <c r="E135" s="89"/>
      <c r="F135" s="89"/>
      <c r="G135" s="73"/>
      <c r="H135" s="73"/>
      <c r="I135" s="73"/>
      <c r="J135" s="73"/>
      <c r="K135" s="73"/>
      <c r="L135" s="73"/>
      <c r="M135" s="73"/>
      <c r="N135" s="73"/>
      <c r="O135" s="73"/>
      <c r="P135" s="73"/>
      <c r="Q135" s="73"/>
      <c r="R135" s="73"/>
      <c r="S135" s="73"/>
      <c r="T135" s="73"/>
      <c r="U135" s="73"/>
      <c r="V135" s="73"/>
      <c r="W135" s="73"/>
    </row>
    <row r="136" spans="1:24" x14ac:dyDescent="0.25">
      <c r="A136" s="63">
        <v>7</v>
      </c>
      <c r="B136" s="44" t="s">
        <v>313</v>
      </c>
      <c r="C136" s="73"/>
      <c r="D136" s="89"/>
      <c r="E136" s="73"/>
      <c r="F136" s="73"/>
      <c r="G136" s="73"/>
      <c r="H136" s="73"/>
      <c r="P136" s="73"/>
      <c r="U136" s="73"/>
      <c r="V136" s="73"/>
      <c r="W136" s="73"/>
    </row>
    <row r="137" spans="1:24" x14ac:dyDescent="0.25">
      <c r="A137" s="91"/>
      <c r="B137" s="44"/>
      <c r="C137" s="73"/>
      <c r="D137" s="89"/>
      <c r="E137" s="73"/>
      <c r="F137" s="73"/>
      <c r="G137" s="73"/>
      <c r="H137" s="73"/>
      <c r="P137" s="73"/>
      <c r="U137" s="73"/>
      <c r="V137" s="73"/>
      <c r="W137" s="73"/>
    </row>
    <row r="138" spans="1:24" x14ac:dyDescent="0.25">
      <c r="A138" s="91"/>
      <c r="B138" s="347" t="s">
        <v>239</v>
      </c>
      <c r="C138" s="348"/>
      <c r="D138" s="349"/>
      <c r="E138" s="73"/>
      <c r="F138" s="73"/>
      <c r="G138" s="73"/>
      <c r="H138" s="73"/>
      <c r="P138" s="73"/>
      <c r="U138" s="73"/>
      <c r="V138" s="73"/>
      <c r="W138" s="73"/>
    </row>
    <row r="139" spans="1:24" x14ac:dyDescent="0.25">
      <c r="A139" s="91"/>
      <c r="B139" s="388"/>
      <c r="C139" s="219" t="s">
        <v>240</v>
      </c>
      <c r="D139" s="383"/>
      <c r="E139" s="73"/>
      <c r="F139" s="73"/>
      <c r="G139" s="73"/>
      <c r="H139" s="73"/>
      <c r="P139" s="73"/>
      <c r="U139" s="73"/>
      <c r="V139" s="73"/>
      <c r="W139" s="73"/>
    </row>
    <row r="140" spans="1:24" x14ac:dyDescent="0.25">
      <c r="A140" s="91"/>
      <c r="B140" s="2" t="s">
        <v>58</v>
      </c>
      <c r="C140" s="220">
        <v>1</v>
      </c>
      <c r="D140" s="554"/>
      <c r="E140" s="73"/>
      <c r="F140" s="73"/>
      <c r="G140" s="73"/>
      <c r="H140" s="73"/>
      <c r="P140" s="73"/>
      <c r="U140" s="73"/>
      <c r="V140" s="73"/>
      <c r="W140" s="73"/>
    </row>
    <row r="141" spans="1:24" x14ac:dyDescent="0.25">
      <c r="A141" s="91"/>
      <c r="B141" s="9" t="str">
        <f>B128</f>
        <v>Feed</v>
      </c>
      <c r="C141" s="220">
        <v>1</v>
      </c>
      <c r="D141" s="554"/>
      <c r="E141" s="73"/>
      <c r="F141" s="73"/>
      <c r="G141" s="73"/>
      <c r="H141" s="73"/>
      <c r="P141" s="73"/>
      <c r="U141" s="73"/>
      <c r="V141" s="73"/>
      <c r="W141" s="73"/>
    </row>
    <row r="142" spans="1:24" x14ac:dyDescent="0.25">
      <c r="A142" s="91"/>
      <c r="B142" s="204" t="s">
        <v>241</v>
      </c>
      <c r="C142" s="220">
        <v>1</v>
      </c>
      <c r="D142" s="554"/>
      <c r="E142" s="73"/>
      <c r="F142" s="73"/>
      <c r="G142" s="73"/>
      <c r="H142" s="73"/>
      <c r="P142" s="73"/>
      <c r="U142" s="73"/>
      <c r="V142" s="73"/>
      <c r="W142" s="73"/>
    </row>
    <row r="143" spans="1:24" x14ac:dyDescent="0.25">
      <c r="A143" s="91"/>
      <c r="B143" s="2" t="str">
        <f>B120</f>
        <v>Price of Crab</v>
      </c>
      <c r="C143" s="220">
        <v>1</v>
      </c>
      <c r="D143" s="554"/>
      <c r="E143" s="73"/>
      <c r="F143" s="73"/>
      <c r="G143" s="73"/>
      <c r="H143" s="73"/>
      <c r="P143" s="73"/>
      <c r="U143" s="73"/>
      <c r="V143" s="73"/>
      <c r="W143" s="73"/>
    </row>
    <row r="144" spans="1:24" x14ac:dyDescent="0.25">
      <c r="A144" s="91"/>
      <c r="B144" s="204" t="s">
        <v>245</v>
      </c>
      <c r="C144" s="220">
        <v>1</v>
      </c>
      <c r="D144" s="554"/>
      <c r="E144" s="73"/>
      <c r="F144" s="73"/>
      <c r="G144" s="73"/>
      <c r="H144" s="73"/>
      <c r="P144" s="73"/>
      <c r="U144" s="73"/>
      <c r="V144" s="73"/>
      <c r="W144" s="73"/>
    </row>
    <row r="145" spans="1:24" x14ac:dyDescent="0.25">
      <c r="A145" s="91"/>
      <c r="B145" s="44"/>
      <c r="C145" s="73"/>
      <c r="D145" s="89"/>
      <c r="E145" s="73"/>
      <c r="F145" s="73"/>
      <c r="G145" s="73"/>
      <c r="H145" s="73"/>
      <c r="P145" s="73"/>
      <c r="U145" s="73"/>
      <c r="V145" s="73"/>
      <c r="W145" s="73"/>
    </row>
    <row r="146" spans="1:24" x14ac:dyDescent="0.25">
      <c r="A146" s="91"/>
      <c r="B146" s="44"/>
      <c r="C146" s="73"/>
      <c r="D146" s="89"/>
      <c r="E146" s="73"/>
      <c r="F146" s="135"/>
      <c r="G146" s="135"/>
      <c r="H146" s="135"/>
      <c r="K146" s="499" t="s">
        <v>72</v>
      </c>
      <c r="L146" s="499"/>
      <c r="M146" s="499"/>
      <c r="N146" s="499"/>
      <c r="P146" s="494" t="s">
        <v>70</v>
      </c>
      <c r="Q146" s="494"/>
      <c r="R146" s="494"/>
      <c r="S146" s="494"/>
      <c r="U146" s="494" t="s">
        <v>73</v>
      </c>
      <c r="V146" s="494"/>
      <c r="W146" s="494"/>
      <c r="X146" s="494"/>
    </row>
    <row r="147" spans="1:24" ht="22.15" customHeight="1" x14ac:dyDescent="0.25">
      <c r="K147" s="495" t="s">
        <v>129</v>
      </c>
      <c r="L147" s="496"/>
      <c r="M147" s="496"/>
      <c r="N147" s="497"/>
      <c r="P147" s="495" t="s">
        <v>129</v>
      </c>
      <c r="Q147" s="496"/>
      <c r="R147" s="496"/>
      <c r="S147" s="497"/>
      <c r="U147" s="495" t="s">
        <v>129</v>
      </c>
      <c r="V147" s="496"/>
      <c r="W147" s="496"/>
      <c r="X147" s="497"/>
    </row>
    <row r="148" spans="1:24" ht="45" x14ac:dyDescent="0.25">
      <c r="B148" s="17" t="s">
        <v>3</v>
      </c>
      <c r="C148" s="110" t="s">
        <v>246</v>
      </c>
      <c r="D148" s="341" t="s">
        <v>247</v>
      </c>
      <c r="E148" s="20" t="s">
        <v>5</v>
      </c>
      <c r="F148" s="222"/>
      <c r="G148" s="222"/>
      <c r="H148" s="222"/>
      <c r="K148" s="88"/>
      <c r="L148" s="110" t="s">
        <v>130</v>
      </c>
      <c r="M148" s="88" t="s">
        <v>97</v>
      </c>
      <c r="N148" s="88" t="s">
        <v>96</v>
      </c>
      <c r="P148" s="88"/>
      <c r="Q148" s="110" t="s">
        <v>130</v>
      </c>
      <c r="R148" s="88" t="s">
        <v>97</v>
      </c>
      <c r="S148" s="88" t="s">
        <v>96</v>
      </c>
      <c r="U148" s="88"/>
      <c r="V148" s="110" t="s">
        <v>130</v>
      </c>
      <c r="W148" s="88" t="s">
        <v>97</v>
      </c>
      <c r="X148" s="88" t="s">
        <v>96</v>
      </c>
    </row>
    <row r="149" spans="1:24" ht="17.25" customHeight="1" x14ac:dyDescent="0.25">
      <c r="B149" s="2" t="s">
        <v>64</v>
      </c>
      <c r="C149" s="93">
        <f>C119</f>
        <v>95.625</v>
      </c>
      <c r="D149" s="191">
        <f>C149</f>
        <v>95.625</v>
      </c>
      <c r="E149" s="28" t="s">
        <v>194</v>
      </c>
      <c r="F149" s="223"/>
      <c r="G149" s="223"/>
      <c r="H149" s="223"/>
      <c r="K149" s="47" t="s">
        <v>77</v>
      </c>
      <c r="L149" s="152">
        <f>D168-1</f>
        <v>-0.35</v>
      </c>
      <c r="M149" s="58">
        <f>$F82</f>
        <v>0.5</v>
      </c>
      <c r="N149" s="108">
        <f>L149*M149</f>
        <v>-0.17499999999999999</v>
      </c>
      <c r="P149" s="47" t="s">
        <v>77</v>
      </c>
      <c r="Q149" s="139">
        <f>E168-1</f>
        <v>-0.38</v>
      </c>
      <c r="R149" s="58">
        <f>F96</f>
        <v>0.5</v>
      </c>
      <c r="S149" s="108">
        <f>Q149*R149</f>
        <v>-0.19</v>
      </c>
      <c r="U149" s="47" t="s">
        <v>77</v>
      </c>
      <c r="V149" s="139">
        <f>F168-1</f>
        <v>-0.44999999999999996</v>
      </c>
      <c r="W149" s="58">
        <f>F108</f>
        <v>0.5</v>
      </c>
      <c r="X149" s="108">
        <f>V149*W149</f>
        <v>-0.22499999999999998</v>
      </c>
    </row>
    <row r="150" spans="1:24" ht="17.25" customHeight="1" x14ac:dyDescent="0.25">
      <c r="B150" s="2" t="s">
        <v>65</v>
      </c>
      <c r="C150" s="63">
        <f>C120</f>
        <v>4.2</v>
      </c>
      <c r="D150" s="161">
        <f>C150*C143</f>
        <v>4.2</v>
      </c>
      <c r="E150" s="28" t="s">
        <v>66</v>
      </c>
      <c r="F150" s="223"/>
      <c r="G150" s="223"/>
      <c r="H150" s="223"/>
      <c r="K150" s="47" t="s">
        <v>71</v>
      </c>
      <c r="L150" s="97">
        <v>0</v>
      </c>
      <c r="M150" s="58">
        <f>M149</f>
        <v>0.5</v>
      </c>
      <c r="N150" s="108">
        <f t="shared" ref="N150:N151" si="50">L150*M150</f>
        <v>0</v>
      </c>
      <c r="P150" s="47" t="s">
        <v>71</v>
      </c>
      <c r="Q150" s="97">
        <v>0</v>
      </c>
      <c r="R150" s="58">
        <f>R149</f>
        <v>0.5</v>
      </c>
      <c r="S150" s="108">
        <f t="shared" ref="S150:S151" si="51">Q150*R150</f>
        <v>0</v>
      </c>
      <c r="U150" s="47" t="s">
        <v>71</v>
      </c>
      <c r="V150" s="97">
        <v>0</v>
      </c>
      <c r="W150" s="58">
        <f>W149</f>
        <v>0.5</v>
      </c>
      <c r="X150" s="108">
        <f t="shared" ref="X150:X151" si="52">V150*W150</f>
        <v>0</v>
      </c>
    </row>
    <row r="151" spans="1:24" ht="17.25" customHeight="1" x14ac:dyDescent="0.25">
      <c r="B151" s="2" t="s">
        <v>60</v>
      </c>
      <c r="C151" s="138">
        <f>C121</f>
        <v>0.01</v>
      </c>
      <c r="D151" s="386">
        <f>C151</f>
        <v>0.01</v>
      </c>
      <c r="E151" s="27" t="s">
        <v>16</v>
      </c>
      <c r="F151" s="223"/>
      <c r="G151" s="223"/>
      <c r="H151" s="223"/>
      <c r="K151" s="47" t="s">
        <v>71</v>
      </c>
      <c r="L151" s="97">
        <v>0</v>
      </c>
      <c r="M151" s="58">
        <f t="shared" ref="M151" si="53">M150</f>
        <v>0.5</v>
      </c>
      <c r="N151" s="108">
        <f t="shared" si="50"/>
        <v>0</v>
      </c>
      <c r="P151" s="47" t="s">
        <v>71</v>
      </c>
      <c r="Q151" s="97">
        <v>0</v>
      </c>
      <c r="R151" s="58">
        <f t="shared" ref="R151" si="54">R150</f>
        <v>0.5</v>
      </c>
      <c r="S151" s="108">
        <f t="shared" si="51"/>
        <v>0</v>
      </c>
      <c r="U151" s="47" t="s">
        <v>71</v>
      </c>
      <c r="V151" s="97">
        <v>0</v>
      </c>
      <c r="W151" s="58">
        <f t="shared" ref="W151" si="55">W150</f>
        <v>0.5</v>
      </c>
      <c r="X151" s="108">
        <f t="shared" si="52"/>
        <v>0</v>
      </c>
    </row>
    <row r="152" spans="1:24" x14ac:dyDescent="0.25">
      <c r="C152" s="91"/>
      <c r="L152" s="91"/>
      <c r="M152" s="91"/>
      <c r="N152" s="91"/>
      <c r="Q152" s="91"/>
      <c r="R152" s="91"/>
      <c r="S152" s="91"/>
      <c r="V152" s="91"/>
      <c r="W152" s="91"/>
      <c r="X152" s="91"/>
    </row>
    <row r="153" spans="1:24" x14ac:dyDescent="0.25">
      <c r="C153" s="91"/>
      <c r="L153" s="91"/>
      <c r="M153" s="91"/>
      <c r="N153" s="91"/>
      <c r="Q153" s="91"/>
      <c r="R153" s="91"/>
      <c r="S153" s="91"/>
      <c r="V153" s="91"/>
      <c r="W153" s="91"/>
      <c r="X153" s="91"/>
    </row>
    <row r="154" spans="1:24" x14ac:dyDescent="0.25">
      <c r="B154" s="17" t="s">
        <v>10</v>
      </c>
      <c r="C154" s="63"/>
      <c r="D154" s="14" t="s">
        <v>4</v>
      </c>
      <c r="E154" s="21" t="s">
        <v>5</v>
      </c>
      <c r="F154" s="222"/>
      <c r="G154" s="222"/>
      <c r="H154" s="222"/>
      <c r="L154" s="91"/>
      <c r="M154" s="91"/>
      <c r="N154" s="91"/>
      <c r="Q154" s="91"/>
      <c r="R154" s="91"/>
      <c r="S154" s="91"/>
      <c r="V154" s="91"/>
      <c r="W154" s="91"/>
      <c r="X154" s="91"/>
    </row>
    <row r="155" spans="1:24" ht="16.899999999999999" customHeight="1" x14ac:dyDescent="0.25">
      <c r="B155" s="2" t="s">
        <v>67</v>
      </c>
      <c r="C155" s="63">
        <f>C125</f>
        <v>300</v>
      </c>
      <c r="D155" s="161">
        <f>C155</f>
        <v>300</v>
      </c>
      <c r="E155" s="28" t="s">
        <v>9</v>
      </c>
      <c r="F155" s="225"/>
      <c r="G155" s="225"/>
      <c r="H155" s="225"/>
      <c r="K155" s="47" t="s">
        <v>71</v>
      </c>
      <c r="L155" s="97">
        <v>0</v>
      </c>
      <c r="M155" s="58">
        <f>M149</f>
        <v>0.5</v>
      </c>
      <c r="N155" s="64">
        <f>L155*M155</f>
        <v>0</v>
      </c>
      <c r="P155" s="47" t="s">
        <v>71</v>
      </c>
      <c r="Q155" s="97">
        <v>0</v>
      </c>
      <c r="R155" s="58">
        <f>R151</f>
        <v>0.5</v>
      </c>
      <c r="S155" s="111">
        <f>Q155*R155</f>
        <v>0</v>
      </c>
      <c r="U155" s="47" t="s">
        <v>71</v>
      </c>
      <c r="V155" s="97">
        <v>0</v>
      </c>
      <c r="W155" s="58">
        <f>W151</f>
        <v>0.5</v>
      </c>
      <c r="X155" s="138">
        <f>V155*W155</f>
        <v>0</v>
      </c>
    </row>
    <row r="156" spans="1:24" x14ac:dyDescent="0.25">
      <c r="B156" s="2" t="s">
        <v>68</v>
      </c>
      <c r="C156" s="118">
        <f>C126</f>
        <v>39.375000000000007</v>
      </c>
      <c r="D156" s="151">
        <f>C156*C140</f>
        <v>39.375000000000007</v>
      </c>
      <c r="E156" s="28" t="s">
        <v>45</v>
      </c>
      <c r="F156" s="225"/>
      <c r="G156" s="225"/>
      <c r="H156" s="225"/>
      <c r="K156" s="47" t="s">
        <v>71</v>
      </c>
      <c r="L156" s="97">
        <v>0</v>
      </c>
      <c r="M156" s="58">
        <f t="shared" ref="M156" si="56">M150</f>
        <v>0.5</v>
      </c>
      <c r="N156" s="108">
        <f t="shared" ref="N156:N158" si="57">L156*M156</f>
        <v>0</v>
      </c>
      <c r="P156" s="47" t="s">
        <v>71</v>
      </c>
      <c r="Q156" s="97">
        <v>0</v>
      </c>
      <c r="R156" s="58">
        <f>R155</f>
        <v>0.5</v>
      </c>
      <c r="S156" s="111">
        <f t="shared" ref="S156:S159" si="58">Q156*R156</f>
        <v>0</v>
      </c>
      <c r="U156" s="47" t="s">
        <v>71</v>
      </c>
      <c r="V156" s="97">
        <v>0</v>
      </c>
      <c r="W156" s="58">
        <f>W155</f>
        <v>0.5</v>
      </c>
      <c r="X156" s="138">
        <f t="shared" ref="X156:X159" si="59">V156*W156</f>
        <v>0</v>
      </c>
    </row>
    <row r="157" spans="1:24" ht="14.45" customHeight="1" x14ac:dyDescent="0.25">
      <c r="B157" s="2" t="s">
        <v>63</v>
      </c>
      <c r="C157" s="118">
        <f>C127</f>
        <v>140</v>
      </c>
      <c r="D157" s="151">
        <f>C157</f>
        <v>140</v>
      </c>
      <c r="E157" s="28" t="s">
        <v>45</v>
      </c>
      <c r="F157" s="225"/>
      <c r="G157" s="225"/>
      <c r="H157" s="225"/>
      <c r="K157" s="90" t="s">
        <v>74</v>
      </c>
      <c r="L157" s="97">
        <v>0.03</v>
      </c>
      <c r="M157" s="58">
        <f>M156</f>
        <v>0.5</v>
      </c>
      <c r="N157" s="108">
        <f t="shared" si="57"/>
        <v>1.4999999999999999E-2</v>
      </c>
      <c r="P157" s="90" t="s">
        <v>74</v>
      </c>
      <c r="Q157" s="97">
        <v>0.04</v>
      </c>
      <c r="R157" s="58">
        <f t="shared" ref="R157:R158" si="60">R156</f>
        <v>0.5</v>
      </c>
      <c r="S157" s="111">
        <f t="shared" si="58"/>
        <v>0.02</v>
      </c>
      <c r="U157" s="90" t="s">
        <v>74</v>
      </c>
      <c r="V157" s="97">
        <v>0.08</v>
      </c>
      <c r="W157" s="58">
        <f t="shared" ref="W157:W158" si="61">W156</f>
        <v>0.5</v>
      </c>
      <c r="X157" s="138">
        <f t="shared" si="59"/>
        <v>0.04</v>
      </c>
    </row>
    <row r="158" spans="1:24" ht="14.45" customHeight="1" x14ac:dyDescent="0.25">
      <c r="B158" s="2" t="s">
        <v>34</v>
      </c>
      <c r="C158" s="118">
        <f>C128</f>
        <v>150</v>
      </c>
      <c r="D158" s="151">
        <f>C158*C141</f>
        <v>150</v>
      </c>
      <c r="E158" s="28" t="s">
        <v>45</v>
      </c>
      <c r="F158" s="225"/>
      <c r="G158" s="225"/>
      <c r="H158" s="225"/>
      <c r="K158" s="90" t="s">
        <v>74</v>
      </c>
      <c r="L158" s="97">
        <v>0.1</v>
      </c>
      <c r="M158" s="58">
        <f>M157</f>
        <v>0.5</v>
      </c>
      <c r="N158" s="108">
        <f t="shared" si="57"/>
        <v>0.05</v>
      </c>
      <c r="P158" s="90" t="s">
        <v>74</v>
      </c>
      <c r="Q158" s="97">
        <v>0.12</v>
      </c>
      <c r="R158" s="58">
        <f t="shared" si="60"/>
        <v>0.5</v>
      </c>
      <c r="S158" s="111">
        <f t="shared" si="58"/>
        <v>0.06</v>
      </c>
      <c r="U158" s="90" t="s">
        <v>74</v>
      </c>
      <c r="V158" s="97">
        <v>0.15</v>
      </c>
      <c r="W158" s="58">
        <f t="shared" si="61"/>
        <v>0.5</v>
      </c>
      <c r="X158" s="138">
        <f t="shared" si="59"/>
        <v>7.4999999999999997E-2</v>
      </c>
    </row>
    <row r="159" spans="1:24" x14ac:dyDescent="0.25">
      <c r="B159" s="9" t="s">
        <v>15</v>
      </c>
      <c r="C159" s="58">
        <f>C129</f>
        <v>0.24</v>
      </c>
      <c r="D159" s="134">
        <f>C159</f>
        <v>0.24</v>
      </c>
      <c r="E159" s="27" t="s">
        <v>16</v>
      </c>
      <c r="F159" s="225"/>
      <c r="G159" s="225"/>
      <c r="H159" s="225"/>
      <c r="K159" s="47" t="s">
        <v>71</v>
      </c>
      <c r="L159" s="97">
        <v>0</v>
      </c>
      <c r="M159" s="58">
        <f>M158</f>
        <v>0.5</v>
      </c>
      <c r="N159" s="108">
        <f>L159*M159</f>
        <v>0</v>
      </c>
      <c r="P159" s="47" t="s">
        <v>71</v>
      </c>
      <c r="Q159" s="97">
        <v>0</v>
      </c>
      <c r="R159" s="58">
        <f>R158</f>
        <v>0.5</v>
      </c>
      <c r="S159" s="111">
        <f t="shared" si="58"/>
        <v>0</v>
      </c>
      <c r="U159" s="47" t="s">
        <v>71</v>
      </c>
      <c r="V159" s="97">
        <v>0</v>
      </c>
      <c r="W159" s="58">
        <f>W158</f>
        <v>0.5</v>
      </c>
      <c r="X159" s="138">
        <f t="shared" si="59"/>
        <v>0</v>
      </c>
    </row>
    <row r="160" spans="1:24" ht="28.9" customHeight="1" x14ac:dyDescent="0.25">
      <c r="B160" s="9"/>
      <c r="C160" s="63"/>
      <c r="D160" s="134"/>
      <c r="E160" s="27"/>
      <c r="F160" s="225"/>
      <c r="G160" s="225"/>
      <c r="H160" s="225"/>
      <c r="L160" s="71"/>
      <c r="M160" s="107"/>
      <c r="N160" s="141"/>
      <c r="O160" s="105"/>
      <c r="P160" s="105"/>
      <c r="Q160" s="71"/>
      <c r="R160" s="107"/>
      <c r="S160" s="142"/>
      <c r="T160" s="105"/>
      <c r="U160" s="105"/>
      <c r="V160" s="71"/>
      <c r="W160" s="107"/>
      <c r="X160" s="143"/>
    </row>
    <row r="161" spans="1:29" ht="18.600000000000001" customHeight="1" x14ac:dyDescent="0.25">
      <c r="B161" s="10"/>
      <c r="C161" s="91"/>
      <c r="D161" s="62"/>
      <c r="E161" s="100"/>
      <c r="F161" s="101"/>
      <c r="G161" s="101"/>
      <c r="H161" s="101"/>
      <c r="L161" s="71"/>
      <c r="M161" s="107"/>
      <c r="N161" s="141"/>
      <c r="O161" s="105"/>
      <c r="P161" s="105"/>
      <c r="Q161" s="71"/>
      <c r="R161" s="107"/>
      <c r="S161" s="142"/>
      <c r="T161" s="105"/>
      <c r="U161" s="105"/>
      <c r="V161" s="71"/>
      <c r="W161" s="107"/>
      <c r="X161" s="143"/>
    </row>
    <row r="162" spans="1:29" ht="13.9" customHeight="1" x14ac:dyDescent="0.25">
      <c r="B162" s="115" t="s">
        <v>145</v>
      </c>
      <c r="C162" s="63">
        <f>C132</f>
        <v>1125</v>
      </c>
      <c r="D162" s="150">
        <f>C162</f>
        <v>1125</v>
      </c>
      <c r="E162" s="27" t="s">
        <v>201</v>
      </c>
      <c r="F162" s="225"/>
      <c r="G162" s="225"/>
      <c r="H162" s="225"/>
      <c r="I162" s="225"/>
      <c r="L162" s="71"/>
      <c r="M162" s="107"/>
      <c r="N162" s="141"/>
      <c r="O162" s="105"/>
      <c r="P162" s="105"/>
      <c r="Q162" s="71"/>
      <c r="R162" s="107"/>
      <c r="S162" s="142"/>
      <c r="T162" s="105"/>
      <c r="U162" s="105"/>
      <c r="V162" s="71"/>
      <c r="W162" s="107"/>
      <c r="X162" s="143"/>
    </row>
    <row r="163" spans="1:29" ht="12.6" customHeight="1" x14ac:dyDescent="0.25">
      <c r="B163" s="115" t="s">
        <v>147</v>
      </c>
      <c r="C163" s="63">
        <f>C133</f>
        <v>2</v>
      </c>
      <c r="D163" s="150">
        <f>C163</f>
        <v>2</v>
      </c>
      <c r="E163" s="27" t="s">
        <v>14</v>
      </c>
      <c r="F163" s="225"/>
      <c r="G163" s="225"/>
      <c r="H163" s="225"/>
      <c r="I163" s="225"/>
      <c r="L163" s="71"/>
      <c r="M163" s="107"/>
      <c r="N163" s="141"/>
      <c r="O163" s="105"/>
      <c r="P163" s="105"/>
      <c r="Q163" s="71"/>
      <c r="R163" s="107"/>
      <c r="S163" s="142"/>
      <c r="T163" s="105"/>
      <c r="U163" s="105"/>
      <c r="V163" s="71"/>
      <c r="W163" s="107"/>
      <c r="X163" s="143"/>
    </row>
    <row r="164" spans="1:29" ht="12.6" customHeight="1" x14ac:dyDescent="0.25">
      <c r="B164" s="115" t="s">
        <v>148</v>
      </c>
      <c r="C164" s="63">
        <f>C134</f>
        <v>3.5000000000000003E-2</v>
      </c>
      <c r="D164" s="150">
        <f>C164*C140</f>
        <v>3.5000000000000003E-2</v>
      </c>
      <c r="E164" s="27"/>
      <c r="F164" s="101"/>
      <c r="G164" s="101"/>
      <c r="H164" s="101"/>
      <c r="L164" s="71"/>
      <c r="M164" s="107"/>
      <c r="N164" s="141"/>
      <c r="O164" s="105"/>
      <c r="P164" s="105"/>
      <c r="Q164" s="71"/>
      <c r="R164" s="107"/>
      <c r="S164" s="142"/>
      <c r="T164" s="105"/>
      <c r="U164" s="105"/>
      <c r="V164" s="71"/>
      <c r="W164" s="107"/>
      <c r="X164" s="143"/>
    </row>
    <row r="165" spans="1:29" ht="12.6" customHeight="1" x14ac:dyDescent="0.25">
      <c r="B165" s="10"/>
      <c r="C165" s="149"/>
      <c r="D165" s="100"/>
      <c r="E165" s="101"/>
      <c r="F165" s="101"/>
      <c r="G165" s="101"/>
      <c r="H165" s="101"/>
      <c r="L165" s="71"/>
      <c r="M165" s="107"/>
      <c r="N165" s="141"/>
      <c r="O165" s="105"/>
      <c r="P165" s="105"/>
      <c r="Q165" s="71"/>
      <c r="R165" s="107"/>
      <c r="S165" s="142"/>
      <c r="T165" s="105"/>
      <c r="U165" s="105"/>
      <c r="V165" s="71"/>
      <c r="W165" s="107"/>
      <c r="X165" s="143"/>
    </row>
    <row r="166" spans="1:29" ht="12.6" customHeight="1" x14ac:dyDescent="0.25">
      <c r="B166" s="10" t="s">
        <v>149</v>
      </c>
      <c r="F166" s="101"/>
      <c r="G166" s="101"/>
      <c r="H166" s="101"/>
      <c r="L166" s="71"/>
      <c r="M166" s="107"/>
      <c r="N166" s="141"/>
      <c r="O166" s="105"/>
      <c r="P166" s="105"/>
      <c r="Q166" s="71"/>
      <c r="R166" s="107"/>
      <c r="S166" s="142"/>
      <c r="T166" s="105"/>
      <c r="U166" s="105"/>
      <c r="V166" s="71"/>
      <c r="W166" s="107"/>
      <c r="X166" s="143"/>
    </row>
    <row r="167" spans="1:29" ht="12.6" customHeight="1" x14ac:dyDescent="0.25">
      <c r="B167" s="47"/>
      <c r="C167" s="63"/>
      <c r="D167" s="150" t="s">
        <v>72</v>
      </c>
      <c r="E167" s="27" t="s">
        <v>70</v>
      </c>
      <c r="F167" s="29" t="s">
        <v>73</v>
      </c>
      <c r="G167" s="101"/>
      <c r="H167" s="101"/>
      <c r="L167" s="71"/>
      <c r="M167" s="107"/>
      <c r="N167" s="141"/>
      <c r="O167" s="105"/>
      <c r="P167" s="105"/>
      <c r="Q167" s="71"/>
      <c r="R167" s="107"/>
      <c r="S167" s="142"/>
      <c r="T167" s="105"/>
      <c r="U167" s="105"/>
      <c r="V167" s="71"/>
      <c r="W167" s="107"/>
      <c r="X167" s="143"/>
    </row>
    <row r="168" spans="1:29" ht="12.6" customHeight="1" x14ac:dyDescent="0.25">
      <c r="B168" s="9" t="s">
        <v>150</v>
      </c>
      <c r="C168" s="97"/>
      <c r="D168" s="147">
        <v>0.65</v>
      </c>
      <c r="E168" s="147">
        <v>0.62</v>
      </c>
      <c r="F168" s="153">
        <v>0.55000000000000004</v>
      </c>
      <c r="G168" s="101"/>
      <c r="H168" s="101"/>
      <c r="L168" s="71"/>
      <c r="M168" s="107"/>
      <c r="N168" s="141"/>
      <c r="O168" s="105"/>
      <c r="P168" s="105"/>
      <c r="Q168" s="71"/>
      <c r="R168" s="107"/>
      <c r="S168" s="142"/>
      <c r="T168" s="105"/>
      <c r="U168" s="105"/>
      <c r="V168" s="71"/>
      <c r="W168" s="107"/>
      <c r="X168" s="143"/>
    </row>
    <row r="169" spans="1:29" ht="12.6" customHeight="1" x14ac:dyDescent="0.25">
      <c r="B169" s="10"/>
      <c r="C169" s="149"/>
      <c r="D169" s="100"/>
      <c r="E169" s="101"/>
      <c r="F169" s="101"/>
      <c r="G169" s="101"/>
      <c r="H169" s="101"/>
      <c r="L169" s="71"/>
      <c r="M169" s="107"/>
      <c r="N169" s="141"/>
      <c r="O169" s="105"/>
      <c r="P169" s="105"/>
      <c r="Q169" s="71"/>
      <c r="R169" s="107"/>
      <c r="S169" s="142"/>
      <c r="T169" s="105"/>
      <c r="U169" s="105"/>
      <c r="V169" s="71"/>
      <c r="W169" s="107"/>
      <c r="X169" s="143"/>
    </row>
    <row r="170" spans="1:29" ht="18.600000000000001" customHeight="1" x14ac:dyDescent="0.25">
      <c r="B170" s="10" t="s">
        <v>195</v>
      </c>
      <c r="C170" s="148">
        <v>10</v>
      </c>
      <c r="D170" s="100"/>
      <c r="E170" s="101"/>
      <c r="F170" s="101"/>
      <c r="G170" s="101"/>
      <c r="H170" s="101"/>
      <c r="L170" s="71"/>
      <c r="M170" s="107"/>
      <c r="N170" s="141"/>
      <c r="O170" s="105"/>
      <c r="P170" s="105"/>
      <c r="Q170" s="71"/>
      <c r="R170" s="107"/>
      <c r="S170" s="142"/>
      <c r="T170" s="105"/>
      <c r="U170" s="105"/>
      <c r="V170" s="71"/>
      <c r="W170" s="107"/>
      <c r="X170" s="143"/>
    </row>
    <row r="171" spans="1:29" x14ac:dyDescent="0.25">
      <c r="B171" s="10"/>
      <c r="C171" s="62"/>
      <c r="D171" s="100"/>
      <c r="E171" s="101"/>
      <c r="F171" s="101"/>
      <c r="G171" s="101"/>
      <c r="H171" s="101"/>
    </row>
    <row r="172" spans="1:29" x14ac:dyDescent="0.25">
      <c r="A172" s="63">
        <v>7</v>
      </c>
      <c r="B172" s="44" t="s">
        <v>163</v>
      </c>
      <c r="C172" s="91"/>
      <c r="D172" s="104"/>
      <c r="E172" s="104"/>
      <c r="F172" s="104"/>
      <c r="G172" s="104"/>
      <c r="H172" s="104"/>
      <c r="I172" s="104"/>
      <c r="J172" s="104"/>
      <c r="K172" s="104"/>
      <c r="L172" s="104"/>
      <c r="M172" s="104"/>
      <c r="N172" s="104"/>
      <c r="O172" s="104"/>
      <c r="P172" s="104"/>
      <c r="Q172" s="104"/>
      <c r="R172" s="104"/>
      <c r="S172" s="104"/>
      <c r="T172" s="104"/>
      <c r="U172" s="104"/>
      <c r="V172" s="104"/>
      <c r="W172" s="104"/>
      <c r="X172" s="104"/>
    </row>
    <row r="173" spans="1:29" x14ac:dyDescent="0.25">
      <c r="C173" s="91"/>
      <c r="D173" s="104"/>
      <c r="E173" s="104"/>
      <c r="F173" s="104"/>
      <c r="G173" s="104"/>
      <c r="H173" s="104"/>
      <c r="I173" s="104"/>
      <c r="J173" s="104"/>
      <c r="K173" s="104"/>
      <c r="L173" s="104"/>
      <c r="M173" s="104"/>
      <c r="N173" s="104"/>
      <c r="O173" s="104"/>
      <c r="P173" s="104"/>
      <c r="Q173" s="104"/>
      <c r="R173" s="104"/>
      <c r="S173" s="104"/>
      <c r="T173" s="104"/>
      <c r="U173" s="104"/>
      <c r="V173" s="104"/>
      <c r="W173" s="104"/>
      <c r="X173" s="104"/>
    </row>
    <row r="174" spans="1:29" x14ac:dyDescent="0.25">
      <c r="B174" s="17" t="s">
        <v>3</v>
      </c>
      <c r="C174" s="16" t="s">
        <v>19</v>
      </c>
      <c r="D174" s="16">
        <v>0</v>
      </c>
      <c r="E174" s="16">
        <v>1</v>
      </c>
      <c r="F174" s="16">
        <v>2</v>
      </c>
      <c r="G174" s="122">
        <v>3</v>
      </c>
      <c r="H174" s="16">
        <v>4</v>
      </c>
      <c r="I174" s="16">
        <v>5</v>
      </c>
      <c r="J174" s="122">
        <v>6</v>
      </c>
      <c r="K174" s="16">
        <v>7</v>
      </c>
      <c r="L174" s="16">
        <v>8</v>
      </c>
      <c r="M174" s="122">
        <v>9</v>
      </c>
      <c r="N174" s="16">
        <v>10</v>
      </c>
      <c r="O174" s="16">
        <v>11</v>
      </c>
      <c r="P174" s="122">
        <v>12</v>
      </c>
      <c r="Q174" s="16">
        <v>13</v>
      </c>
      <c r="R174" s="16">
        <v>14</v>
      </c>
      <c r="S174" s="122">
        <v>15</v>
      </c>
      <c r="T174" s="16">
        <v>16</v>
      </c>
      <c r="U174" s="16">
        <v>17</v>
      </c>
      <c r="V174" s="122">
        <v>18</v>
      </c>
      <c r="W174" s="16">
        <v>19</v>
      </c>
      <c r="X174" s="16">
        <v>20</v>
      </c>
      <c r="Y174" s="122">
        <v>21</v>
      </c>
      <c r="Z174" s="16">
        <v>22</v>
      </c>
      <c r="AA174" s="16">
        <v>23</v>
      </c>
      <c r="AB174" s="122">
        <v>24</v>
      </c>
      <c r="AC174" s="16">
        <v>25</v>
      </c>
    </row>
    <row r="175" spans="1:29" x14ac:dyDescent="0.25">
      <c r="B175" s="156" t="str">
        <f>B149</f>
        <v>Crab Production</v>
      </c>
      <c r="C175" s="63" t="str">
        <f>K149</f>
        <v>Decrease</v>
      </c>
      <c r="D175" s="118">
        <f>D149</f>
        <v>95.625</v>
      </c>
      <c r="E175" s="118">
        <f>D175</f>
        <v>95.625</v>
      </c>
      <c r="F175" s="118">
        <f>E175</f>
        <v>95.625</v>
      </c>
      <c r="G175" s="158">
        <f>F175*(1+$N149)</f>
        <v>78.890625</v>
      </c>
      <c r="H175" s="118">
        <f>E175</f>
        <v>95.625</v>
      </c>
      <c r="I175" s="118">
        <f t="shared" ref="I175" si="62">F175</f>
        <v>95.625</v>
      </c>
      <c r="J175" s="63">
        <f>I175*(1+$N149)</f>
        <v>78.890625</v>
      </c>
      <c r="K175" s="118">
        <f>H175</f>
        <v>95.625</v>
      </c>
      <c r="L175" s="118">
        <f>K175</f>
        <v>95.625</v>
      </c>
      <c r="M175" s="63">
        <f>L175*(1+$N149)</f>
        <v>78.890625</v>
      </c>
      <c r="N175" s="118">
        <f>K175</f>
        <v>95.625</v>
      </c>
      <c r="O175" s="118">
        <f t="shared" ref="O175" si="63">L175</f>
        <v>95.625</v>
      </c>
      <c r="P175" s="63">
        <f>O175*(1+$N149)</f>
        <v>78.890625</v>
      </c>
      <c r="Q175" s="118">
        <f>N175</f>
        <v>95.625</v>
      </c>
      <c r="R175" s="118">
        <f>O175</f>
        <v>95.625</v>
      </c>
      <c r="S175" s="63">
        <f>R175*(1+$N149)</f>
        <v>78.890625</v>
      </c>
      <c r="T175" s="118">
        <f>Q175</f>
        <v>95.625</v>
      </c>
      <c r="U175" s="118">
        <f>R175</f>
        <v>95.625</v>
      </c>
      <c r="V175" s="63">
        <f>U175*(1+$N149)</f>
        <v>78.890625</v>
      </c>
      <c r="W175" s="118">
        <f>T175</f>
        <v>95.625</v>
      </c>
      <c r="X175" s="118">
        <f>U175</f>
        <v>95.625</v>
      </c>
      <c r="Y175" s="63">
        <f>X175*(1+$N149)</f>
        <v>78.890625</v>
      </c>
      <c r="Z175" s="118">
        <f>W175</f>
        <v>95.625</v>
      </c>
      <c r="AA175" s="118">
        <f>X175</f>
        <v>95.625</v>
      </c>
      <c r="AB175" s="63">
        <f>AA175*(1+$N149)</f>
        <v>78.890625</v>
      </c>
      <c r="AC175" s="93">
        <f>AB175*(1+$N149)</f>
        <v>65.084765625000003</v>
      </c>
    </row>
    <row r="176" spans="1:29" x14ac:dyDescent="0.25">
      <c r="B176" s="109" t="str">
        <f>B150</f>
        <v>Price of Crab</v>
      </c>
      <c r="C176" s="63" t="str">
        <f>K150</f>
        <v>No change</v>
      </c>
      <c r="D176" s="119">
        <f>D150</f>
        <v>4.2</v>
      </c>
      <c r="E176" s="119">
        <f>D176</f>
        <v>4.2</v>
      </c>
      <c r="F176" s="119">
        <f t="shared" ref="F176:U177" si="64">E176</f>
        <v>4.2</v>
      </c>
      <c r="G176" s="119">
        <f t="shared" si="64"/>
        <v>4.2</v>
      </c>
      <c r="H176" s="119">
        <f t="shared" si="64"/>
        <v>4.2</v>
      </c>
      <c r="I176" s="119">
        <f t="shared" si="64"/>
        <v>4.2</v>
      </c>
      <c r="J176" s="119">
        <f t="shared" si="64"/>
        <v>4.2</v>
      </c>
      <c r="K176" s="119">
        <f t="shared" si="64"/>
        <v>4.2</v>
      </c>
      <c r="L176" s="119">
        <f t="shared" si="64"/>
        <v>4.2</v>
      </c>
      <c r="M176" s="119">
        <f t="shared" si="64"/>
        <v>4.2</v>
      </c>
      <c r="N176" s="119">
        <f t="shared" si="64"/>
        <v>4.2</v>
      </c>
      <c r="O176" s="119">
        <f t="shared" si="64"/>
        <v>4.2</v>
      </c>
      <c r="P176" s="119">
        <f t="shared" si="64"/>
        <v>4.2</v>
      </c>
      <c r="Q176" s="119">
        <f t="shared" si="64"/>
        <v>4.2</v>
      </c>
      <c r="R176" s="119">
        <f t="shared" si="64"/>
        <v>4.2</v>
      </c>
      <c r="S176" s="119">
        <f t="shared" si="64"/>
        <v>4.2</v>
      </c>
      <c r="T176" s="119">
        <f t="shared" si="64"/>
        <v>4.2</v>
      </c>
      <c r="U176" s="119">
        <f t="shared" si="64"/>
        <v>4.2</v>
      </c>
      <c r="V176" s="119">
        <f t="shared" ref="V176:AC177" si="65">U176</f>
        <v>4.2</v>
      </c>
      <c r="W176" s="119">
        <f t="shared" si="65"/>
        <v>4.2</v>
      </c>
      <c r="X176" s="119">
        <f t="shared" si="65"/>
        <v>4.2</v>
      </c>
      <c r="Y176" s="119">
        <f t="shared" si="65"/>
        <v>4.2</v>
      </c>
      <c r="Z176" s="119">
        <f t="shared" si="65"/>
        <v>4.2</v>
      </c>
      <c r="AA176" s="119">
        <f t="shared" si="65"/>
        <v>4.2</v>
      </c>
      <c r="AB176" s="119">
        <f t="shared" si="65"/>
        <v>4.2</v>
      </c>
      <c r="AC176" s="119">
        <f t="shared" si="65"/>
        <v>4.2</v>
      </c>
    </row>
    <row r="177" spans="1:29" x14ac:dyDescent="0.25">
      <c r="B177" s="109" t="str">
        <f>B151</f>
        <v>Change in Crab Price</v>
      </c>
      <c r="C177" s="63" t="str">
        <f>K151</f>
        <v>No change</v>
      </c>
      <c r="D177" s="58">
        <f>D151</f>
        <v>0.01</v>
      </c>
      <c r="E177" s="58">
        <f>D177</f>
        <v>0.01</v>
      </c>
      <c r="F177" s="58">
        <f>E177</f>
        <v>0.01</v>
      </c>
      <c r="G177" s="58">
        <f t="shared" si="64"/>
        <v>0.01</v>
      </c>
      <c r="H177" s="58">
        <f t="shared" si="64"/>
        <v>0.01</v>
      </c>
      <c r="I177" s="58">
        <f t="shared" si="64"/>
        <v>0.01</v>
      </c>
      <c r="J177" s="58">
        <f t="shared" si="64"/>
        <v>0.01</v>
      </c>
      <c r="K177" s="58">
        <f t="shared" si="64"/>
        <v>0.01</v>
      </c>
      <c r="L177" s="58">
        <f t="shared" si="64"/>
        <v>0.01</v>
      </c>
      <c r="M177" s="58">
        <f t="shared" si="64"/>
        <v>0.01</v>
      </c>
      <c r="N177" s="58">
        <f t="shared" si="64"/>
        <v>0.01</v>
      </c>
      <c r="O177" s="58">
        <f t="shared" si="64"/>
        <v>0.01</v>
      </c>
      <c r="P177" s="58">
        <f t="shared" si="64"/>
        <v>0.01</v>
      </c>
      <c r="Q177" s="58">
        <f t="shared" si="64"/>
        <v>0.01</v>
      </c>
      <c r="R177" s="58">
        <f t="shared" si="64"/>
        <v>0.01</v>
      </c>
      <c r="S177" s="58">
        <f t="shared" si="64"/>
        <v>0.01</v>
      </c>
      <c r="T177" s="58">
        <f t="shared" si="64"/>
        <v>0.01</v>
      </c>
      <c r="U177" s="58">
        <f t="shared" si="64"/>
        <v>0.01</v>
      </c>
      <c r="V177" s="58">
        <f t="shared" si="65"/>
        <v>0.01</v>
      </c>
      <c r="W177" s="58">
        <f t="shared" si="65"/>
        <v>0.01</v>
      </c>
      <c r="X177" s="58">
        <f t="shared" si="65"/>
        <v>0.01</v>
      </c>
      <c r="Y177" s="58">
        <f t="shared" si="65"/>
        <v>0.01</v>
      </c>
      <c r="Z177" s="58">
        <f t="shared" si="65"/>
        <v>0.01</v>
      </c>
      <c r="AA177" s="58">
        <f t="shared" si="65"/>
        <v>0.01</v>
      </c>
      <c r="AB177" s="58">
        <f t="shared" si="65"/>
        <v>0.01</v>
      </c>
      <c r="AC177" s="58">
        <f t="shared" si="65"/>
        <v>0.01</v>
      </c>
    </row>
    <row r="178" spans="1:29" x14ac:dyDescent="0.25">
      <c r="J178" s="127"/>
      <c r="M178" s="127"/>
      <c r="P178" s="127"/>
      <c r="S178" s="127"/>
      <c r="V178" s="127"/>
      <c r="Y178" s="127"/>
      <c r="AB178" s="127"/>
      <c r="AC178" s="127"/>
    </row>
    <row r="179" spans="1:29" x14ac:dyDescent="0.25">
      <c r="J179" s="127"/>
      <c r="M179" s="127"/>
      <c r="P179" s="127"/>
      <c r="S179" s="127"/>
      <c r="V179" s="127"/>
      <c r="Y179" s="127"/>
      <c r="AB179" s="127"/>
      <c r="AC179" s="127"/>
    </row>
    <row r="180" spans="1:29" x14ac:dyDescent="0.25">
      <c r="B180" s="17" t="s">
        <v>10</v>
      </c>
      <c r="C180" s="16" t="s">
        <v>19</v>
      </c>
      <c r="D180" s="16">
        <v>0</v>
      </c>
      <c r="E180" s="16">
        <v>1</v>
      </c>
      <c r="F180" s="16">
        <v>2</v>
      </c>
      <c r="G180" s="157">
        <v>3</v>
      </c>
      <c r="H180" s="16">
        <v>4</v>
      </c>
      <c r="I180" s="16">
        <v>5</v>
      </c>
      <c r="J180" s="122">
        <v>6</v>
      </c>
      <c r="K180" s="16">
        <v>7</v>
      </c>
      <c r="L180" s="16">
        <v>8</v>
      </c>
      <c r="M180" s="122">
        <v>9</v>
      </c>
      <c r="N180" s="16">
        <v>10</v>
      </c>
      <c r="O180" s="16">
        <v>11</v>
      </c>
      <c r="P180" s="122">
        <v>12</v>
      </c>
      <c r="Q180" s="16">
        <v>13</v>
      </c>
      <c r="R180" s="16">
        <v>14</v>
      </c>
      <c r="S180" s="122">
        <v>15</v>
      </c>
      <c r="T180" s="16">
        <v>16</v>
      </c>
      <c r="U180" s="16">
        <v>17</v>
      </c>
      <c r="V180" s="122">
        <v>18</v>
      </c>
      <c r="W180" s="16">
        <v>19</v>
      </c>
      <c r="X180" s="16">
        <v>20</v>
      </c>
      <c r="Y180" s="122">
        <v>21</v>
      </c>
      <c r="Z180" s="16">
        <v>22</v>
      </c>
      <c r="AA180" s="16">
        <v>23</v>
      </c>
      <c r="AB180" s="122">
        <v>24</v>
      </c>
      <c r="AC180" s="16">
        <v>25</v>
      </c>
    </row>
    <row r="181" spans="1:29" x14ac:dyDescent="0.25">
      <c r="B181" s="109" t="str">
        <f>B155</f>
        <v>Crab Farm Establishment</v>
      </c>
      <c r="C181" s="63" t="str">
        <f>K155</f>
        <v>No change</v>
      </c>
      <c r="D181" s="118">
        <f>D155</f>
        <v>300</v>
      </c>
      <c r="E181" s="118">
        <f t="shared" ref="E181:T185" si="66">D181</f>
        <v>300</v>
      </c>
      <c r="F181" s="118">
        <f t="shared" si="66"/>
        <v>300</v>
      </c>
      <c r="G181" s="118">
        <f t="shared" si="66"/>
        <v>300</v>
      </c>
      <c r="H181" s="118">
        <f t="shared" si="66"/>
        <v>300</v>
      </c>
      <c r="I181" s="118">
        <f t="shared" si="66"/>
        <v>300</v>
      </c>
      <c r="J181" s="118">
        <f t="shared" si="66"/>
        <v>300</v>
      </c>
      <c r="K181" s="118">
        <f t="shared" si="66"/>
        <v>300</v>
      </c>
      <c r="L181" s="118">
        <f t="shared" si="66"/>
        <v>300</v>
      </c>
      <c r="M181" s="118">
        <f t="shared" si="66"/>
        <v>300</v>
      </c>
      <c r="N181" s="118">
        <f t="shared" si="66"/>
        <v>300</v>
      </c>
      <c r="O181" s="118">
        <f t="shared" si="66"/>
        <v>300</v>
      </c>
      <c r="P181" s="118">
        <f t="shared" si="66"/>
        <v>300</v>
      </c>
      <c r="Q181" s="118">
        <f t="shared" si="66"/>
        <v>300</v>
      </c>
      <c r="R181" s="118">
        <f t="shared" si="66"/>
        <v>300</v>
      </c>
      <c r="S181" s="118">
        <f t="shared" si="66"/>
        <v>300</v>
      </c>
      <c r="T181" s="118">
        <f t="shared" si="66"/>
        <v>300</v>
      </c>
      <c r="U181" s="118">
        <f t="shared" ref="U181:AC182" si="67">T181</f>
        <v>300</v>
      </c>
      <c r="V181" s="118">
        <f t="shared" si="67"/>
        <v>300</v>
      </c>
      <c r="W181" s="118">
        <f t="shared" si="67"/>
        <v>300</v>
      </c>
      <c r="X181" s="118">
        <f t="shared" si="67"/>
        <v>300</v>
      </c>
      <c r="Y181" s="118">
        <f t="shared" si="67"/>
        <v>300</v>
      </c>
      <c r="Z181" s="118">
        <f t="shared" si="67"/>
        <v>300</v>
      </c>
      <c r="AA181" s="118">
        <f t="shared" si="67"/>
        <v>300</v>
      </c>
      <c r="AB181" s="118">
        <f t="shared" si="67"/>
        <v>300</v>
      </c>
      <c r="AC181" s="118">
        <f t="shared" si="67"/>
        <v>300</v>
      </c>
    </row>
    <row r="182" spans="1:29" x14ac:dyDescent="0.25">
      <c r="B182" s="109" t="str">
        <f>B156</f>
        <v>Operation Cost (Small crab purchase)</v>
      </c>
      <c r="C182" s="63" t="str">
        <f>K156</f>
        <v>No change</v>
      </c>
      <c r="D182" s="118">
        <f>D156</f>
        <v>39.375000000000007</v>
      </c>
      <c r="E182" s="118">
        <f t="shared" si="66"/>
        <v>39.375000000000007</v>
      </c>
      <c r="F182" s="118">
        <f t="shared" si="66"/>
        <v>39.375000000000007</v>
      </c>
      <c r="G182" s="118">
        <f t="shared" si="66"/>
        <v>39.375000000000007</v>
      </c>
      <c r="H182" s="118">
        <f t="shared" si="66"/>
        <v>39.375000000000007</v>
      </c>
      <c r="I182" s="118">
        <f t="shared" si="66"/>
        <v>39.375000000000007</v>
      </c>
      <c r="J182" s="118">
        <f t="shared" si="66"/>
        <v>39.375000000000007</v>
      </c>
      <c r="K182" s="118">
        <f t="shared" si="66"/>
        <v>39.375000000000007</v>
      </c>
      <c r="L182" s="118">
        <f t="shared" si="66"/>
        <v>39.375000000000007</v>
      </c>
      <c r="M182" s="118">
        <f t="shared" si="66"/>
        <v>39.375000000000007</v>
      </c>
      <c r="N182" s="118">
        <f t="shared" si="66"/>
        <v>39.375000000000007</v>
      </c>
      <c r="O182" s="118">
        <f t="shared" si="66"/>
        <v>39.375000000000007</v>
      </c>
      <c r="P182" s="118">
        <f t="shared" si="66"/>
        <v>39.375000000000007</v>
      </c>
      <c r="Q182" s="118">
        <f t="shared" si="66"/>
        <v>39.375000000000007</v>
      </c>
      <c r="R182" s="118">
        <f t="shared" si="66"/>
        <v>39.375000000000007</v>
      </c>
      <c r="S182" s="118">
        <f t="shared" si="66"/>
        <v>39.375000000000007</v>
      </c>
      <c r="T182" s="118">
        <f t="shared" si="66"/>
        <v>39.375000000000007</v>
      </c>
      <c r="U182" s="118">
        <f t="shared" si="67"/>
        <v>39.375000000000007</v>
      </c>
      <c r="V182" s="118">
        <f t="shared" si="67"/>
        <v>39.375000000000007</v>
      </c>
      <c r="W182" s="118">
        <f t="shared" si="67"/>
        <v>39.375000000000007</v>
      </c>
      <c r="X182" s="118">
        <f t="shared" si="67"/>
        <v>39.375000000000007</v>
      </c>
      <c r="Y182" s="118">
        <f t="shared" si="67"/>
        <v>39.375000000000007</v>
      </c>
      <c r="Z182" s="118">
        <f t="shared" si="67"/>
        <v>39.375000000000007</v>
      </c>
      <c r="AA182" s="118">
        <f t="shared" si="67"/>
        <v>39.375000000000007</v>
      </c>
      <c r="AB182" s="118">
        <f t="shared" si="67"/>
        <v>39.375000000000007</v>
      </c>
      <c r="AC182" s="118">
        <f t="shared" si="67"/>
        <v>39.375000000000007</v>
      </c>
    </row>
    <row r="183" spans="1:29" x14ac:dyDescent="0.25">
      <c r="B183" s="156" t="str">
        <f>B157</f>
        <v>Maintenance</v>
      </c>
      <c r="C183" s="63" t="str">
        <f>K157</f>
        <v>Increase</v>
      </c>
      <c r="D183" s="118">
        <f>D157</f>
        <v>140</v>
      </c>
      <c r="E183" s="118">
        <f t="shared" si="66"/>
        <v>140</v>
      </c>
      <c r="F183" s="118">
        <f t="shared" si="66"/>
        <v>140</v>
      </c>
      <c r="G183" s="158">
        <f>F183*(1+$N157)</f>
        <v>142.1</v>
      </c>
      <c r="H183" s="118">
        <f>F183</f>
        <v>140</v>
      </c>
      <c r="I183" s="118">
        <f>H183</f>
        <v>140</v>
      </c>
      <c r="J183" s="158">
        <f>I183*(1+$N157)</f>
        <v>142.1</v>
      </c>
      <c r="K183" s="118">
        <f>I183</f>
        <v>140</v>
      </c>
      <c r="L183" s="118">
        <f>K183</f>
        <v>140</v>
      </c>
      <c r="M183" s="158">
        <f>L183*(1+$N157)</f>
        <v>142.1</v>
      </c>
      <c r="N183" s="118">
        <f>L183</f>
        <v>140</v>
      </c>
      <c r="O183" s="118">
        <f>N183</f>
        <v>140</v>
      </c>
      <c r="P183" s="158">
        <f>O183*(1+$N157)</f>
        <v>142.1</v>
      </c>
      <c r="Q183" s="118">
        <f>O183</f>
        <v>140</v>
      </c>
      <c r="R183" s="118">
        <f>Q183</f>
        <v>140</v>
      </c>
      <c r="S183" s="158">
        <f>R183*(1+$N157)</f>
        <v>142.1</v>
      </c>
      <c r="T183" s="118">
        <f>R183</f>
        <v>140</v>
      </c>
      <c r="U183" s="118">
        <f>T183</f>
        <v>140</v>
      </c>
      <c r="V183" s="158">
        <f>U183*(1+$N157)</f>
        <v>142.1</v>
      </c>
      <c r="W183" s="118">
        <f>U183</f>
        <v>140</v>
      </c>
      <c r="X183" s="118">
        <f>W183</f>
        <v>140</v>
      </c>
      <c r="Y183" s="158">
        <f>X183*(1+$N157)</f>
        <v>142.1</v>
      </c>
      <c r="Z183" s="118">
        <f>X183</f>
        <v>140</v>
      </c>
      <c r="AA183" s="118">
        <f>Z183</f>
        <v>140</v>
      </c>
      <c r="AB183" s="158">
        <f>AA183*(1+$N157)</f>
        <v>142.1</v>
      </c>
      <c r="AC183" s="63">
        <f>AB183*(1+$N157)</f>
        <v>144.23149999999998</v>
      </c>
    </row>
    <row r="184" spans="1:29" x14ac:dyDescent="0.25">
      <c r="B184" s="156" t="str">
        <f>B158</f>
        <v>Feed</v>
      </c>
      <c r="C184" s="63" t="str">
        <f>K158</f>
        <v>Increase</v>
      </c>
      <c r="D184" s="118">
        <f>D158</f>
        <v>150</v>
      </c>
      <c r="E184" s="118">
        <f t="shared" si="66"/>
        <v>150</v>
      </c>
      <c r="F184" s="118">
        <f t="shared" si="66"/>
        <v>150</v>
      </c>
      <c r="G184" s="158">
        <f>F184*(1+$N158)</f>
        <v>157.5</v>
      </c>
      <c r="H184" s="118">
        <f t="shared" ref="H184" si="68">F184</f>
        <v>150</v>
      </c>
      <c r="I184" s="118">
        <f t="shared" ref="I184" si="69">H184</f>
        <v>150</v>
      </c>
      <c r="J184" s="158">
        <f>I184*(1+$N158)</f>
        <v>157.5</v>
      </c>
      <c r="K184" s="118">
        <f t="shared" ref="K184" si="70">I184</f>
        <v>150</v>
      </c>
      <c r="L184" s="118">
        <f t="shared" ref="L184" si="71">K184</f>
        <v>150</v>
      </c>
      <c r="M184" s="158">
        <f>L184*(1+$N158)</f>
        <v>157.5</v>
      </c>
      <c r="N184" s="118">
        <f t="shared" ref="N184" si="72">L184</f>
        <v>150</v>
      </c>
      <c r="O184" s="118">
        <f t="shared" ref="O184" si="73">N184</f>
        <v>150</v>
      </c>
      <c r="P184" s="158">
        <f>O184*(1+$N158)</f>
        <v>157.5</v>
      </c>
      <c r="Q184" s="118">
        <f t="shared" ref="Q184" si="74">O184</f>
        <v>150</v>
      </c>
      <c r="R184" s="118">
        <f t="shared" ref="R184" si="75">Q184</f>
        <v>150</v>
      </c>
      <c r="S184" s="158">
        <f>R184*(1+$N158)</f>
        <v>157.5</v>
      </c>
      <c r="T184" s="118">
        <f t="shared" ref="T184" si="76">R184</f>
        <v>150</v>
      </c>
      <c r="U184" s="118">
        <f t="shared" ref="U184:AC185" si="77">T184</f>
        <v>150</v>
      </c>
      <c r="V184" s="158">
        <f>U184*(1+$N158)</f>
        <v>157.5</v>
      </c>
      <c r="W184" s="118">
        <f t="shared" ref="W184" si="78">U184</f>
        <v>150</v>
      </c>
      <c r="X184" s="118">
        <f t="shared" ref="X184" si="79">W184</f>
        <v>150</v>
      </c>
      <c r="Y184" s="158">
        <f>X184*(1+$N158)</f>
        <v>157.5</v>
      </c>
      <c r="Z184" s="118">
        <f t="shared" ref="Z184" si="80">X184</f>
        <v>150</v>
      </c>
      <c r="AA184" s="118">
        <f t="shared" ref="AA184" si="81">Z184</f>
        <v>150</v>
      </c>
      <c r="AB184" s="158">
        <f>AA184*(1+$N158)</f>
        <v>157.5</v>
      </c>
      <c r="AC184" s="63">
        <f>AB184*(1+$N158)</f>
        <v>165.375</v>
      </c>
    </row>
    <row r="185" spans="1:29" x14ac:dyDescent="0.25">
      <c r="B185" s="159" t="str">
        <f>B159</f>
        <v>Interest Rate (Capital Cost)</v>
      </c>
      <c r="C185" s="63" t="str">
        <f>K159</f>
        <v>No change</v>
      </c>
      <c r="D185" s="58">
        <f>D159</f>
        <v>0.24</v>
      </c>
      <c r="E185" s="64">
        <f t="shared" si="66"/>
        <v>0.24</v>
      </c>
      <c r="F185" s="64">
        <f t="shared" si="66"/>
        <v>0.24</v>
      </c>
      <c r="G185" s="64">
        <f t="shared" si="66"/>
        <v>0.24</v>
      </c>
      <c r="H185" s="64">
        <f t="shared" si="66"/>
        <v>0.24</v>
      </c>
      <c r="I185" s="64">
        <f t="shared" si="66"/>
        <v>0.24</v>
      </c>
      <c r="J185" s="64">
        <f t="shared" si="66"/>
        <v>0.24</v>
      </c>
      <c r="K185" s="64">
        <f t="shared" si="66"/>
        <v>0.24</v>
      </c>
      <c r="L185" s="64">
        <f t="shared" si="66"/>
        <v>0.24</v>
      </c>
      <c r="M185" s="64">
        <f t="shared" si="66"/>
        <v>0.24</v>
      </c>
      <c r="N185" s="64">
        <f t="shared" si="66"/>
        <v>0.24</v>
      </c>
      <c r="O185" s="64">
        <f t="shared" si="66"/>
        <v>0.24</v>
      </c>
      <c r="P185" s="64">
        <f t="shared" si="66"/>
        <v>0.24</v>
      </c>
      <c r="Q185" s="64">
        <f t="shared" si="66"/>
        <v>0.24</v>
      </c>
      <c r="R185" s="64">
        <f t="shared" si="66"/>
        <v>0.24</v>
      </c>
      <c r="S185" s="64">
        <f t="shared" si="66"/>
        <v>0.24</v>
      </c>
      <c r="T185" s="64">
        <f t="shared" si="66"/>
        <v>0.24</v>
      </c>
      <c r="U185" s="64">
        <f t="shared" si="77"/>
        <v>0.24</v>
      </c>
      <c r="V185" s="64">
        <f t="shared" si="77"/>
        <v>0.24</v>
      </c>
      <c r="W185" s="64">
        <f t="shared" si="77"/>
        <v>0.24</v>
      </c>
      <c r="X185" s="64">
        <f t="shared" si="77"/>
        <v>0.24</v>
      </c>
      <c r="Y185" s="64">
        <f t="shared" si="77"/>
        <v>0.24</v>
      </c>
      <c r="Z185" s="64">
        <f t="shared" si="77"/>
        <v>0.24</v>
      </c>
      <c r="AA185" s="64">
        <f t="shared" si="77"/>
        <v>0.24</v>
      </c>
      <c r="AB185" s="64">
        <f t="shared" si="77"/>
        <v>0.24</v>
      </c>
      <c r="AC185" s="64">
        <f t="shared" si="77"/>
        <v>0.24</v>
      </c>
    </row>
    <row r="186" spans="1:29" x14ac:dyDescent="0.25">
      <c r="G186" s="127"/>
      <c r="J186" s="127"/>
      <c r="M186" s="127"/>
      <c r="P186" s="127"/>
      <c r="S186" s="127"/>
      <c r="V186" s="127"/>
      <c r="Y186" s="127"/>
      <c r="AB186" s="127"/>
      <c r="AC186" s="127"/>
    </row>
    <row r="187" spans="1:29" x14ac:dyDescent="0.25">
      <c r="G187" s="127"/>
    </row>
    <row r="188" spans="1:29" x14ac:dyDescent="0.25">
      <c r="A188" s="63">
        <v>9</v>
      </c>
      <c r="B188" s="44" t="s">
        <v>342</v>
      </c>
      <c r="G188" s="127"/>
    </row>
    <row r="191" spans="1:29" ht="30" x14ac:dyDescent="0.25">
      <c r="B191" s="17" t="s">
        <v>3</v>
      </c>
      <c r="C191" s="13" t="s">
        <v>299</v>
      </c>
      <c r="D191" s="20" t="s">
        <v>5</v>
      </c>
      <c r="E191" s="484" t="s">
        <v>321</v>
      </c>
      <c r="F191" s="484"/>
      <c r="G191" s="484"/>
      <c r="H191" s="484"/>
    </row>
    <row r="192" spans="1:29" x14ac:dyDescent="0.25">
      <c r="B192" s="552" t="s">
        <v>336</v>
      </c>
      <c r="C192" s="552"/>
      <c r="D192" s="552"/>
      <c r="E192" s="552"/>
      <c r="F192" s="552"/>
      <c r="G192" s="552"/>
      <c r="H192" s="552"/>
    </row>
    <row r="194" spans="2:8" ht="30" x14ac:dyDescent="0.25">
      <c r="B194" s="17" t="s">
        <v>10</v>
      </c>
      <c r="C194" s="13" t="s">
        <v>299</v>
      </c>
      <c r="D194" s="21" t="s">
        <v>5</v>
      </c>
      <c r="E194" s="474" t="s">
        <v>6</v>
      </c>
      <c r="F194" s="474"/>
      <c r="G194" s="474"/>
      <c r="H194" s="474"/>
    </row>
    <row r="195" spans="2:8" x14ac:dyDescent="0.25">
      <c r="B195" s="553" t="s">
        <v>337</v>
      </c>
      <c r="C195" s="553"/>
      <c r="D195" s="553"/>
      <c r="E195" s="553"/>
      <c r="F195" s="553"/>
      <c r="G195" s="553"/>
      <c r="H195" s="553"/>
    </row>
  </sheetData>
  <mergeCells count="29">
    <mergeCell ref="E130:H130"/>
    <mergeCell ref="E132:I133"/>
    <mergeCell ref="E125:H125"/>
    <mergeCell ref="E126:H126"/>
    <mergeCell ref="E127:H127"/>
    <mergeCell ref="E128:H128"/>
    <mergeCell ref="E129:H129"/>
    <mergeCell ref="E118:H118"/>
    <mergeCell ref="E119:H119"/>
    <mergeCell ref="E120:H120"/>
    <mergeCell ref="E121:H121"/>
    <mergeCell ref="E124:H124"/>
    <mergeCell ref="K146:N146"/>
    <mergeCell ref="P146:S146"/>
    <mergeCell ref="U146:X146"/>
    <mergeCell ref="K147:N147"/>
    <mergeCell ref="P147:S147"/>
    <mergeCell ref="U147:X147"/>
    <mergeCell ref="C105:F105"/>
    <mergeCell ref="B3:E3"/>
    <mergeCell ref="B22:H22"/>
    <mergeCell ref="B23:J23"/>
    <mergeCell ref="C79:F79"/>
    <mergeCell ref="C93:F93"/>
    <mergeCell ref="B195:H195"/>
    <mergeCell ref="D140:D144"/>
    <mergeCell ref="E191:H191"/>
    <mergeCell ref="B192:H192"/>
    <mergeCell ref="E194:H194"/>
  </mergeCells>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K33"/>
  <sheetViews>
    <sheetView zoomScale="70" zoomScaleNormal="70" workbookViewId="0">
      <selection activeCell="A5" sqref="A5:XFD5"/>
    </sheetView>
  </sheetViews>
  <sheetFormatPr defaultColWidth="26" defaultRowHeight="15" x14ac:dyDescent="0.25"/>
  <cols>
    <col min="1" max="1" width="53.7109375" style="309" customWidth="1"/>
    <col min="2" max="2" width="49.7109375" style="336" customWidth="1"/>
    <col min="3" max="3" width="19.28515625" style="234" customWidth="1"/>
    <col min="4" max="4" width="12.7109375" style="234" customWidth="1"/>
    <col min="5" max="5" width="13.7109375" style="234" customWidth="1"/>
    <col min="6" max="6" width="15.85546875" style="234" customWidth="1"/>
    <col min="7" max="7" width="12.28515625" style="276" customWidth="1"/>
    <col min="8" max="8" width="24.140625" style="234" customWidth="1"/>
    <col min="9" max="9" width="42.28515625" style="234" customWidth="1"/>
    <col min="10" max="10" width="49.28515625" style="234" customWidth="1"/>
    <col min="11" max="16384" width="26" style="234"/>
  </cols>
  <sheetData>
    <row r="1" spans="1:11" ht="15.75" thickBot="1" x14ac:dyDescent="0.3">
      <c r="A1" s="363"/>
      <c r="B1" s="8"/>
      <c r="C1" s="364"/>
      <c r="D1" s="364"/>
      <c r="E1" s="364"/>
      <c r="F1" s="364"/>
      <c r="G1" s="365"/>
      <c r="H1" s="364"/>
      <c r="I1" s="364"/>
      <c r="J1" s="364"/>
      <c r="K1" s="268"/>
    </row>
    <row r="2" spans="1:11" ht="30.6" customHeight="1" x14ac:dyDescent="0.25">
      <c r="A2" s="227" t="s">
        <v>249</v>
      </c>
      <c r="B2" s="228" t="s">
        <v>250</v>
      </c>
      <c r="C2" s="229" t="s">
        <v>251</v>
      </c>
      <c r="D2" s="230" t="s">
        <v>252</v>
      </c>
      <c r="E2" s="229" t="s">
        <v>253</v>
      </c>
      <c r="F2" s="230" t="s">
        <v>254</v>
      </c>
      <c r="G2" s="231" t="s">
        <v>255</v>
      </c>
      <c r="H2" s="230" t="s">
        <v>256</v>
      </c>
      <c r="I2" s="230" t="s">
        <v>257</v>
      </c>
      <c r="J2" s="232" t="s">
        <v>258</v>
      </c>
      <c r="K2" s="233"/>
    </row>
    <row r="3" spans="1:11" ht="19.350000000000001" customHeight="1" x14ac:dyDescent="0.25">
      <c r="A3" s="505" t="s">
        <v>259</v>
      </c>
      <c r="B3" s="506"/>
      <c r="C3" s="506"/>
      <c r="D3" s="506"/>
      <c r="E3" s="506"/>
      <c r="F3" s="506"/>
      <c r="G3" s="506"/>
      <c r="H3" s="506"/>
      <c r="I3" s="506"/>
      <c r="J3" s="507"/>
      <c r="K3" s="236"/>
    </row>
    <row r="4" spans="1:11" s="244" customFormat="1" ht="19.149999999999999" customHeight="1" x14ac:dyDescent="0.25">
      <c r="A4" s="245" t="s">
        <v>260</v>
      </c>
      <c r="B4" s="238"/>
      <c r="C4" s="239"/>
      <c r="D4" s="239"/>
      <c r="E4" s="239"/>
      <c r="F4" s="239"/>
      <c r="G4" s="239"/>
      <c r="H4" s="240"/>
      <c r="I4" s="241"/>
      <c r="J4" s="242"/>
      <c r="K4" s="243"/>
    </row>
    <row r="5" spans="1:11" s="244" customFormat="1" ht="33.6" customHeight="1" x14ac:dyDescent="0.25">
      <c r="A5" s="245" t="s">
        <v>58</v>
      </c>
      <c r="B5" s="238"/>
      <c r="C5" s="366" t="s">
        <v>265</v>
      </c>
      <c r="D5" s="366" t="s">
        <v>265</v>
      </c>
      <c r="E5" s="366" t="s">
        <v>265</v>
      </c>
      <c r="F5" s="366" t="s">
        <v>265</v>
      </c>
      <c r="G5" s="366" t="s">
        <v>265</v>
      </c>
      <c r="H5" s="366" t="s">
        <v>265</v>
      </c>
      <c r="I5" s="241"/>
      <c r="J5" s="385" t="s">
        <v>339</v>
      </c>
      <c r="K5" s="243"/>
    </row>
    <row r="6" spans="1:11" s="244" customFormat="1" ht="34.9" customHeight="1" x14ac:dyDescent="0.25">
      <c r="A6" s="245" t="str">
        <f>Assumption_Nursery!B143</f>
        <v>Feed</v>
      </c>
      <c r="B6" s="238"/>
      <c r="C6" s="366" t="s">
        <v>265</v>
      </c>
      <c r="D6" s="366" t="s">
        <v>265</v>
      </c>
      <c r="E6" s="366" t="s">
        <v>265</v>
      </c>
      <c r="F6" s="366" t="s">
        <v>265</v>
      </c>
      <c r="G6" s="366" t="s">
        <v>265</v>
      </c>
      <c r="H6" s="366" t="s">
        <v>265</v>
      </c>
      <c r="I6" s="241"/>
      <c r="J6" s="385" t="s">
        <v>338</v>
      </c>
      <c r="K6" s="243"/>
    </row>
    <row r="7" spans="1:11" ht="19.350000000000001" customHeight="1" x14ac:dyDescent="0.25">
      <c r="A7" s="245" t="s">
        <v>264</v>
      </c>
      <c r="B7" s="251" t="s">
        <v>265</v>
      </c>
      <c r="C7" s="366" t="s">
        <v>265</v>
      </c>
      <c r="D7" s="366" t="s">
        <v>265</v>
      </c>
      <c r="E7" s="366" t="s">
        <v>265</v>
      </c>
      <c r="F7" s="366" t="s">
        <v>265</v>
      </c>
      <c r="G7" s="366" t="s">
        <v>265</v>
      </c>
      <c r="H7" s="366" t="s">
        <v>265</v>
      </c>
      <c r="I7" s="248"/>
      <c r="J7" s="249" t="s">
        <v>266</v>
      </c>
      <c r="K7" s="236"/>
    </row>
    <row r="8" spans="1:11" ht="19.350000000000001" customHeight="1" x14ac:dyDescent="0.25">
      <c r="A8" s="253" t="s">
        <v>269</v>
      </c>
      <c r="B8" s="235" t="s">
        <v>250</v>
      </c>
      <c r="C8" s="254" t="s">
        <v>251</v>
      </c>
      <c r="D8" s="255" t="s">
        <v>252</v>
      </c>
      <c r="E8" s="254" t="s">
        <v>253</v>
      </c>
      <c r="F8" s="254" t="s">
        <v>270</v>
      </c>
      <c r="G8" s="256" t="s">
        <v>255</v>
      </c>
      <c r="H8" s="255" t="s">
        <v>271</v>
      </c>
      <c r="I8" s="255" t="s">
        <v>257</v>
      </c>
      <c r="J8" s="257" t="s">
        <v>257</v>
      </c>
      <c r="K8" s="236"/>
    </row>
    <row r="9" spans="1:11" ht="19.350000000000001" customHeight="1" thickBot="1" x14ac:dyDescent="0.3">
      <c r="A9" s="2" t="s">
        <v>65</v>
      </c>
      <c r="B9" s="258" t="s">
        <v>343</v>
      </c>
      <c r="C9" s="246"/>
      <c r="D9" s="246"/>
      <c r="E9" s="246"/>
      <c r="F9" s="246"/>
      <c r="G9" s="246"/>
      <c r="H9" s="247"/>
      <c r="I9" s="248"/>
      <c r="J9" s="258" t="s">
        <v>343</v>
      </c>
      <c r="K9" s="236"/>
    </row>
    <row r="10" spans="1:11" ht="19.350000000000001" customHeight="1" x14ac:dyDescent="0.25">
      <c r="A10" s="259" t="s">
        <v>272</v>
      </c>
      <c r="B10" s="260"/>
      <c r="C10" s="261"/>
      <c r="D10" s="262"/>
      <c r="E10" s="263"/>
      <c r="F10" s="263"/>
      <c r="G10" s="263"/>
      <c r="H10" s="263"/>
      <c r="I10" s="263"/>
      <c r="J10" s="264"/>
      <c r="K10" s="236"/>
    </row>
    <row r="11" spans="1:11" ht="19.350000000000001" customHeight="1" x14ac:dyDescent="0.25">
      <c r="A11" s="265" t="s">
        <v>273</v>
      </c>
      <c r="B11" s="266">
        <v>0.15</v>
      </c>
      <c r="C11" s="267" t="s">
        <v>274</v>
      </c>
      <c r="D11" s="268"/>
      <c r="E11" s="263"/>
      <c r="F11" s="269"/>
      <c r="G11" s="270"/>
      <c r="H11" s="271"/>
      <c r="I11" s="271"/>
      <c r="J11" s="272"/>
      <c r="K11" s="236"/>
    </row>
    <row r="12" spans="1:11" ht="19.350000000000001" customHeight="1" x14ac:dyDescent="0.25">
      <c r="A12" s="265" t="s">
        <v>275</v>
      </c>
      <c r="B12" s="266">
        <v>0.09</v>
      </c>
      <c r="C12" s="273" t="s">
        <v>276</v>
      </c>
      <c r="D12" s="236"/>
      <c r="E12" s="274"/>
      <c r="F12" s="275"/>
      <c r="J12" s="277"/>
      <c r="K12" s="236"/>
    </row>
    <row r="13" spans="1:11" ht="19.350000000000001" customHeight="1" x14ac:dyDescent="0.25">
      <c r="A13" s="265" t="s">
        <v>277</v>
      </c>
      <c r="B13" s="266">
        <v>0.06</v>
      </c>
      <c r="C13" s="273" t="s">
        <v>276</v>
      </c>
      <c r="D13" s="236"/>
      <c r="E13" s="274"/>
      <c r="F13" s="278"/>
      <c r="J13" s="277"/>
      <c r="K13" s="236"/>
    </row>
    <row r="14" spans="1:11" ht="19.350000000000001" customHeight="1" x14ac:dyDescent="0.25">
      <c r="A14" s="265" t="s">
        <v>278</v>
      </c>
      <c r="B14" s="266">
        <v>0.05</v>
      </c>
      <c r="C14" s="273" t="s">
        <v>276</v>
      </c>
      <c r="D14" s="236"/>
      <c r="E14" s="279"/>
      <c r="F14" s="275"/>
      <c r="J14" s="277"/>
      <c r="K14" s="236"/>
    </row>
    <row r="15" spans="1:11" ht="19.350000000000001" customHeight="1" x14ac:dyDescent="0.25">
      <c r="A15" s="265" t="s">
        <v>279</v>
      </c>
      <c r="B15" s="280">
        <v>0.05</v>
      </c>
      <c r="C15" s="273" t="s">
        <v>276</v>
      </c>
      <c r="D15" s="236"/>
      <c r="E15" s="279"/>
      <c r="F15" s="275"/>
      <c r="J15" s="277"/>
      <c r="K15" s="236"/>
    </row>
    <row r="16" spans="1:11" ht="19.350000000000001" customHeight="1" x14ac:dyDescent="0.25">
      <c r="A16" s="265" t="s">
        <v>280</v>
      </c>
      <c r="B16" s="266">
        <v>2.81E-2</v>
      </c>
      <c r="C16" s="281" t="s">
        <v>281</v>
      </c>
      <c r="D16" s="236"/>
      <c r="E16" s="279"/>
      <c r="F16" s="275"/>
      <c r="J16" s="277"/>
      <c r="K16" s="236"/>
    </row>
    <row r="17" spans="1:11" ht="19.350000000000001" customHeight="1" thickBot="1" x14ac:dyDescent="0.3">
      <c r="A17" s="282" t="s">
        <v>282</v>
      </c>
      <c r="B17" s="283">
        <v>0</v>
      </c>
      <c r="C17" s="284" t="s">
        <v>276</v>
      </c>
      <c r="D17" s="236"/>
      <c r="J17" s="277"/>
      <c r="K17" s="236"/>
    </row>
    <row r="18" spans="1:11" ht="19.350000000000001" customHeight="1" x14ac:dyDescent="0.25">
      <c r="A18" s="285" t="s">
        <v>283</v>
      </c>
      <c r="B18" s="286"/>
      <c r="C18" s="287"/>
      <c r="D18" s="288"/>
      <c r="E18" s="289"/>
      <c r="F18" s="289"/>
      <c r="G18" s="290"/>
      <c r="H18" s="291"/>
      <c r="I18" s="236"/>
      <c r="J18" s="277"/>
      <c r="K18" s="236"/>
    </row>
    <row r="19" spans="1:11" ht="19.350000000000001" customHeight="1" x14ac:dyDescent="0.25">
      <c r="A19" s="292" t="s">
        <v>284</v>
      </c>
      <c r="B19" s="293"/>
      <c r="C19" s="294"/>
      <c r="D19" s="295"/>
      <c r="H19" s="277"/>
      <c r="I19" s="236"/>
      <c r="J19" s="277"/>
      <c r="K19" s="236"/>
    </row>
    <row r="20" spans="1:11" ht="19.350000000000001" customHeight="1" x14ac:dyDescent="0.25">
      <c r="A20" s="292" t="s">
        <v>285</v>
      </c>
      <c r="B20" s="293"/>
      <c r="C20" s="294"/>
      <c r="D20" s="295"/>
      <c r="H20" s="277"/>
      <c r="I20" s="236"/>
      <c r="J20" s="277"/>
      <c r="K20" s="236"/>
    </row>
    <row r="21" spans="1:11" ht="19.350000000000001" customHeight="1" x14ac:dyDescent="0.25">
      <c r="A21" s="292" t="s">
        <v>286</v>
      </c>
      <c r="B21" s="293"/>
      <c r="C21" s="294"/>
      <c r="D21" s="295"/>
      <c r="H21" s="277"/>
      <c r="I21" s="236"/>
      <c r="J21" s="277"/>
      <c r="K21" s="236"/>
    </row>
    <row r="22" spans="1:11" ht="19.350000000000001" customHeight="1" x14ac:dyDescent="0.25">
      <c r="A22" s="292" t="s">
        <v>287</v>
      </c>
      <c r="B22" s="293"/>
      <c r="C22" s="294"/>
      <c r="D22" s="295"/>
      <c r="H22" s="277"/>
      <c r="I22" s="236"/>
      <c r="J22" s="277"/>
      <c r="K22" s="236"/>
    </row>
    <row r="23" spans="1:11" ht="19.350000000000001" customHeight="1" thickBot="1" x14ac:dyDescent="0.3">
      <c r="A23" s="296"/>
      <c r="B23" s="297"/>
      <c r="C23" s="298"/>
      <c r="D23" s="299"/>
      <c r="E23" s="300"/>
      <c r="F23" s="300"/>
      <c r="G23" s="301"/>
      <c r="H23" s="302"/>
      <c r="I23" s="236"/>
      <c r="J23" s="277"/>
      <c r="K23" s="236"/>
    </row>
    <row r="24" spans="1:11" ht="19.350000000000001" customHeight="1" x14ac:dyDescent="0.25">
      <c r="A24" s="303"/>
      <c r="B24" s="304"/>
      <c r="C24" s="305"/>
      <c r="D24" s="262"/>
      <c r="E24" s="263"/>
      <c r="F24" s="263"/>
      <c r="G24" s="263"/>
      <c r="H24" s="263"/>
      <c r="I24" s="236"/>
      <c r="J24" s="277"/>
      <c r="K24" s="236"/>
    </row>
    <row r="25" spans="1:11" ht="19.350000000000001" customHeight="1" x14ac:dyDescent="0.25">
      <c r="A25" s="306" t="s">
        <v>288</v>
      </c>
      <c r="B25" s="307"/>
      <c r="C25" s="308"/>
      <c r="D25" s="236"/>
      <c r="E25" s="263"/>
      <c r="F25" s="263"/>
      <c r="G25" s="263"/>
      <c r="H25" s="263"/>
      <c r="I25" s="236"/>
      <c r="J25" s="277"/>
      <c r="K25" s="236"/>
    </row>
    <row r="26" spans="1:11" ht="19.350000000000001" customHeight="1" x14ac:dyDescent="0.25">
      <c r="B26" s="244">
        <v>2018</v>
      </c>
      <c r="C26" s="310"/>
      <c r="D26" s="236"/>
      <c r="E26" s="263"/>
      <c r="F26" s="263"/>
      <c r="G26" s="263"/>
      <c r="H26" s="263"/>
      <c r="I26" s="236"/>
      <c r="J26" s="277"/>
      <c r="K26" s="236"/>
    </row>
    <row r="27" spans="1:11" ht="19.350000000000001" customHeight="1" x14ac:dyDescent="0.25">
      <c r="A27" s="309" t="s">
        <v>289</v>
      </c>
      <c r="B27" s="234">
        <v>29.797999999999998</v>
      </c>
      <c r="C27" s="310" t="s">
        <v>290</v>
      </c>
      <c r="D27" s="236"/>
      <c r="E27" s="263"/>
      <c r="F27" s="263"/>
      <c r="G27" s="263"/>
      <c r="H27" s="263"/>
      <c r="I27" s="236"/>
      <c r="J27" s="277"/>
      <c r="K27" s="236"/>
    </row>
    <row r="28" spans="1:11" ht="19.350000000000001" customHeight="1" x14ac:dyDescent="0.25">
      <c r="A28" s="309" t="s">
        <v>291</v>
      </c>
      <c r="B28" s="234">
        <v>67.709999999999994</v>
      </c>
      <c r="C28" s="310" t="s">
        <v>290</v>
      </c>
      <c r="D28" s="236"/>
      <c r="E28" s="263"/>
      <c r="F28" s="263"/>
      <c r="G28" s="263"/>
      <c r="H28" s="263"/>
      <c r="I28" s="236"/>
      <c r="J28" s="277"/>
      <c r="K28" s="236"/>
    </row>
    <row r="29" spans="1:11" ht="19.350000000000001" customHeight="1" x14ac:dyDescent="0.25">
      <c r="A29" s="311" t="s">
        <v>292</v>
      </c>
      <c r="B29" s="312">
        <v>2.74</v>
      </c>
      <c r="C29" s="313" t="s">
        <v>290</v>
      </c>
      <c r="D29" s="236"/>
      <c r="E29" s="263"/>
      <c r="F29" s="263"/>
      <c r="G29" s="263"/>
      <c r="H29" s="263"/>
      <c r="I29" s="236"/>
      <c r="J29" s="277"/>
      <c r="K29" s="236"/>
    </row>
    <row r="30" spans="1:11" ht="19.350000000000001" customHeight="1" x14ac:dyDescent="0.25">
      <c r="A30" s="314"/>
      <c r="B30" s="271"/>
      <c r="C30" s="264"/>
      <c r="D30" s="236"/>
      <c r="E30" s="263"/>
      <c r="F30" s="263"/>
      <c r="G30" s="263"/>
      <c r="H30" s="263"/>
      <c r="I30" s="236"/>
      <c r="J30" s="277"/>
      <c r="K30" s="236"/>
    </row>
    <row r="31" spans="1:11" ht="19.350000000000001" customHeight="1" x14ac:dyDescent="0.25">
      <c r="A31" s="315" t="s">
        <v>293</v>
      </c>
      <c r="B31" s="234"/>
      <c r="C31" s="310"/>
      <c r="D31" s="236"/>
      <c r="E31" s="263"/>
      <c r="F31" s="263"/>
      <c r="G31" s="263"/>
      <c r="H31" s="263"/>
      <c r="I31" s="236"/>
      <c r="J31" s="277"/>
      <c r="K31" s="236"/>
    </row>
    <row r="32" spans="1:11" ht="19.350000000000001" customHeight="1" thickBot="1" x14ac:dyDescent="0.3">
      <c r="A32" s="316"/>
      <c r="B32" s="317"/>
      <c r="C32" s="318"/>
      <c r="D32" s="262"/>
      <c r="E32" s="263"/>
      <c r="F32" s="263"/>
      <c r="G32" s="263"/>
      <c r="H32" s="263"/>
      <c r="I32" s="236"/>
      <c r="J32" s="277"/>
      <c r="K32" s="236"/>
    </row>
    <row r="33" spans="1:11" ht="19.350000000000001" customHeight="1" x14ac:dyDescent="0.25">
      <c r="A33" s="319"/>
      <c r="B33" s="263"/>
      <c r="C33" s="263"/>
      <c r="D33" s="263"/>
      <c r="E33" s="263"/>
      <c r="F33" s="263"/>
      <c r="G33" s="263"/>
      <c r="H33" s="263"/>
      <c r="I33" s="236"/>
      <c r="J33" s="277"/>
      <c r="K33" s="236"/>
    </row>
  </sheetData>
  <mergeCells count="1">
    <mergeCell ref="A3:J3"/>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sheetPr>
  <dimension ref="A2:AB79"/>
  <sheetViews>
    <sheetView showGridLines="0" zoomScale="85" zoomScaleNormal="85" workbookViewId="0">
      <selection activeCell="A60" sqref="A60"/>
    </sheetView>
  </sheetViews>
  <sheetFormatPr defaultColWidth="9" defaultRowHeight="15" x14ac:dyDescent="0.25"/>
  <cols>
    <col min="1" max="1" width="40.7109375" style="10" customWidth="1"/>
    <col min="2" max="2" width="18.28515625" style="26" customWidth="1"/>
    <col min="3" max="3" width="13" style="26" customWidth="1"/>
    <col min="4" max="4" width="17" style="26" customWidth="1"/>
    <col min="5" max="5" width="14.7109375" style="26" customWidth="1"/>
    <col min="6" max="6" width="14.5703125" style="26" customWidth="1"/>
    <col min="7" max="7" width="14.28515625" style="26" customWidth="1"/>
    <col min="8" max="8" width="15.28515625" style="26" customWidth="1"/>
    <col min="9" max="9" width="14.28515625" style="26" customWidth="1"/>
    <col min="10" max="10" width="16.42578125" style="26" customWidth="1"/>
    <col min="11" max="11" width="15" style="26" customWidth="1"/>
    <col min="12" max="12" width="15.140625" style="26" customWidth="1"/>
    <col min="13" max="23" width="13.7109375" style="3" customWidth="1"/>
    <col min="24" max="24" width="15.7109375" style="3" customWidth="1"/>
    <col min="25" max="25" width="13.7109375" style="3" customWidth="1"/>
    <col min="26" max="26" width="15.42578125" style="3" customWidth="1"/>
    <col min="27" max="27" width="14.7109375" style="3" customWidth="1"/>
    <col min="28" max="28" width="15.28515625" style="3" customWidth="1"/>
    <col min="29" max="16384" width="9" style="3"/>
  </cols>
  <sheetData>
    <row r="2" spans="1:27" ht="38.25" customHeight="1" x14ac:dyDescent="0.25">
      <c r="A2" s="11" t="s">
        <v>332</v>
      </c>
      <c r="B2" s="30"/>
      <c r="C2" s="69"/>
      <c r="D2" s="70"/>
      <c r="E2" s="30"/>
      <c r="F2" s="116" t="s">
        <v>91</v>
      </c>
      <c r="G2" s="30"/>
      <c r="H2" s="30"/>
      <c r="I2" s="30"/>
      <c r="J2" s="30"/>
      <c r="K2" s="30"/>
      <c r="L2" s="30"/>
      <c r="M2" s="11"/>
    </row>
    <row r="3" spans="1:27" ht="15" customHeight="1" x14ac:dyDescent="0.25">
      <c r="A3" s="22"/>
      <c r="B3" s="30"/>
      <c r="C3" s="30"/>
      <c r="D3" s="30"/>
      <c r="E3" s="30"/>
      <c r="F3" s="30"/>
      <c r="G3" s="30"/>
      <c r="H3" s="30"/>
      <c r="I3" s="30"/>
      <c r="J3" s="30"/>
      <c r="K3" s="30"/>
      <c r="L3" s="30"/>
      <c r="M3" s="11"/>
    </row>
    <row r="4" spans="1:27"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c r="AA4" s="26">
        <v>25</v>
      </c>
    </row>
    <row r="5" spans="1:27" x14ac:dyDescent="0.25">
      <c r="A5" s="23" t="s">
        <v>3</v>
      </c>
    </row>
    <row r="6" spans="1:27" x14ac:dyDescent="0.25">
      <c r="A6" s="10" t="s">
        <v>162</v>
      </c>
      <c r="B6" s="31">
        <f>Assumption_Fattening!D18*Assumption_Fattening!D175*Assumption_Fattening!D176*(1+Assumption_Fattening!D177)^Assumption_Fattening!D174</f>
        <v>0</v>
      </c>
      <c r="C6" s="31">
        <f>Assumption_Fattening!E18*Assumption_Fattening!E175*Assumption_Fattening!E176*(1+Assumption_Fattening!E177)^Assumption_Fattening!E174</f>
        <v>1216923.75</v>
      </c>
      <c r="D6" s="31">
        <f>Assumption_Fattening!F18*Assumption_Fattening!F175*Assumption_Fattening!F176*(1+Assumption_Fattening!F177)^Assumption_Fattening!F174</f>
        <v>4096976.625</v>
      </c>
      <c r="E6" s="31">
        <f>Assumption_Fattening!G18*Assumption_Fattening!G175*Assumption_Fattening!G176*(1+Assumption_Fattening!G177)^Assumption_Fattening!G174</f>
        <v>5803469.8137281248</v>
      </c>
      <c r="F6" s="31">
        <f>Assumption_Fattening!H18*Assumption_Fattening!H175*Assumption_Fattening!H176*(1+Assumption_Fattening!H177)^Assumption_Fattening!H174</f>
        <v>7940719.1248087501</v>
      </c>
      <c r="G6" s="31">
        <f>Assumption_Fattening!I18*Assumption_Fattening!I175*Assumption_Fattening!I176*(1+Assumption_Fattening!I177)^Assumption_Fattening!I174</f>
        <v>8442238.22742825</v>
      </c>
      <c r="H6" s="31">
        <f>Assumption_Fattening!J18*Assumption_Fattening!J175*Assumption_Fattening!J176*(1+Assumption_Fattening!J177)^Assumption_Fattening!J174</f>
        <v>7034495.00300459</v>
      </c>
      <c r="I6" s="31">
        <f>Assumption_Fattening!K18*Assumption_Fattening!K175*Assumption_Fattening!K176*(1+Assumption_Fattening!K177)^Assumption_Fattening!K174</f>
        <v>8611927.215799557</v>
      </c>
      <c r="J6" s="31">
        <f>Assumption_Fattening!L18*Assumption_Fattening!L175*Assumption_Fattening!L176*(1+Assumption_Fattening!L177)^Assumption_Fattening!L174</f>
        <v>8698046.4879575539</v>
      </c>
      <c r="K6" s="31">
        <f>Assumption_Fattening!M18*Assumption_Fattening!M175*Assumption_Fattening!M176*(1+Assumption_Fattening!M177)^Assumption_Fattening!M174</f>
        <v>7247647.2360906331</v>
      </c>
      <c r="L6" s="31">
        <f>Assumption_Fattening!N18*Assumption_Fattening!N175*Assumption_Fattening!N176*(1+Assumption_Fattening!N177)^Assumption_Fattening!N174</f>
        <v>8872877.2223655023</v>
      </c>
      <c r="M6" s="31">
        <f>Assumption_Fattening!O18*Assumption_Fattening!O175*Assumption_Fattening!O176*(1+Assumption_Fattening!O177)^Assumption_Fattening!O174</f>
        <v>8961605.9945891555</v>
      </c>
      <c r="N6" s="31">
        <f>Assumption_Fattening!P18*Assumption_Fattening!P175*Assumption_Fattening!P176*(1+Assumption_Fattening!P177)^Assumption_Fattening!P174</f>
        <v>7467258.1949914135</v>
      </c>
      <c r="O6" s="31">
        <f>Assumption_Fattening!Q18*Assumption_Fattening!Q175*Assumption_Fattening!Q176*(1+Assumption_Fattening!Q177)^Assumption_Fattening!Q174</f>
        <v>9141734.2750803977</v>
      </c>
      <c r="P6" s="31">
        <f>Assumption_Fattening!R18*Assumption_Fattening!R175*Assumption_Fattening!R176*(1+Assumption_Fattening!R177)^Assumption_Fattening!R174</f>
        <v>9233151.6178312041</v>
      </c>
      <c r="Q6" s="31">
        <f>Assumption_Fattening!S18*Assumption_Fattening!S175*Assumption_Fattening!S176*(1+Assumption_Fattening!S177)^Assumption_Fattening!S174</f>
        <v>7693523.5855578482</v>
      </c>
      <c r="R6" s="31">
        <f>Assumption_Fattening!T18*Assumption_Fattening!T175*Assumption_Fattening!T176*(1+Assumption_Fattening!T177)^Assumption_Fattening!T174</f>
        <v>9418737.9653496109</v>
      </c>
      <c r="S6" s="31">
        <f>Assumption_Fattening!U18*Assumption_Fattening!U175*Assumption_Fattening!U176*(1+Assumption_Fattening!U177)^Assumption_Fattening!U174</f>
        <v>9512925.3450031076</v>
      </c>
      <c r="T6" s="31">
        <f>Assumption_Fattening!V18*Assumption_Fattening!V175*Assumption_Fattening!V176*(1+Assumption_Fattening!V177)^Assumption_Fattening!V174</f>
        <v>7926645.0437238393</v>
      </c>
      <c r="U6" s="31">
        <f>Assumption_Fattening!W18*Assumption_Fattening!W175*Assumption_Fattening!W176*(1+Assumption_Fattening!W177)^Assumption_Fattening!W174</f>
        <v>9704135.144437667</v>
      </c>
      <c r="V6" s="31">
        <f>Assumption_Fattening!X18*Assumption_Fattening!X175*Assumption_Fattening!X176*(1+Assumption_Fattening!X177)^Assumption_Fattening!X174</f>
        <v>9801176.4958820455</v>
      </c>
      <c r="W6" s="31">
        <f>Assumption_Fattening!Y18*Assumption_Fattening!Y175*Assumption_Fattening!Y176*(1+Assumption_Fattening!Y177)^Assumption_Fattening!Y174</f>
        <v>6941805.7679146565</v>
      </c>
      <c r="X6" s="31">
        <f>Assumption_Fattening!Z18*Assumption_Fattening!Z175*Assumption_Fattening!Z176*(1+Assumption_Fattening!Z177)^Assumption_Fattening!Z174</f>
        <v>4999090.0717246383</v>
      </c>
      <c r="Y6" s="31">
        <f>Assumption_Fattening!AA18*Assumption_Fattening!AA175*Assumption_Fattening!AA176*(1+Assumption_Fattening!AA177)^Assumption_Fattening!AA174</f>
        <v>1514724.291732565</v>
      </c>
      <c r="Z6" s="31">
        <f>Assumption_Fattening!AB18*Assumption_Fattening!AB175*Assumption_Fattening!AB176*(1+Assumption_Fattening!AB177)^Assumption_Fattening!AB174</f>
        <v>420714.67202872003</v>
      </c>
      <c r="AA6" s="31">
        <f>Assumption_Fattening!AC18*Assumption_Fattening!AC175*Assumption_Fattening!AC176*(1+Assumption_Fattening!AC177)^Assumption_Fattening!AC174</f>
        <v>0</v>
      </c>
    </row>
    <row r="7" spans="1:27" s="12" customFormat="1" x14ac:dyDescent="0.25">
      <c r="A7" s="23" t="s">
        <v>53</v>
      </c>
      <c r="B7" s="38">
        <f>B6</f>
        <v>0</v>
      </c>
      <c r="C7" s="38">
        <f t="shared" ref="C7:AA7" si="0">C6</f>
        <v>1216923.75</v>
      </c>
      <c r="D7" s="38">
        <f t="shared" si="0"/>
        <v>4096976.625</v>
      </c>
      <c r="E7" s="38">
        <f t="shared" si="0"/>
        <v>5803469.8137281248</v>
      </c>
      <c r="F7" s="38">
        <f t="shared" si="0"/>
        <v>7940719.1248087501</v>
      </c>
      <c r="G7" s="38">
        <f t="shared" si="0"/>
        <v>8442238.22742825</v>
      </c>
      <c r="H7" s="38">
        <f t="shared" si="0"/>
        <v>7034495.00300459</v>
      </c>
      <c r="I7" s="38">
        <f t="shared" si="0"/>
        <v>8611927.215799557</v>
      </c>
      <c r="J7" s="38">
        <f t="shared" si="0"/>
        <v>8698046.4879575539</v>
      </c>
      <c r="K7" s="38">
        <f t="shared" si="0"/>
        <v>7247647.2360906331</v>
      </c>
      <c r="L7" s="38">
        <f t="shared" si="0"/>
        <v>8872877.2223655023</v>
      </c>
      <c r="M7" s="38">
        <f t="shared" si="0"/>
        <v>8961605.9945891555</v>
      </c>
      <c r="N7" s="38">
        <f t="shared" si="0"/>
        <v>7467258.1949914135</v>
      </c>
      <c r="O7" s="38">
        <f t="shared" si="0"/>
        <v>9141734.2750803977</v>
      </c>
      <c r="P7" s="38">
        <f t="shared" si="0"/>
        <v>9233151.6178312041</v>
      </c>
      <c r="Q7" s="38">
        <f t="shared" si="0"/>
        <v>7693523.5855578482</v>
      </c>
      <c r="R7" s="38">
        <f t="shared" si="0"/>
        <v>9418737.9653496109</v>
      </c>
      <c r="S7" s="38">
        <f t="shared" si="0"/>
        <v>9512925.3450031076</v>
      </c>
      <c r="T7" s="38">
        <f t="shared" si="0"/>
        <v>7926645.0437238393</v>
      </c>
      <c r="U7" s="38">
        <f t="shared" si="0"/>
        <v>9704135.144437667</v>
      </c>
      <c r="V7" s="38">
        <f t="shared" si="0"/>
        <v>9801176.4958820455</v>
      </c>
      <c r="W7" s="38">
        <f t="shared" si="0"/>
        <v>6941805.7679146565</v>
      </c>
      <c r="X7" s="38">
        <f t="shared" si="0"/>
        <v>4999090.0717246383</v>
      </c>
      <c r="Y7" s="38">
        <f t="shared" si="0"/>
        <v>1514724.291732565</v>
      </c>
      <c r="Z7" s="38">
        <f t="shared" si="0"/>
        <v>420714.67202872003</v>
      </c>
      <c r="AA7" s="38">
        <f t="shared" si="0"/>
        <v>0</v>
      </c>
    </row>
    <row r="8" spans="1:27" x14ac:dyDescent="0.25">
      <c r="A8" s="23"/>
      <c r="B8" s="41"/>
      <c r="C8" s="41"/>
      <c r="D8" s="41"/>
      <c r="E8" s="41"/>
      <c r="F8" s="41"/>
      <c r="G8" s="41"/>
      <c r="H8" s="41"/>
      <c r="I8" s="41"/>
      <c r="J8" s="41"/>
      <c r="K8" s="41"/>
    </row>
    <row r="9" spans="1:27" x14ac:dyDescent="0.25">
      <c r="A9" s="23" t="s">
        <v>20</v>
      </c>
    </row>
    <row r="10" spans="1:27" x14ac:dyDescent="0.25">
      <c r="A10" s="9" t="str">
        <f>Assumption_Fattening!B181</f>
        <v>Crab Farm Establishment</v>
      </c>
      <c r="B10" s="33">
        <f>Assumption_Fattening!D181*Assumption_Fattening!D16</f>
        <v>0</v>
      </c>
      <c r="C10" s="33">
        <f>Assumption_Fattening!E181*Assumption_Fattening!E16</f>
        <v>900000</v>
      </c>
      <c r="D10" s="33">
        <f>Assumption_Fattening!F181*Assumption_Fattening!F16</f>
        <v>2100000</v>
      </c>
      <c r="E10" s="33">
        <f>Assumption_Fattening!G181*Assumption_Fattening!G16</f>
        <v>2100000</v>
      </c>
      <c r="F10" s="33">
        <f>Assumption_Fattening!H181*Assumption_Fattening!H16</f>
        <v>600000</v>
      </c>
      <c r="G10" s="33">
        <f>Assumption_Fattening!I181*Assumption_Fattening!I16</f>
        <v>300000</v>
      </c>
      <c r="H10" s="33">
        <f>Assumption_Fattening!J181*Assumption_Fattening!J16</f>
        <v>0</v>
      </c>
      <c r="I10" s="33">
        <f>Assumption_Fattening!K181*Assumption_Fattening!K16</f>
        <v>0</v>
      </c>
      <c r="J10" s="33">
        <f>Assumption_Fattening!L181*Assumption_Fattening!L16</f>
        <v>0</v>
      </c>
      <c r="K10" s="33">
        <f>Assumption_Fattening!M181*Assumption_Fattening!M16</f>
        <v>0</v>
      </c>
      <c r="L10" s="33">
        <f>Assumption_Fattening!N181*Assumption_Fattening!N16</f>
        <v>0</v>
      </c>
      <c r="M10" s="33">
        <f>Assumption_Fattening!O181*Assumption_Fattening!O16</f>
        <v>0</v>
      </c>
      <c r="N10" s="33">
        <f>Assumption_Fattening!P181*Assumption_Fattening!P16</f>
        <v>0</v>
      </c>
      <c r="O10" s="33">
        <f>Assumption_Fattening!Q181*Assumption_Fattening!Q16</f>
        <v>0</v>
      </c>
      <c r="P10" s="33">
        <f>Assumption_Fattening!R181*Assumption_Fattening!R16</f>
        <v>0</v>
      </c>
      <c r="Q10" s="33">
        <f>Assumption_Fattening!S181*Assumption_Fattening!S16</f>
        <v>0</v>
      </c>
      <c r="R10" s="33">
        <f>Assumption_Fattening!T181*Assumption_Fattening!T16</f>
        <v>0</v>
      </c>
      <c r="S10" s="33">
        <f>Assumption_Fattening!U181*Assumption_Fattening!U16</f>
        <v>0</v>
      </c>
      <c r="T10" s="33">
        <f>Assumption_Fattening!V181*Assumption_Fattening!V16</f>
        <v>0</v>
      </c>
      <c r="U10" s="33">
        <f>Assumption_Fattening!W181*Assumption_Fattening!W16</f>
        <v>0</v>
      </c>
      <c r="V10" s="33">
        <f>Assumption_Fattening!X181*Assumption_Fattening!X16</f>
        <v>0</v>
      </c>
      <c r="W10" s="33">
        <f>Assumption_Fattening!Y181*Assumption_Fattening!Y16</f>
        <v>0</v>
      </c>
      <c r="X10" s="33">
        <f>Assumption_Fattening!Z181*Assumption_Fattening!Z16</f>
        <v>0</v>
      </c>
      <c r="Y10" s="33">
        <f>Assumption_Fattening!AA181*Assumption_Fattening!AA16</f>
        <v>0</v>
      </c>
      <c r="Z10" s="33">
        <f>Assumption_Fattening!AB181*Assumption_Fattening!AB16</f>
        <v>0</v>
      </c>
      <c r="AA10" s="33">
        <f>Assumption_Fattening!AC181*Assumption_Fattening!AC16</f>
        <v>0</v>
      </c>
    </row>
    <row r="11" spans="1:27" x14ac:dyDescent="0.25">
      <c r="A11" s="9" t="str">
        <f>Assumption_Fattening!B182</f>
        <v>Operation Cost (Small crab purchase)</v>
      </c>
      <c r="B11" s="33">
        <f>Assumption_Fattening!D18*Assumption_Fattening!D182</f>
        <v>0</v>
      </c>
      <c r="C11" s="33">
        <f>Assumption_Fattening!E18*Assumption_Fattening!E182</f>
        <v>118125.00000000001</v>
      </c>
      <c r="D11" s="33">
        <f>Assumption_Fattening!F18*Assumption_Fattening!F182</f>
        <v>393750.00000000006</v>
      </c>
      <c r="E11" s="33">
        <f>Assumption_Fattening!G18*Assumption_Fattening!G182</f>
        <v>669375.00000000012</v>
      </c>
      <c r="F11" s="33">
        <f>Assumption_Fattening!H18*Assumption_Fattening!H182</f>
        <v>748125.00000000012</v>
      </c>
      <c r="G11" s="33">
        <f>Assumption_Fattening!I18*Assumption_Fattening!I182</f>
        <v>787500.00000000012</v>
      </c>
      <c r="H11" s="33">
        <f>Assumption_Fattening!J18*Assumption_Fattening!J182</f>
        <v>787500.00000000012</v>
      </c>
      <c r="I11" s="33">
        <f>Assumption_Fattening!K18*Assumption_Fattening!K182</f>
        <v>787500.00000000012</v>
      </c>
      <c r="J11" s="33">
        <f>Assumption_Fattening!L18*Assumption_Fattening!L182</f>
        <v>787500.00000000012</v>
      </c>
      <c r="K11" s="33">
        <f>Assumption_Fattening!M18*Assumption_Fattening!M182</f>
        <v>787500.00000000012</v>
      </c>
      <c r="L11" s="33">
        <f>Assumption_Fattening!N18*Assumption_Fattening!N182</f>
        <v>787500.00000000012</v>
      </c>
      <c r="M11" s="33">
        <f>Assumption_Fattening!O18*Assumption_Fattening!O182</f>
        <v>787500.00000000012</v>
      </c>
      <c r="N11" s="33">
        <f>Assumption_Fattening!P18*Assumption_Fattening!P182</f>
        <v>787500.00000000012</v>
      </c>
      <c r="O11" s="33">
        <f>Assumption_Fattening!Q18*Assumption_Fattening!Q182</f>
        <v>787500.00000000012</v>
      </c>
      <c r="P11" s="33">
        <f>Assumption_Fattening!R18*Assumption_Fattening!R182</f>
        <v>787500.00000000012</v>
      </c>
      <c r="Q11" s="33">
        <f>Assumption_Fattening!S18*Assumption_Fattening!S182</f>
        <v>787500.00000000012</v>
      </c>
      <c r="R11" s="33">
        <f>Assumption_Fattening!T18*Assumption_Fattening!T182</f>
        <v>787500.00000000012</v>
      </c>
      <c r="S11" s="33">
        <f>Assumption_Fattening!U18*Assumption_Fattening!U182</f>
        <v>787500.00000000012</v>
      </c>
      <c r="T11" s="33">
        <f>Assumption_Fattening!V18*Assumption_Fattening!V182</f>
        <v>787500.00000000012</v>
      </c>
      <c r="U11" s="33">
        <f>Assumption_Fattening!W18*Assumption_Fattening!W182</f>
        <v>787500.00000000012</v>
      </c>
      <c r="V11" s="33">
        <f>Assumption_Fattening!X18*Assumption_Fattening!X182</f>
        <v>787500.00000000012</v>
      </c>
      <c r="W11" s="33">
        <f>Assumption_Fattening!Y18*Assumption_Fattening!Y182</f>
        <v>669375.00000000012</v>
      </c>
      <c r="X11" s="33">
        <f>Assumption_Fattening!Z18*Assumption_Fattening!Z182</f>
        <v>393750.00000000006</v>
      </c>
      <c r="Y11" s="33">
        <f>Assumption_Fattening!AA18*Assumption_Fattening!AA182</f>
        <v>118125.00000000001</v>
      </c>
      <c r="Z11" s="33">
        <f>Assumption_Fattening!AB18*Assumption_Fattening!AB182</f>
        <v>39375.000000000007</v>
      </c>
      <c r="AA11" s="33">
        <f>Assumption_Fattening!AC18*Assumption_Fattening!AC182</f>
        <v>0</v>
      </c>
    </row>
    <row r="12" spans="1:27" x14ac:dyDescent="0.25">
      <c r="A12" s="9" t="str">
        <f>Assumption_Fattening!B183</f>
        <v>Maintenance</v>
      </c>
      <c r="B12" s="33">
        <f>Assumption_Fattening!D18*Assumption_Fattening!D183</f>
        <v>0</v>
      </c>
      <c r="C12" s="33">
        <f>Assumption_Fattening!E18*Assumption_Fattening!E183</f>
        <v>420000</v>
      </c>
      <c r="D12" s="33">
        <f>Assumption_Fattening!F18*Assumption_Fattening!F183</f>
        <v>1400000</v>
      </c>
      <c r="E12" s="33">
        <f>Assumption_Fattening!G18*Assumption_Fattening!G183</f>
        <v>2415700</v>
      </c>
      <c r="F12" s="33">
        <f>Assumption_Fattening!H18*Assumption_Fattening!H183</f>
        <v>2660000</v>
      </c>
      <c r="G12" s="33">
        <f>Assumption_Fattening!I18*Assumption_Fattening!I183</f>
        <v>2800000</v>
      </c>
      <c r="H12" s="33">
        <f>Assumption_Fattening!J18*Assumption_Fattening!J183</f>
        <v>2842000</v>
      </c>
      <c r="I12" s="33">
        <f>Assumption_Fattening!K18*Assumption_Fattening!K183</f>
        <v>2800000</v>
      </c>
      <c r="J12" s="33">
        <f>Assumption_Fattening!L18*Assumption_Fattening!L183</f>
        <v>2800000</v>
      </c>
      <c r="K12" s="33">
        <f>Assumption_Fattening!M18*Assumption_Fattening!M183</f>
        <v>2842000</v>
      </c>
      <c r="L12" s="33">
        <f>Assumption_Fattening!N18*Assumption_Fattening!N183</f>
        <v>2800000</v>
      </c>
      <c r="M12" s="33">
        <f>Assumption_Fattening!O18*Assumption_Fattening!O183</f>
        <v>2800000</v>
      </c>
      <c r="N12" s="33">
        <f>Assumption_Fattening!P18*Assumption_Fattening!P183</f>
        <v>2842000</v>
      </c>
      <c r="O12" s="33">
        <f>Assumption_Fattening!Q18*Assumption_Fattening!Q183</f>
        <v>2800000</v>
      </c>
      <c r="P12" s="33">
        <f>Assumption_Fattening!R18*Assumption_Fattening!R183</f>
        <v>2800000</v>
      </c>
      <c r="Q12" s="33">
        <f>Assumption_Fattening!S18*Assumption_Fattening!S183</f>
        <v>2842000</v>
      </c>
      <c r="R12" s="33">
        <f>Assumption_Fattening!T18*Assumption_Fattening!T183</f>
        <v>2800000</v>
      </c>
      <c r="S12" s="33">
        <f>Assumption_Fattening!U18*Assumption_Fattening!U183</f>
        <v>2800000</v>
      </c>
      <c r="T12" s="33">
        <f>Assumption_Fattening!V18*Assumption_Fattening!V183</f>
        <v>2842000</v>
      </c>
      <c r="U12" s="33">
        <f>Assumption_Fattening!W18*Assumption_Fattening!W183</f>
        <v>2800000</v>
      </c>
      <c r="V12" s="33">
        <f>Assumption_Fattening!X18*Assumption_Fattening!X183</f>
        <v>2800000</v>
      </c>
      <c r="W12" s="33">
        <f>Assumption_Fattening!Y18*Assumption_Fattening!Y183</f>
        <v>2415700</v>
      </c>
      <c r="X12" s="33">
        <f>Assumption_Fattening!Z18*Assumption_Fattening!Z183</f>
        <v>1400000</v>
      </c>
      <c r="Y12" s="33">
        <f>Assumption_Fattening!AA18*Assumption_Fattening!AA183</f>
        <v>420000</v>
      </c>
      <c r="Z12" s="33">
        <f>Assumption_Fattening!AB18*Assumption_Fattening!AB183</f>
        <v>142100</v>
      </c>
      <c r="AA12" s="33">
        <f>Assumption_Fattening!AC18*Assumption_Fattening!AC183</f>
        <v>0</v>
      </c>
    </row>
    <row r="13" spans="1:27" x14ac:dyDescent="0.25">
      <c r="A13" s="9" t="str">
        <f>Assumption_Fattening!B184</f>
        <v>Feed</v>
      </c>
      <c r="B13" s="33">
        <f>Assumption_Fattening!D18*Assumption_Fattening!D184</f>
        <v>0</v>
      </c>
      <c r="C13" s="33">
        <f>Assumption_Fattening!E18*Assumption_Fattening!E184</f>
        <v>450000</v>
      </c>
      <c r="D13" s="33">
        <f>Assumption_Fattening!F18*Assumption_Fattening!F184</f>
        <v>1500000</v>
      </c>
      <c r="E13" s="33">
        <f>Assumption_Fattening!G18*Assumption_Fattening!G184</f>
        <v>2677500</v>
      </c>
      <c r="F13" s="33">
        <f>Assumption_Fattening!H18*Assumption_Fattening!H184</f>
        <v>2850000</v>
      </c>
      <c r="G13" s="33">
        <f>Assumption_Fattening!I18*Assumption_Fattening!I184</f>
        <v>3000000</v>
      </c>
      <c r="H13" s="33">
        <f>Assumption_Fattening!J18*Assumption_Fattening!J184</f>
        <v>3150000</v>
      </c>
      <c r="I13" s="33">
        <f>Assumption_Fattening!K18*Assumption_Fattening!K184</f>
        <v>3000000</v>
      </c>
      <c r="J13" s="33">
        <f>Assumption_Fattening!L18*Assumption_Fattening!L184</f>
        <v>3000000</v>
      </c>
      <c r="K13" s="33">
        <f>Assumption_Fattening!M18*Assumption_Fattening!M184</f>
        <v>3150000</v>
      </c>
      <c r="L13" s="33">
        <f>Assumption_Fattening!N18*Assumption_Fattening!N184</f>
        <v>3000000</v>
      </c>
      <c r="M13" s="33">
        <f>Assumption_Fattening!O18*Assumption_Fattening!O184</f>
        <v>3000000</v>
      </c>
      <c r="N13" s="33">
        <f>Assumption_Fattening!P18*Assumption_Fattening!P184</f>
        <v>3150000</v>
      </c>
      <c r="O13" s="33">
        <f>Assumption_Fattening!Q18*Assumption_Fattening!Q184</f>
        <v>3000000</v>
      </c>
      <c r="P13" s="33">
        <f>Assumption_Fattening!R18*Assumption_Fattening!R184</f>
        <v>3000000</v>
      </c>
      <c r="Q13" s="33">
        <f>Assumption_Fattening!S18*Assumption_Fattening!S184</f>
        <v>3150000</v>
      </c>
      <c r="R13" s="33">
        <f>Assumption_Fattening!T18*Assumption_Fattening!T184</f>
        <v>3000000</v>
      </c>
      <c r="S13" s="33">
        <f>Assumption_Fattening!U18*Assumption_Fattening!U184</f>
        <v>3000000</v>
      </c>
      <c r="T13" s="33">
        <f>Assumption_Fattening!V18*Assumption_Fattening!V184</f>
        <v>3150000</v>
      </c>
      <c r="U13" s="33">
        <f>Assumption_Fattening!W18*Assumption_Fattening!W184</f>
        <v>3000000</v>
      </c>
      <c r="V13" s="33">
        <f>Assumption_Fattening!X18*Assumption_Fattening!X184</f>
        <v>3000000</v>
      </c>
      <c r="W13" s="33">
        <f>Assumption_Fattening!Y18*Assumption_Fattening!Y184</f>
        <v>2677500</v>
      </c>
      <c r="X13" s="33">
        <f>Assumption_Fattening!Z18*Assumption_Fattening!Z184</f>
        <v>1500000</v>
      </c>
      <c r="Y13" s="33">
        <f>Assumption_Fattening!AA18*Assumption_Fattening!AA184</f>
        <v>450000</v>
      </c>
      <c r="Z13" s="33">
        <f>Assumption_Fattening!AB18*Assumption_Fattening!AB184</f>
        <v>157500</v>
      </c>
      <c r="AA13" s="33">
        <f>Assumption_Fattening!AC18*Assumption_Fattening!AC184</f>
        <v>0</v>
      </c>
    </row>
    <row r="14" spans="1:27" s="50" customFormat="1" x14ac:dyDescent="0.25">
      <c r="A14" s="52" t="s">
        <v>131</v>
      </c>
      <c r="B14" s="49">
        <f>Assumption_Fattening!D43</f>
        <v>0</v>
      </c>
      <c r="C14" s="49">
        <f>Assumption_Fattening!E43</f>
        <v>1692600</v>
      </c>
      <c r="D14" s="49">
        <f>Assumption_Fattening!F43</f>
        <v>3949400</v>
      </c>
      <c r="E14" s="49">
        <f>Assumption_Fattening!G43</f>
        <v>3949400</v>
      </c>
      <c r="F14" s="49">
        <f>Assumption_Fattening!H43</f>
        <v>1128400</v>
      </c>
      <c r="G14" s="49">
        <f>Assumption_Fattening!I43</f>
        <v>564200</v>
      </c>
      <c r="H14" s="49">
        <f>Assumption_Fattening!J43</f>
        <v>0</v>
      </c>
      <c r="I14" s="49">
        <f>Assumption_Fattening!K43</f>
        <v>0</v>
      </c>
      <c r="J14" s="49">
        <f>Assumption_Fattening!L43</f>
        <v>0</v>
      </c>
      <c r="K14" s="49">
        <f>Assumption_Fattening!M43</f>
        <v>0</v>
      </c>
      <c r="L14" s="49">
        <f>Assumption_Fattening!N43</f>
        <v>0</v>
      </c>
      <c r="M14" s="49">
        <f>Assumption_Fattening!O43</f>
        <v>0</v>
      </c>
      <c r="N14" s="49">
        <f>Assumption_Fattening!P43</f>
        <v>0</v>
      </c>
      <c r="O14" s="49">
        <f>Assumption_Fattening!Q43</f>
        <v>0</v>
      </c>
      <c r="P14" s="49">
        <f>Assumption_Fattening!R43</f>
        <v>0</v>
      </c>
      <c r="Q14" s="49">
        <f>Assumption_Fattening!S43</f>
        <v>0</v>
      </c>
      <c r="R14" s="49">
        <f>Assumption_Fattening!T43</f>
        <v>0</v>
      </c>
      <c r="S14" s="49">
        <f>Assumption_Fattening!U43</f>
        <v>0</v>
      </c>
      <c r="T14" s="49">
        <f>Assumption_Fattening!V43</f>
        <v>0</v>
      </c>
      <c r="U14" s="49">
        <f>Assumption_Fattening!W43</f>
        <v>0</v>
      </c>
      <c r="V14" s="49">
        <f>Assumption_Fattening!X43</f>
        <v>0</v>
      </c>
      <c r="W14" s="49">
        <f>Assumption_Fattening!Y43</f>
        <v>0</v>
      </c>
      <c r="X14" s="49">
        <f>Assumption_Fattening!Z43</f>
        <v>0</v>
      </c>
      <c r="Y14" s="49">
        <f>Assumption_Fattening!AA43</f>
        <v>0</v>
      </c>
      <c r="Z14" s="49">
        <f>Assumption_Fattening!AB43</f>
        <v>0</v>
      </c>
      <c r="AA14" s="49">
        <f>Assumption_Fattening!AC43</f>
        <v>0</v>
      </c>
    </row>
    <row r="15" spans="1:27" x14ac:dyDescent="0.25">
      <c r="A15" s="117" t="s">
        <v>54</v>
      </c>
      <c r="B15" s="37">
        <f t="shared" ref="B15:AA15" si="1">SUM(B10:B14)</f>
        <v>0</v>
      </c>
      <c r="C15" s="37">
        <f t="shared" si="1"/>
        <v>3580725</v>
      </c>
      <c r="D15" s="37">
        <f t="shared" si="1"/>
        <v>9343150</v>
      </c>
      <c r="E15" s="37">
        <f t="shared" si="1"/>
        <v>11811975</v>
      </c>
      <c r="F15" s="37">
        <f t="shared" si="1"/>
        <v>7986525</v>
      </c>
      <c r="G15" s="37">
        <f t="shared" si="1"/>
        <v>7451700</v>
      </c>
      <c r="H15" s="37">
        <f t="shared" si="1"/>
        <v>6779500</v>
      </c>
      <c r="I15" s="37">
        <f t="shared" si="1"/>
        <v>6587500</v>
      </c>
      <c r="J15" s="37">
        <f t="shared" si="1"/>
        <v>6587500</v>
      </c>
      <c r="K15" s="37">
        <f t="shared" si="1"/>
        <v>6779500</v>
      </c>
      <c r="L15" s="37">
        <f t="shared" si="1"/>
        <v>6587500</v>
      </c>
      <c r="M15" s="37">
        <f t="shared" si="1"/>
        <v>6587500</v>
      </c>
      <c r="N15" s="37">
        <f t="shared" si="1"/>
        <v>6779500</v>
      </c>
      <c r="O15" s="37">
        <f t="shared" si="1"/>
        <v>6587500</v>
      </c>
      <c r="P15" s="37">
        <f t="shared" si="1"/>
        <v>6587500</v>
      </c>
      <c r="Q15" s="37">
        <f t="shared" si="1"/>
        <v>6779500</v>
      </c>
      <c r="R15" s="37">
        <f t="shared" si="1"/>
        <v>6587500</v>
      </c>
      <c r="S15" s="37">
        <f t="shared" si="1"/>
        <v>6587500</v>
      </c>
      <c r="T15" s="37">
        <f t="shared" si="1"/>
        <v>6779500</v>
      </c>
      <c r="U15" s="37">
        <f t="shared" si="1"/>
        <v>6587500</v>
      </c>
      <c r="V15" s="37">
        <f t="shared" si="1"/>
        <v>6587500</v>
      </c>
      <c r="W15" s="37">
        <f t="shared" si="1"/>
        <v>5762575</v>
      </c>
      <c r="X15" s="37">
        <f t="shared" si="1"/>
        <v>3293750</v>
      </c>
      <c r="Y15" s="37">
        <f t="shared" si="1"/>
        <v>988125</v>
      </c>
      <c r="Z15" s="37">
        <f t="shared" si="1"/>
        <v>338975</v>
      </c>
      <c r="AA15" s="37">
        <f t="shared" si="1"/>
        <v>0</v>
      </c>
    </row>
    <row r="16" spans="1:27" x14ac:dyDescent="0.25">
      <c r="B16" s="32"/>
      <c r="C16" s="32"/>
      <c r="D16" s="32"/>
      <c r="E16" s="32"/>
      <c r="F16" s="32"/>
      <c r="G16" s="32"/>
      <c r="H16" s="32"/>
      <c r="I16" s="32"/>
      <c r="J16" s="32"/>
      <c r="K16" s="32"/>
      <c r="L16" s="32"/>
    </row>
    <row r="17" spans="1:28" x14ac:dyDescent="0.25">
      <c r="A17" s="23" t="s">
        <v>55</v>
      </c>
      <c r="B17" s="34">
        <f t="shared" ref="B17:AA17" si="2">B7-B15</f>
        <v>0</v>
      </c>
      <c r="C17" s="34">
        <f t="shared" si="2"/>
        <v>-2363801.25</v>
      </c>
      <c r="D17" s="34">
        <f t="shared" si="2"/>
        <v>-5246173.375</v>
      </c>
      <c r="E17" s="34">
        <f t="shared" si="2"/>
        <v>-6008505.1862718752</v>
      </c>
      <c r="F17" s="34">
        <f t="shared" si="2"/>
        <v>-45805.875191249885</v>
      </c>
      <c r="G17" s="34">
        <f t="shared" si="2"/>
        <v>990538.22742825001</v>
      </c>
      <c r="H17" s="34">
        <f t="shared" si="2"/>
        <v>254995.00300459005</v>
      </c>
      <c r="I17" s="34">
        <f t="shared" si="2"/>
        <v>2024427.215799557</v>
      </c>
      <c r="J17" s="34">
        <f t="shared" si="2"/>
        <v>2110546.4879575539</v>
      </c>
      <c r="K17" s="34">
        <f t="shared" si="2"/>
        <v>468147.23609063309</v>
      </c>
      <c r="L17" s="34">
        <f t="shared" si="2"/>
        <v>2285377.2223655023</v>
      </c>
      <c r="M17" s="34">
        <f t="shared" si="2"/>
        <v>2374105.9945891555</v>
      </c>
      <c r="N17" s="34">
        <f t="shared" si="2"/>
        <v>687758.1949914135</v>
      </c>
      <c r="O17" s="34">
        <f t="shared" si="2"/>
        <v>2554234.2750803977</v>
      </c>
      <c r="P17" s="34">
        <f t="shared" si="2"/>
        <v>2645651.6178312041</v>
      </c>
      <c r="Q17" s="34">
        <f t="shared" si="2"/>
        <v>914023.58555784822</v>
      </c>
      <c r="R17" s="34">
        <f t="shared" si="2"/>
        <v>2831237.9653496109</v>
      </c>
      <c r="S17" s="34">
        <f t="shared" si="2"/>
        <v>2925425.3450031076</v>
      </c>
      <c r="T17" s="34">
        <f t="shared" si="2"/>
        <v>1147145.0437238393</v>
      </c>
      <c r="U17" s="34">
        <f t="shared" si="2"/>
        <v>3116635.144437667</v>
      </c>
      <c r="V17" s="34">
        <f t="shared" si="2"/>
        <v>3213676.4958820455</v>
      </c>
      <c r="W17" s="34">
        <f t="shared" si="2"/>
        <v>1179230.7679146565</v>
      </c>
      <c r="X17" s="34">
        <f t="shared" si="2"/>
        <v>1705340.0717246383</v>
      </c>
      <c r="Y17" s="34">
        <f t="shared" si="2"/>
        <v>526599.29173256503</v>
      </c>
      <c r="Z17" s="34">
        <f t="shared" si="2"/>
        <v>81739.67202872003</v>
      </c>
      <c r="AA17" s="34">
        <f t="shared" si="2"/>
        <v>0</v>
      </c>
    </row>
    <row r="18" spans="1:28" x14ac:dyDescent="0.25">
      <c r="A18" s="23"/>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row>
    <row r="19" spans="1:28" x14ac:dyDescent="0.25">
      <c r="A19" s="10" t="s">
        <v>319</v>
      </c>
      <c r="B19" s="345">
        <f>B7/(1+Assumption_Fattening!$C76)^BaU_Fattening!B4</f>
        <v>0</v>
      </c>
      <c r="C19" s="345">
        <f>C7/(1+Assumption_Fattening!$C76)^BaU_Fattening!C4</f>
        <v>1148041.2735849055</v>
      </c>
      <c r="D19" s="345">
        <f>D7/(1+Assumption_Fattening!$C76)^BaU_Fattening!D4</f>
        <v>3646294.6110715554</v>
      </c>
      <c r="E19" s="345">
        <f>E7/(1+Assumption_Fattening!$C76)^BaU_Fattening!E4</f>
        <v>4872705.1641020132</v>
      </c>
      <c r="F19" s="345">
        <f>F7/(1+Assumption_Fattening!$C76)^BaU_Fattening!F4</f>
        <v>6289793.3003139701</v>
      </c>
      <c r="G19" s="345">
        <f>G7/(1+Assumption_Fattening!$C76)^BaU_Fattening!G4</f>
        <v>6308531.5127280131</v>
      </c>
      <c r="H19" s="345">
        <f>H7/(1+Assumption_Fattening!$C76)^BaU_Fattening!H4</f>
        <v>4959041.3990383176</v>
      </c>
      <c r="I19" s="345">
        <f>I7/(1+Assumption_Fattening!$C76)^BaU_Fattening!I4</f>
        <v>5727423.4568652939</v>
      </c>
      <c r="J19" s="345">
        <f>J7/(1+Assumption_Fattening!$C76)^BaU_Fattening!J4</f>
        <v>5457261.9730508942</v>
      </c>
      <c r="K19" s="345">
        <f>K7/(1+Assumption_Fattening!$C76)^BaU_Fattening!K4</f>
        <v>4289871.2632496785</v>
      </c>
      <c r="L19" s="345">
        <f>L7/(1+Assumption_Fattening!$C76)^BaU_Fattening!L4</f>
        <v>4954568.2971780151</v>
      </c>
      <c r="M19" s="345">
        <f>M7/(1+Assumption_Fattening!$C76)^BaU_Fattening!M4</f>
        <v>4720862.245424334</v>
      </c>
      <c r="N19" s="345">
        <f>N7/(1+Assumption_Fattening!$C76)^BaU_Fattening!N4</f>
        <v>3710998.5528300242</v>
      </c>
      <c r="O19" s="345">
        <f>O7/(1+Assumption_Fattening!$C76)^BaU_Fattening!O4</f>
        <v>4286001.7591290157</v>
      </c>
      <c r="P19" s="345">
        <f>P7/(1+Assumption_Fattening!$C76)^BaU_Fattening!P4</f>
        <v>4083831.8648304786</v>
      </c>
      <c r="Q19" s="345">
        <f>Q7/(1+Assumption_Fattening!$C76)^BaU_Fattening!Q4</f>
        <v>3210238.5861981078</v>
      </c>
      <c r="R19" s="345">
        <f>R7/(1+Assumption_Fattening!$C76)^BaU_Fattening!R4</f>
        <v>3707651.197324289</v>
      </c>
      <c r="S19" s="345">
        <f>S7/(1+Assumption_Fattening!$C76)^BaU_Fattening!S4</f>
        <v>3532761.9899033317</v>
      </c>
      <c r="T19" s="345">
        <f>T7/(1+Assumption_Fattening!$C76)^BaU_Fattening!T4</f>
        <v>2777050.8755537276</v>
      </c>
      <c r="U19" s="345">
        <f>U7/(1+Assumption_Fattening!$C76)^BaU_Fattening!U4</f>
        <v>3207342.9208796611</v>
      </c>
      <c r="V19" s="345">
        <f>V7/(1+Assumption_Fattening!$C76)^BaU_Fattening!V4</f>
        <v>3056053.1604608097</v>
      </c>
      <c r="W19" s="345">
        <f>W7/(1+Assumption_Fattening!$C76)^BaU_Fattening!W4</f>
        <v>2041969.671283843</v>
      </c>
      <c r="X19" s="345">
        <f>X7/(1+Assumption_Fattening!$C76)^BaU_Fattening!X4</f>
        <v>1387272.9748069027</v>
      </c>
      <c r="Y19" s="345">
        <f>Y7/(1+Assumption_Fattening!$C76)^BaU_Fattening!Y4</f>
        <v>396550.67110046354</v>
      </c>
      <c r="Z19" s="345">
        <f>Z7/(1+Assumption_Fattening!$C76)^BaU_Fattening!Z4</f>
        <v>103907.49896052244</v>
      </c>
      <c r="AA19" s="345">
        <f>AA7/(1+Assumption_Fattening!$C76)^BaU_Fattening!AA4</f>
        <v>0</v>
      </c>
      <c r="AB19" s="367">
        <f>SUM(B19:AA19)</f>
        <v>87876026.219868183</v>
      </c>
    </row>
    <row r="20" spans="1:28" s="12" customFormat="1" x14ac:dyDescent="0.25">
      <c r="A20" s="10" t="s">
        <v>320</v>
      </c>
      <c r="B20" s="346">
        <f>B15/(1+Assumption_Fattening!$C76)^BaU_Fattening!B4</f>
        <v>0</v>
      </c>
      <c r="C20" s="346">
        <f>C15/(1+Assumption_Fattening!$C76)^BaU_Fattening!C4</f>
        <v>3378042.4528301884</v>
      </c>
      <c r="D20" s="346">
        <f>D15/(1+Assumption_Fattening!$C76)^BaU_Fattening!D4</f>
        <v>8315370.2385190446</v>
      </c>
      <c r="E20" s="346">
        <f>E15/(1+Assumption_Fattening!$C76)^BaU_Fattening!E4</f>
        <v>9917561.9806954712</v>
      </c>
      <c r="F20" s="346">
        <f>F15/(1+Assumption_Fattening!$C76)^BaU_Fattening!F4</f>
        <v>6326075.8437920306</v>
      </c>
      <c r="G20" s="346">
        <f>G15/(1+Assumption_Fattening!$C76)^BaU_Fattening!G4</f>
        <v>5568343.7267459957</v>
      </c>
      <c r="H20" s="346">
        <f>H15/(1+Assumption_Fattening!$C76)^BaU_Fattening!H4</f>
        <v>4779279.9839107851</v>
      </c>
      <c r="I20" s="346">
        <f>I15/(1+Assumption_Fattening!$C76)^BaU_Fattening!I4</f>
        <v>4381063.7359871389</v>
      </c>
      <c r="J20" s="346">
        <f>J15/(1+Assumption_Fattening!$C76)^BaU_Fattening!J4</f>
        <v>4133078.9962142822</v>
      </c>
      <c r="K20" s="346">
        <f>K15/(1+Assumption_Fattening!$C76)^BaU_Fattening!K4</f>
        <v>4012775.6335018044</v>
      </c>
      <c r="L20" s="346">
        <f>L15/(1+Assumption_Fattening!$C76)^BaU_Fattening!L4</f>
        <v>3678425.5929283388</v>
      </c>
      <c r="M20" s="346">
        <f>M15/(1+Assumption_Fattening!$C76)^BaU_Fattening!M4</f>
        <v>3470212.8235173002</v>
      </c>
      <c r="N20" s="346">
        <f>N15/(1+Assumption_Fattening!$C76)^BaU_Fattening!N4</f>
        <v>3369203.800370275</v>
      </c>
      <c r="O20" s="346">
        <f>O15/(1+Assumption_Fattening!$C76)^BaU_Fattening!O4</f>
        <v>3088477.0590221607</v>
      </c>
      <c r="P20" s="346">
        <f>P15/(1+Assumption_Fattening!$C76)^BaU_Fattening!P4</f>
        <v>2913657.6028510951</v>
      </c>
      <c r="Q20" s="346">
        <f>Q15/(1+Assumption_Fattening!$C76)^BaU_Fattening!Q4</f>
        <v>2828848.479256596</v>
      </c>
      <c r="R20" s="346">
        <f>R15/(1+Assumption_Fattening!$C76)^BaU_Fattening!R4</f>
        <v>2593144.893957899</v>
      </c>
      <c r="S20" s="346">
        <f>S15/(1+Assumption_Fattening!$C76)^BaU_Fattening!S4</f>
        <v>2446363.1075074514</v>
      </c>
      <c r="T20" s="346">
        <f>T15/(1+Assumption_Fattening!$C76)^BaU_Fattening!T4</f>
        <v>2375155.7319604405</v>
      </c>
      <c r="U20" s="346">
        <f>U15/(1+Assumption_Fattening!$C76)^BaU_Fattening!U4</f>
        <v>2177254.4566638051</v>
      </c>
      <c r="V20" s="346">
        <f>V15/(1+Assumption_Fattening!$C76)^BaU_Fattening!V4</f>
        <v>2054013.6383620801</v>
      </c>
      <c r="W20" s="346">
        <f>W15/(1+Assumption_Fattening!$C76)^BaU_Fattening!W4</f>
        <v>1695092.5698448836</v>
      </c>
      <c r="X20" s="346">
        <f>X15/(1+Assumption_Fattening!$C76)^BaU_Fattening!X4</f>
        <v>914032.41294147365</v>
      </c>
      <c r="Y20" s="346">
        <f>Y15/(1+Assumption_Fattening!$C76)^BaU_Fattening!Y4</f>
        <v>258688.41875702082</v>
      </c>
      <c r="Z20" s="346">
        <f>Z15/(1+Assumption_Fattening!$C76)^BaU_Fattening!Z4</f>
        <v>83719.553421561359</v>
      </c>
      <c r="AA20" s="346">
        <f>AA15/(1+Assumption_Fattening!$C76)^BaU_Fattening!AA4</f>
        <v>0</v>
      </c>
      <c r="AB20" s="343">
        <f>SUM(B20:AA20)</f>
        <v>84757882.733559132</v>
      </c>
    </row>
    <row r="21" spans="1:28" x14ac:dyDescent="0.25">
      <c r="B21" s="32"/>
      <c r="C21" s="32"/>
      <c r="D21" s="32"/>
      <c r="E21" s="32"/>
      <c r="F21" s="32"/>
      <c r="G21" s="32"/>
      <c r="H21" s="32"/>
      <c r="I21" s="32"/>
      <c r="J21" s="32"/>
      <c r="K21" s="32"/>
      <c r="L21" s="32"/>
    </row>
    <row r="22" spans="1:28" s="12" customFormat="1" x14ac:dyDescent="0.25">
      <c r="A22" s="25" t="s">
        <v>318</v>
      </c>
      <c r="B22" s="35">
        <f>NPV(Assumption_Hatchery!C76,C17:Z17)+B17</f>
        <v>3118143.486309045</v>
      </c>
      <c r="C22" s="40"/>
      <c r="D22" s="40"/>
      <c r="E22" s="40"/>
      <c r="F22" s="40"/>
      <c r="G22" s="40"/>
      <c r="H22" s="40"/>
      <c r="I22" s="40"/>
      <c r="J22" s="40"/>
      <c r="K22" s="40"/>
      <c r="L22" s="40"/>
    </row>
    <row r="24" spans="1:28" s="12" customFormat="1" x14ac:dyDescent="0.25">
      <c r="A24" s="25" t="s">
        <v>238</v>
      </c>
      <c r="B24" s="36">
        <f>IRR(B17:Z17)</f>
        <v>8.3033731913726427E-2</v>
      </c>
      <c r="C24" s="4"/>
      <c r="D24" s="4"/>
      <c r="E24" s="4"/>
      <c r="F24" s="4"/>
      <c r="G24" s="4"/>
      <c r="H24" s="4"/>
      <c r="I24" s="4"/>
      <c r="J24" s="4"/>
      <c r="K24" s="4"/>
      <c r="L24" s="4"/>
    </row>
    <row r="27" spans="1:28" s="1" customFormat="1" x14ac:dyDescent="0.25">
      <c r="A27" s="24"/>
      <c r="B27" s="42"/>
      <c r="C27" s="42"/>
      <c r="D27" s="42"/>
      <c r="E27" s="42"/>
      <c r="F27" s="42"/>
      <c r="G27" s="42"/>
      <c r="H27" s="42"/>
      <c r="I27" s="42"/>
      <c r="J27" s="42"/>
      <c r="K27" s="42"/>
      <c r="L27" s="42"/>
    </row>
    <row r="29" spans="1:28" ht="38.25" customHeight="1" x14ac:dyDescent="0.25">
      <c r="A29" s="11" t="str">
        <f>A2</f>
        <v>Aggregate Economic Analysis</v>
      </c>
      <c r="B29" s="30"/>
      <c r="C29" s="69"/>
      <c r="D29" s="70"/>
      <c r="E29" s="30"/>
      <c r="F29" s="116" t="s">
        <v>90</v>
      </c>
      <c r="G29" s="30"/>
      <c r="H29" s="30"/>
      <c r="I29" s="30"/>
      <c r="J29" s="30"/>
      <c r="K29" s="30"/>
      <c r="L29" s="30"/>
      <c r="M29" s="11"/>
    </row>
    <row r="30" spans="1:28" ht="38.25" customHeight="1" x14ac:dyDescent="0.25">
      <c r="A30" s="11"/>
      <c r="B30" s="30"/>
      <c r="C30" s="69"/>
      <c r="D30" s="70"/>
      <c r="E30" s="30"/>
      <c r="F30" s="116"/>
      <c r="G30" s="30"/>
      <c r="H30" s="30"/>
      <c r="I30" s="30"/>
      <c r="J30" s="30"/>
      <c r="K30" s="30"/>
      <c r="L30" s="30"/>
      <c r="M30" s="11"/>
    </row>
    <row r="31" spans="1:28" x14ac:dyDescent="0.25">
      <c r="A31" s="10" t="s">
        <v>19</v>
      </c>
      <c r="B31" s="26">
        <v>0</v>
      </c>
      <c r="C31" s="26">
        <v>1</v>
      </c>
      <c r="D31" s="26">
        <v>2</v>
      </c>
      <c r="E31" s="26">
        <v>3</v>
      </c>
      <c r="F31" s="26">
        <v>4</v>
      </c>
      <c r="G31" s="26">
        <v>5</v>
      </c>
      <c r="H31" s="26">
        <v>6</v>
      </c>
      <c r="I31" s="26">
        <v>7</v>
      </c>
      <c r="J31" s="26">
        <v>8</v>
      </c>
      <c r="K31" s="26">
        <v>9</v>
      </c>
      <c r="L31" s="26">
        <v>10</v>
      </c>
      <c r="M31" s="26">
        <v>11</v>
      </c>
      <c r="N31" s="26">
        <v>12</v>
      </c>
      <c r="O31" s="26">
        <v>13</v>
      </c>
      <c r="P31" s="26">
        <v>14</v>
      </c>
      <c r="Q31" s="26">
        <v>15</v>
      </c>
      <c r="R31" s="26">
        <v>16</v>
      </c>
      <c r="S31" s="26">
        <v>17</v>
      </c>
      <c r="T31" s="26">
        <v>18</v>
      </c>
      <c r="U31" s="26">
        <v>19</v>
      </c>
      <c r="V31" s="26">
        <v>20</v>
      </c>
      <c r="W31" s="26">
        <v>21</v>
      </c>
      <c r="X31" s="26">
        <v>22</v>
      </c>
      <c r="Y31" s="26">
        <v>23</v>
      </c>
      <c r="Z31" s="26">
        <v>24</v>
      </c>
      <c r="AA31" s="26">
        <v>25</v>
      </c>
    </row>
    <row r="32" spans="1:28" x14ac:dyDescent="0.25">
      <c r="A32" s="23" t="s">
        <v>3</v>
      </c>
    </row>
    <row r="33" spans="1:28" x14ac:dyDescent="0.25">
      <c r="A33" s="10" t="str">
        <f t="shared" ref="A33:AA33" si="3">A6</f>
        <v>Crab Sale ($)</v>
      </c>
      <c r="B33" s="31">
        <f t="shared" si="3"/>
        <v>0</v>
      </c>
      <c r="C33" s="31">
        <f t="shared" si="3"/>
        <v>1216923.75</v>
      </c>
      <c r="D33" s="31">
        <f t="shared" si="3"/>
        <v>4096976.625</v>
      </c>
      <c r="E33" s="31">
        <f t="shared" si="3"/>
        <v>5803469.8137281248</v>
      </c>
      <c r="F33" s="31">
        <f t="shared" si="3"/>
        <v>7940719.1248087501</v>
      </c>
      <c r="G33" s="31">
        <f t="shared" si="3"/>
        <v>8442238.22742825</v>
      </c>
      <c r="H33" s="31">
        <f t="shared" si="3"/>
        <v>7034495.00300459</v>
      </c>
      <c r="I33" s="31">
        <f t="shared" si="3"/>
        <v>8611927.215799557</v>
      </c>
      <c r="J33" s="31">
        <f t="shared" si="3"/>
        <v>8698046.4879575539</v>
      </c>
      <c r="K33" s="31">
        <f t="shared" si="3"/>
        <v>7247647.2360906331</v>
      </c>
      <c r="L33" s="31">
        <f t="shared" si="3"/>
        <v>8872877.2223655023</v>
      </c>
      <c r="M33" s="31">
        <f t="shared" si="3"/>
        <v>8961605.9945891555</v>
      </c>
      <c r="N33" s="31">
        <f t="shared" si="3"/>
        <v>7467258.1949914135</v>
      </c>
      <c r="O33" s="31">
        <f t="shared" si="3"/>
        <v>9141734.2750803977</v>
      </c>
      <c r="P33" s="31">
        <f t="shared" si="3"/>
        <v>9233151.6178312041</v>
      </c>
      <c r="Q33" s="31">
        <f t="shared" si="3"/>
        <v>7693523.5855578482</v>
      </c>
      <c r="R33" s="31">
        <f t="shared" si="3"/>
        <v>9418737.9653496109</v>
      </c>
      <c r="S33" s="31">
        <f t="shared" si="3"/>
        <v>9512925.3450031076</v>
      </c>
      <c r="T33" s="31">
        <f t="shared" si="3"/>
        <v>7926645.0437238393</v>
      </c>
      <c r="U33" s="31">
        <f t="shared" si="3"/>
        <v>9704135.144437667</v>
      </c>
      <c r="V33" s="31">
        <f t="shared" si="3"/>
        <v>9801176.4958820455</v>
      </c>
      <c r="W33" s="31">
        <f t="shared" si="3"/>
        <v>6941805.7679146565</v>
      </c>
      <c r="X33" s="31">
        <f t="shared" si="3"/>
        <v>4999090.0717246383</v>
      </c>
      <c r="Y33" s="31">
        <f t="shared" si="3"/>
        <v>1514724.291732565</v>
      </c>
      <c r="Z33" s="31">
        <f t="shared" si="3"/>
        <v>420714.67202872003</v>
      </c>
      <c r="AA33" s="31">
        <f t="shared" si="3"/>
        <v>0</v>
      </c>
    </row>
    <row r="34" spans="1:28" s="12" customFormat="1" x14ac:dyDescent="0.25">
      <c r="A34" s="23" t="s">
        <v>53</v>
      </c>
      <c r="B34" s="38">
        <f t="shared" ref="B34:AA34" si="4">B7</f>
        <v>0</v>
      </c>
      <c r="C34" s="38">
        <f t="shared" si="4"/>
        <v>1216923.75</v>
      </c>
      <c r="D34" s="38">
        <f t="shared" si="4"/>
        <v>4096976.625</v>
      </c>
      <c r="E34" s="38">
        <f t="shared" si="4"/>
        <v>5803469.8137281248</v>
      </c>
      <c r="F34" s="38">
        <f t="shared" si="4"/>
        <v>7940719.1248087501</v>
      </c>
      <c r="G34" s="38">
        <f t="shared" si="4"/>
        <v>8442238.22742825</v>
      </c>
      <c r="H34" s="38">
        <f t="shared" si="4"/>
        <v>7034495.00300459</v>
      </c>
      <c r="I34" s="38">
        <f t="shared" si="4"/>
        <v>8611927.215799557</v>
      </c>
      <c r="J34" s="38">
        <f t="shared" si="4"/>
        <v>8698046.4879575539</v>
      </c>
      <c r="K34" s="38">
        <f t="shared" si="4"/>
        <v>7247647.2360906331</v>
      </c>
      <c r="L34" s="38">
        <f t="shared" si="4"/>
        <v>8872877.2223655023</v>
      </c>
      <c r="M34" s="38">
        <f t="shared" si="4"/>
        <v>8961605.9945891555</v>
      </c>
      <c r="N34" s="38">
        <f t="shared" si="4"/>
        <v>7467258.1949914135</v>
      </c>
      <c r="O34" s="38">
        <f t="shared" si="4"/>
        <v>9141734.2750803977</v>
      </c>
      <c r="P34" s="38">
        <f t="shared" si="4"/>
        <v>9233151.6178312041</v>
      </c>
      <c r="Q34" s="38">
        <f t="shared" si="4"/>
        <v>7693523.5855578482</v>
      </c>
      <c r="R34" s="38">
        <f t="shared" si="4"/>
        <v>9418737.9653496109</v>
      </c>
      <c r="S34" s="38">
        <f t="shared" si="4"/>
        <v>9512925.3450031076</v>
      </c>
      <c r="T34" s="38">
        <f t="shared" si="4"/>
        <v>7926645.0437238393</v>
      </c>
      <c r="U34" s="38">
        <f t="shared" si="4"/>
        <v>9704135.144437667</v>
      </c>
      <c r="V34" s="38">
        <f t="shared" si="4"/>
        <v>9801176.4958820455</v>
      </c>
      <c r="W34" s="38">
        <f t="shared" si="4"/>
        <v>6941805.7679146565</v>
      </c>
      <c r="X34" s="38">
        <f t="shared" si="4"/>
        <v>4999090.0717246383</v>
      </c>
      <c r="Y34" s="38">
        <f t="shared" si="4"/>
        <v>1514724.291732565</v>
      </c>
      <c r="Z34" s="38">
        <f t="shared" si="4"/>
        <v>420714.67202872003</v>
      </c>
      <c r="AA34" s="38">
        <f t="shared" si="4"/>
        <v>0</v>
      </c>
    </row>
    <row r="35" spans="1:28" x14ac:dyDescent="0.25">
      <c r="A35" s="23"/>
      <c r="B35" s="41"/>
      <c r="C35" s="41"/>
      <c r="D35" s="41"/>
      <c r="E35" s="41"/>
      <c r="F35" s="41"/>
      <c r="G35" s="41"/>
      <c r="H35" s="41"/>
      <c r="I35" s="41"/>
      <c r="J35" s="41"/>
      <c r="K35" s="41"/>
    </row>
    <row r="36" spans="1:28" x14ac:dyDescent="0.25">
      <c r="A36" s="23" t="s">
        <v>20</v>
      </c>
    </row>
    <row r="37" spans="1:28" x14ac:dyDescent="0.25">
      <c r="A37" s="9" t="str">
        <f t="shared" ref="A37:AA37" si="5">A10</f>
        <v>Crab Farm Establishment</v>
      </c>
      <c r="B37" s="33">
        <f t="shared" si="5"/>
        <v>0</v>
      </c>
      <c r="C37" s="33">
        <f t="shared" si="5"/>
        <v>900000</v>
      </c>
      <c r="D37" s="33">
        <f t="shared" si="5"/>
        <v>2100000</v>
      </c>
      <c r="E37" s="33">
        <f t="shared" si="5"/>
        <v>2100000</v>
      </c>
      <c r="F37" s="33">
        <f t="shared" si="5"/>
        <v>600000</v>
      </c>
      <c r="G37" s="33">
        <f t="shared" si="5"/>
        <v>300000</v>
      </c>
      <c r="H37" s="33">
        <f t="shared" si="5"/>
        <v>0</v>
      </c>
      <c r="I37" s="33">
        <f t="shared" si="5"/>
        <v>0</v>
      </c>
      <c r="J37" s="33">
        <f t="shared" si="5"/>
        <v>0</v>
      </c>
      <c r="K37" s="33">
        <f t="shared" si="5"/>
        <v>0</v>
      </c>
      <c r="L37" s="33">
        <f t="shared" si="5"/>
        <v>0</v>
      </c>
      <c r="M37" s="33">
        <f t="shared" si="5"/>
        <v>0</v>
      </c>
      <c r="N37" s="33">
        <f t="shared" si="5"/>
        <v>0</v>
      </c>
      <c r="O37" s="33">
        <f t="shared" si="5"/>
        <v>0</v>
      </c>
      <c r="P37" s="33">
        <f t="shared" si="5"/>
        <v>0</v>
      </c>
      <c r="Q37" s="33">
        <f t="shared" si="5"/>
        <v>0</v>
      </c>
      <c r="R37" s="33">
        <f t="shared" si="5"/>
        <v>0</v>
      </c>
      <c r="S37" s="33">
        <f t="shared" si="5"/>
        <v>0</v>
      </c>
      <c r="T37" s="33">
        <f t="shared" si="5"/>
        <v>0</v>
      </c>
      <c r="U37" s="33">
        <f t="shared" si="5"/>
        <v>0</v>
      </c>
      <c r="V37" s="33">
        <f t="shared" si="5"/>
        <v>0</v>
      </c>
      <c r="W37" s="33">
        <f t="shared" si="5"/>
        <v>0</v>
      </c>
      <c r="X37" s="33">
        <f t="shared" si="5"/>
        <v>0</v>
      </c>
      <c r="Y37" s="33">
        <f t="shared" si="5"/>
        <v>0</v>
      </c>
      <c r="Z37" s="33">
        <f t="shared" si="5"/>
        <v>0</v>
      </c>
      <c r="AA37" s="33">
        <f t="shared" si="5"/>
        <v>0</v>
      </c>
    </row>
    <row r="38" spans="1:28" x14ac:dyDescent="0.25">
      <c r="A38" s="9" t="str">
        <f t="shared" ref="A38:AA38" si="6">A11</f>
        <v>Operation Cost (Small crab purchase)</v>
      </c>
      <c r="B38" s="33">
        <f t="shared" si="6"/>
        <v>0</v>
      </c>
      <c r="C38" s="33">
        <f t="shared" si="6"/>
        <v>118125.00000000001</v>
      </c>
      <c r="D38" s="33">
        <f t="shared" si="6"/>
        <v>393750.00000000006</v>
      </c>
      <c r="E38" s="33">
        <f t="shared" si="6"/>
        <v>669375.00000000012</v>
      </c>
      <c r="F38" s="33">
        <f t="shared" si="6"/>
        <v>748125.00000000012</v>
      </c>
      <c r="G38" s="33">
        <f t="shared" si="6"/>
        <v>787500.00000000012</v>
      </c>
      <c r="H38" s="33">
        <f t="shared" si="6"/>
        <v>787500.00000000012</v>
      </c>
      <c r="I38" s="33">
        <f t="shared" si="6"/>
        <v>787500.00000000012</v>
      </c>
      <c r="J38" s="33">
        <f t="shared" si="6"/>
        <v>787500.00000000012</v>
      </c>
      <c r="K38" s="33">
        <f t="shared" si="6"/>
        <v>787500.00000000012</v>
      </c>
      <c r="L38" s="33">
        <f t="shared" si="6"/>
        <v>787500.00000000012</v>
      </c>
      <c r="M38" s="33">
        <f t="shared" si="6"/>
        <v>787500.00000000012</v>
      </c>
      <c r="N38" s="33">
        <f t="shared" si="6"/>
        <v>787500.00000000012</v>
      </c>
      <c r="O38" s="33">
        <f t="shared" si="6"/>
        <v>787500.00000000012</v>
      </c>
      <c r="P38" s="33">
        <f t="shared" si="6"/>
        <v>787500.00000000012</v>
      </c>
      <c r="Q38" s="33">
        <f t="shared" si="6"/>
        <v>787500.00000000012</v>
      </c>
      <c r="R38" s="33">
        <f t="shared" si="6"/>
        <v>787500.00000000012</v>
      </c>
      <c r="S38" s="33">
        <f t="shared" si="6"/>
        <v>787500.00000000012</v>
      </c>
      <c r="T38" s="33">
        <f t="shared" si="6"/>
        <v>787500.00000000012</v>
      </c>
      <c r="U38" s="33">
        <f t="shared" si="6"/>
        <v>787500.00000000012</v>
      </c>
      <c r="V38" s="33">
        <f t="shared" si="6"/>
        <v>787500.00000000012</v>
      </c>
      <c r="W38" s="33">
        <f t="shared" si="6"/>
        <v>669375.00000000012</v>
      </c>
      <c r="X38" s="33">
        <f t="shared" si="6"/>
        <v>393750.00000000006</v>
      </c>
      <c r="Y38" s="33">
        <f t="shared" si="6"/>
        <v>118125.00000000001</v>
      </c>
      <c r="Z38" s="33">
        <f t="shared" si="6"/>
        <v>39375.000000000007</v>
      </c>
      <c r="AA38" s="33">
        <f t="shared" si="6"/>
        <v>0</v>
      </c>
    </row>
    <row r="39" spans="1:28" x14ac:dyDescent="0.25">
      <c r="A39" s="9" t="str">
        <f t="shared" ref="A39:AA39" si="7">A12</f>
        <v>Maintenance</v>
      </c>
      <c r="B39" s="33">
        <f t="shared" si="7"/>
        <v>0</v>
      </c>
      <c r="C39" s="33">
        <f t="shared" si="7"/>
        <v>420000</v>
      </c>
      <c r="D39" s="33">
        <f t="shared" si="7"/>
        <v>1400000</v>
      </c>
      <c r="E39" s="33">
        <f t="shared" si="7"/>
        <v>2415700</v>
      </c>
      <c r="F39" s="33">
        <f t="shared" si="7"/>
        <v>2660000</v>
      </c>
      <c r="G39" s="33">
        <f t="shared" si="7"/>
        <v>2800000</v>
      </c>
      <c r="H39" s="33">
        <f t="shared" si="7"/>
        <v>2842000</v>
      </c>
      <c r="I39" s="33">
        <f t="shared" si="7"/>
        <v>2800000</v>
      </c>
      <c r="J39" s="33">
        <f t="shared" si="7"/>
        <v>2800000</v>
      </c>
      <c r="K39" s="33">
        <f t="shared" si="7"/>
        <v>2842000</v>
      </c>
      <c r="L39" s="33">
        <f t="shared" si="7"/>
        <v>2800000</v>
      </c>
      <c r="M39" s="33">
        <f t="shared" si="7"/>
        <v>2800000</v>
      </c>
      <c r="N39" s="33">
        <f t="shared" si="7"/>
        <v>2842000</v>
      </c>
      <c r="O39" s="33">
        <f t="shared" si="7"/>
        <v>2800000</v>
      </c>
      <c r="P39" s="33">
        <f t="shared" si="7"/>
        <v>2800000</v>
      </c>
      <c r="Q39" s="33">
        <f t="shared" si="7"/>
        <v>2842000</v>
      </c>
      <c r="R39" s="33">
        <f t="shared" si="7"/>
        <v>2800000</v>
      </c>
      <c r="S39" s="33">
        <f t="shared" si="7"/>
        <v>2800000</v>
      </c>
      <c r="T39" s="33">
        <f t="shared" si="7"/>
        <v>2842000</v>
      </c>
      <c r="U39" s="33">
        <f t="shared" si="7"/>
        <v>2800000</v>
      </c>
      <c r="V39" s="33">
        <f t="shared" si="7"/>
        <v>2800000</v>
      </c>
      <c r="W39" s="33">
        <f t="shared" si="7"/>
        <v>2415700</v>
      </c>
      <c r="X39" s="33">
        <f t="shared" si="7"/>
        <v>1400000</v>
      </c>
      <c r="Y39" s="33">
        <f t="shared" si="7"/>
        <v>420000</v>
      </c>
      <c r="Z39" s="33">
        <f t="shared" si="7"/>
        <v>142100</v>
      </c>
      <c r="AA39" s="33">
        <f t="shared" si="7"/>
        <v>0</v>
      </c>
    </row>
    <row r="40" spans="1:28" x14ac:dyDescent="0.25">
      <c r="A40" s="9" t="str">
        <f t="shared" ref="A40:AA40" si="8">A13</f>
        <v>Feed</v>
      </c>
      <c r="B40" s="33">
        <f t="shared" si="8"/>
        <v>0</v>
      </c>
      <c r="C40" s="33">
        <f t="shared" si="8"/>
        <v>450000</v>
      </c>
      <c r="D40" s="33">
        <f t="shared" si="8"/>
        <v>1500000</v>
      </c>
      <c r="E40" s="33">
        <f t="shared" si="8"/>
        <v>2677500</v>
      </c>
      <c r="F40" s="33">
        <f t="shared" si="8"/>
        <v>2850000</v>
      </c>
      <c r="G40" s="33">
        <f t="shared" si="8"/>
        <v>3000000</v>
      </c>
      <c r="H40" s="33">
        <f t="shared" si="8"/>
        <v>3150000</v>
      </c>
      <c r="I40" s="33">
        <f t="shared" si="8"/>
        <v>3000000</v>
      </c>
      <c r="J40" s="33">
        <f t="shared" si="8"/>
        <v>3000000</v>
      </c>
      <c r="K40" s="33">
        <f t="shared" si="8"/>
        <v>3150000</v>
      </c>
      <c r="L40" s="33">
        <f t="shared" si="8"/>
        <v>3000000</v>
      </c>
      <c r="M40" s="33">
        <f t="shared" si="8"/>
        <v>3000000</v>
      </c>
      <c r="N40" s="33">
        <f t="shared" si="8"/>
        <v>3150000</v>
      </c>
      <c r="O40" s="33">
        <f t="shared" si="8"/>
        <v>3000000</v>
      </c>
      <c r="P40" s="33">
        <f t="shared" si="8"/>
        <v>3000000</v>
      </c>
      <c r="Q40" s="33">
        <f t="shared" si="8"/>
        <v>3150000</v>
      </c>
      <c r="R40" s="33">
        <f t="shared" si="8"/>
        <v>3000000</v>
      </c>
      <c r="S40" s="33">
        <f t="shared" si="8"/>
        <v>3000000</v>
      </c>
      <c r="T40" s="33">
        <f t="shared" si="8"/>
        <v>3150000</v>
      </c>
      <c r="U40" s="33">
        <f t="shared" si="8"/>
        <v>3000000</v>
      </c>
      <c r="V40" s="33">
        <f t="shared" si="8"/>
        <v>3000000</v>
      </c>
      <c r="W40" s="33">
        <f t="shared" si="8"/>
        <v>2677500</v>
      </c>
      <c r="X40" s="33">
        <f t="shared" si="8"/>
        <v>1500000</v>
      </c>
      <c r="Y40" s="33">
        <f t="shared" si="8"/>
        <v>450000</v>
      </c>
      <c r="Z40" s="33">
        <f t="shared" si="8"/>
        <v>157500</v>
      </c>
      <c r="AA40" s="33">
        <f t="shared" si="8"/>
        <v>0</v>
      </c>
    </row>
    <row r="41" spans="1:28" s="50" customFormat="1" x14ac:dyDescent="0.25">
      <c r="A41" s="52" t="str">
        <f>A14</f>
        <v>Debt Service</v>
      </c>
      <c r="B41" s="49">
        <f>Assumption_Fattening!D53</f>
        <v>0</v>
      </c>
      <c r="C41" s="49">
        <f>Assumption_Fattening!E53</f>
        <v>576600</v>
      </c>
      <c r="D41" s="49">
        <f>Assumption_Fattening!F53</f>
        <v>1345400</v>
      </c>
      <c r="E41" s="49">
        <f>Assumption_Fattening!G53</f>
        <v>1345400</v>
      </c>
      <c r="F41" s="49">
        <f>Assumption_Fattening!H53</f>
        <v>384400</v>
      </c>
      <c r="G41" s="49">
        <f>Assumption_Fattening!I53</f>
        <v>192200</v>
      </c>
      <c r="H41" s="49">
        <f>Assumption_Fattening!J53</f>
        <v>0</v>
      </c>
      <c r="I41" s="49">
        <f>Assumption_Fattening!K53</f>
        <v>0</v>
      </c>
      <c r="J41" s="49">
        <f>Assumption_Fattening!L53</f>
        <v>0</v>
      </c>
      <c r="K41" s="49">
        <f>Assumption_Fattening!M53</f>
        <v>0</v>
      </c>
      <c r="L41" s="49">
        <f>Assumption_Fattening!N53</f>
        <v>0</v>
      </c>
      <c r="M41" s="49">
        <f>Assumption_Fattening!O53</f>
        <v>0</v>
      </c>
      <c r="N41" s="49">
        <f>Assumption_Fattening!P53</f>
        <v>0</v>
      </c>
      <c r="O41" s="49">
        <f>Assumption_Fattening!Q53</f>
        <v>0</v>
      </c>
      <c r="P41" s="49">
        <f>Assumption_Fattening!R53</f>
        <v>0</v>
      </c>
      <c r="Q41" s="49">
        <f>Assumption_Fattening!S53</f>
        <v>0</v>
      </c>
      <c r="R41" s="49">
        <f>Assumption_Fattening!T53</f>
        <v>0</v>
      </c>
      <c r="S41" s="49">
        <f>Assumption_Fattening!U53</f>
        <v>0</v>
      </c>
      <c r="T41" s="49">
        <f>Assumption_Fattening!V53</f>
        <v>0</v>
      </c>
      <c r="U41" s="49">
        <f>Assumption_Fattening!W53</f>
        <v>0</v>
      </c>
      <c r="V41" s="49">
        <f>Assumption_Fattening!X53</f>
        <v>0</v>
      </c>
      <c r="W41" s="49">
        <f>Assumption_Fattening!Y53</f>
        <v>0</v>
      </c>
      <c r="X41" s="49">
        <f>Assumption_Fattening!Z53</f>
        <v>0</v>
      </c>
      <c r="Y41" s="49">
        <f>Assumption_Fattening!AA53</f>
        <v>0</v>
      </c>
      <c r="Z41" s="49">
        <f>Assumption_Fattening!AB53</f>
        <v>0</v>
      </c>
      <c r="AA41" s="49">
        <f>Assumption_Fattening!AC53</f>
        <v>0</v>
      </c>
    </row>
    <row r="42" spans="1:28" x14ac:dyDescent="0.25">
      <c r="A42" s="117" t="s">
        <v>54</v>
      </c>
      <c r="B42" s="37">
        <f t="shared" ref="B42:Z42" si="9">SUM(B37:B41)</f>
        <v>0</v>
      </c>
      <c r="C42" s="37">
        <f t="shared" si="9"/>
        <v>2464725</v>
      </c>
      <c r="D42" s="37">
        <f t="shared" si="9"/>
        <v>6739150</v>
      </c>
      <c r="E42" s="37">
        <f t="shared" si="9"/>
        <v>9207975</v>
      </c>
      <c r="F42" s="37">
        <f t="shared" si="9"/>
        <v>7242525</v>
      </c>
      <c r="G42" s="37">
        <f t="shared" si="9"/>
        <v>7079700</v>
      </c>
      <c r="H42" s="37">
        <f t="shared" si="9"/>
        <v>6779500</v>
      </c>
      <c r="I42" s="37">
        <f t="shared" si="9"/>
        <v>6587500</v>
      </c>
      <c r="J42" s="37">
        <f t="shared" si="9"/>
        <v>6587500</v>
      </c>
      <c r="K42" s="37">
        <f t="shared" si="9"/>
        <v>6779500</v>
      </c>
      <c r="L42" s="37">
        <f t="shared" si="9"/>
        <v>6587500</v>
      </c>
      <c r="M42" s="37">
        <f t="shared" si="9"/>
        <v>6587500</v>
      </c>
      <c r="N42" s="37">
        <f t="shared" si="9"/>
        <v>6779500</v>
      </c>
      <c r="O42" s="37">
        <f t="shared" si="9"/>
        <v>6587500</v>
      </c>
      <c r="P42" s="37">
        <f t="shared" si="9"/>
        <v>6587500</v>
      </c>
      <c r="Q42" s="37">
        <f t="shared" si="9"/>
        <v>6779500</v>
      </c>
      <c r="R42" s="37">
        <f t="shared" si="9"/>
        <v>6587500</v>
      </c>
      <c r="S42" s="37">
        <f t="shared" si="9"/>
        <v>6587500</v>
      </c>
      <c r="T42" s="37">
        <f t="shared" si="9"/>
        <v>6779500</v>
      </c>
      <c r="U42" s="37">
        <f t="shared" si="9"/>
        <v>6587500</v>
      </c>
      <c r="V42" s="37">
        <f t="shared" si="9"/>
        <v>6587500</v>
      </c>
      <c r="W42" s="37">
        <f t="shared" si="9"/>
        <v>5762575</v>
      </c>
      <c r="X42" s="37">
        <f t="shared" si="9"/>
        <v>3293750</v>
      </c>
      <c r="Y42" s="37">
        <f t="shared" si="9"/>
        <v>988125</v>
      </c>
      <c r="Z42" s="37">
        <f t="shared" si="9"/>
        <v>338975</v>
      </c>
      <c r="AA42" s="37">
        <f t="shared" ref="AA42" si="10">SUM(AA37:AA41)</f>
        <v>0</v>
      </c>
    </row>
    <row r="43" spans="1:28" x14ac:dyDescent="0.25">
      <c r="B43" s="32"/>
      <c r="C43" s="32"/>
      <c r="D43" s="32"/>
      <c r="E43" s="32"/>
      <c r="F43" s="32"/>
      <c r="G43" s="32"/>
      <c r="H43" s="32"/>
      <c r="I43" s="32"/>
      <c r="J43" s="32"/>
      <c r="K43" s="32"/>
      <c r="L43" s="32"/>
    </row>
    <row r="44" spans="1:28" x14ac:dyDescent="0.25">
      <c r="A44" s="23" t="s">
        <v>55</v>
      </c>
      <c r="B44" s="34">
        <f t="shared" ref="B44:AA44" si="11">B34-B42</f>
        <v>0</v>
      </c>
      <c r="C44" s="34">
        <f t="shared" si="11"/>
        <v>-1247801.25</v>
      </c>
      <c r="D44" s="34">
        <f t="shared" si="11"/>
        <v>-2642173.375</v>
      </c>
      <c r="E44" s="34">
        <f t="shared" si="11"/>
        <v>-3404505.1862718752</v>
      </c>
      <c r="F44" s="34">
        <f t="shared" si="11"/>
        <v>698194.12480875012</v>
      </c>
      <c r="G44" s="34">
        <f t="shared" si="11"/>
        <v>1362538.22742825</v>
      </c>
      <c r="H44" s="34">
        <f t="shared" si="11"/>
        <v>254995.00300459005</v>
      </c>
      <c r="I44" s="34">
        <f t="shared" si="11"/>
        <v>2024427.215799557</v>
      </c>
      <c r="J44" s="34">
        <f t="shared" si="11"/>
        <v>2110546.4879575539</v>
      </c>
      <c r="K44" s="34">
        <f t="shared" si="11"/>
        <v>468147.23609063309</v>
      </c>
      <c r="L44" s="34">
        <f t="shared" si="11"/>
        <v>2285377.2223655023</v>
      </c>
      <c r="M44" s="34">
        <f t="shared" si="11"/>
        <v>2374105.9945891555</v>
      </c>
      <c r="N44" s="34">
        <f t="shared" si="11"/>
        <v>687758.1949914135</v>
      </c>
      <c r="O44" s="34">
        <f t="shared" si="11"/>
        <v>2554234.2750803977</v>
      </c>
      <c r="P44" s="34">
        <f t="shared" si="11"/>
        <v>2645651.6178312041</v>
      </c>
      <c r="Q44" s="34">
        <f t="shared" si="11"/>
        <v>914023.58555784822</v>
      </c>
      <c r="R44" s="34">
        <f t="shared" si="11"/>
        <v>2831237.9653496109</v>
      </c>
      <c r="S44" s="34">
        <f t="shared" si="11"/>
        <v>2925425.3450031076</v>
      </c>
      <c r="T44" s="34">
        <f t="shared" si="11"/>
        <v>1147145.0437238393</v>
      </c>
      <c r="U44" s="34">
        <f t="shared" si="11"/>
        <v>3116635.144437667</v>
      </c>
      <c r="V44" s="34">
        <f t="shared" si="11"/>
        <v>3213676.4958820455</v>
      </c>
      <c r="W44" s="34">
        <f t="shared" si="11"/>
        <v>1179230.7679146565</v>
      </c>
      <c r="X44" s="34">
        <f t="shared" si="11"/>
        <v>1705340.0717246383</v>
      </c>
      <c r="Y44" s="34">
        <f t="shared" si="11"/>
        <v>526599.29173256503</v>
      </c>
      <c r="Z44" s="34">
        <f t="shared" si="11"/>
        <v>81739.67202872003</v>
      </c>
      <c r="AA44" s="34">
        <f t="shared" si="11"/>
        <v>0</v>
      </c>
    </row>
    <row r="45" spans="1:28" x14ac:dyDescent="0.25">
      <c r="A45" s="23"/>
      <c r="B45" s="344"/>
      <c r="C45" s="344"/>
      <c r="D45" s="344"/>
      <c r="E45" s="344"/>
      <c r="F45" s="344"/>
      <c r="G45" s="344"/>
      <c r="H45" s="344"/>
      <c r="I45" s="344"/>
      <c r="J45" s="344"/>
      <c r="K45" s="344"/>
      <c r="L45" s="344"/>
      <c r="M45" s="344"/>
      <c r="N45" s="344"/>
      <c r="O45" s="344"/>
      <c r="P45" s="344"/>
      <c r="Q45" s="344"/>
      <c r="R45" s="344"/>
      <c r="S45" s="344"/>
      <c r="T45" s="344"/>
      <c r="U45" s="344"/>
      <c r="V45" s="344"/>
      <c r="W45" s="344"/>
      <c r="X45" s="344"/>
      <c r="Y45" s="344"/>
      <c r="Z45" s="344"/>
      <c r="AA45" s="344"/>
      <c r="AB45" s="12"/>
    </row>
    <row r="46" spans="1:28" x14ac:dyDescent="0.25">
      <c r="A46" s="10" t="s">
        <v>319</v>
      </c>
      <c r="B46" s="345">
        <f>B34/(1+Assumption_Fattening!$C76)^BaU_Fattening!B31</f>
        <v>0</v>
      </c>
      <c r="C46" s="345">
        <f>C34/(1+Assumption_Fattening!$C76)^BaU_Fattening!C31</f>
        <v>1148041.2735849055</v>
      </c>
      <c r="D46" s="345">
        <f>D34/(1+Assumption_Fattening!$C76)^BaU_Fattening!D31</f>
        <v>3646294.6110715554</v>
      </c>
      <c r="E46" s="345">
        <f>E34/(1+Assumption_Fattening!$C76)^BaU_Fattening!E31</f>
        <v>4872705.1641020132</v>
      </c>
      <c r="F46" s="345">
        <f>F34/(1+Assumption_Fattening!$C76)^BaU_Fattening!F31</f>
        <v>6289793.3003139701</v>
      </c>
      <c r="G46" s="345">
        <f>G34/(1+Assumption_Fattening!$C76)^BaU_Fattening!G31</f>
        <v>6308531.5127280131</v>
      </c>
      <c r="H46" s="345">
        <f>H34/(1+Assumption_Fattening!$C76)^BaU_Fattening!H31</f>
        <v>4959041.3990383176</v>
      </c>
      <c r="I46" s="345">
        <f>I34/(1+Assumption_Fattening!$C76)^BaU_Fattening!I31</f>
        <v>5727423.4568652939</v>
      </c>
      <c r="J46" s="345">
        <f>J34/(1+Assumption_Fattening!$C76)^BaU_Fattening!J31</f>
        <v>5457261.9730508942</v>
      </c>
      <c r="K46" s="345">
        <f>K34/(1+Assumption_Fattening!$C76)^BaU_Fattening!K31</f>
        <v>4289871.2632496785</v>
      </c>
      <c r="L46" s="345">
        <f>L34/(1+Assumption_Fattening!$C76)^BaU_Fattening!L31</f>
        <v>4954568.2971780151</v>
      </c>
      <c r="M46" s="345">
        <f>M34/(1+Assumption_Fattening!$C76)^BaU_Fattening!M31</f>
        <v>4720862.245424334</v>
      </c>
      <c r="N46" s="345">
        <f>N34/(1+Assumption_Fattening!$C76)^BaU_Fattening!N31</f>
        <v>3710998.5528300242</v>
      </c>
      <c r="O46" s="345">
        <f>O34/(1+Assumption_Fattening!$C76)^BaU_Fattening!O31</f>
        <v>4286001.7591290157</v>
      </c>
      <c r="P46" s="345">
        <f>P34/(1+Assumption_Fattening!$C76)^BaU_Fattening!P31</f>
        <v>4083831.8648304786</v>
      </c>
      <c r="Q46" s="345">
        <f>Q34/(1+Assumption_Fattening!$C76)^BaU_Fattening!Q31</f>
        <v>3210238.5861981078</v>
      </c>
      <c r="R46" s="345">
        <f>R34/(1+Assumption_Fattening!$C76)^BaU_Fattening!R31</f>
        <v>3707651.197324289</v>
      </c>
      <c r="S46" s="345">
        <f>S34/(1+Assumption_Fattening!$C76)^BaU_Fattening!S31</f>
        <v>3532761.9899033317</v>
      </c>
      <c r="T46" s="345">
        <f>T34/(1+Assumption_Fattening!$C76)^BaU_Fattening!T31</f>
        <v>2777050.8755537276</v>
      </c>
      <c r="U46" s="345">
        <f>U34/(1+Assumption_Fattening!$C76)^BaU_Fattening!U31</f>
        <v>3207342.9208796611</v>
      </c>
      <c r="V46" s="345">
        <f>V34/(1+Assumption_Fattening!$C76)^BaU_Fattening!V31</f>
        <v>3056053.1604608097</v>
      </c>
      <c r="W46" s="345">
        <f>W34/(1+Assumption_Fattening!$C76)^BaU_Fattening!W31</f>
        <v>2041969.671283843</v>
      </c>
      <c r="X46" s="345">
        <f>X34/(1+Assumption_Fattening!$C76)^BaU_Fattening!X31</f>
        <v>1387272.9748069027</v>
      </c>
      <c r="Y46" s="345">
        <f>Y34/(1+Assumption_Fattening!$C76)^BaU_Fattening!Y31</f>
        <v>396550.67110046354</v>
      </c>
      <c r="Z46" s="345">
        <f>Z34/(1+Assumption_Fattening!$C76)^BaU_Fattening!Z31</f>
        <v>103907.49896052244</v>
      </c>
      <c r="AA46" s="345">
        <f>AA34/(1+Assumption_Fattening!$C76)^BaU_Fattening!AA31</f>
        <v>0</v>
      </c>
      <c r="AB46" s="343">
        <f>SUM(B46:AA46)</f>
        <v>87876026.219868183</v>
      </c>
    </row>
    <row r="47" spans="1:28" s="12" customFormat="1" x14ac:dyDescent="0.25">
      <c r="A47" s="10" t="s">
        <v>320</v>
      </c>
      <c r="B47" s="346">
        <f>B42/(1+Assumption_Fattening!$C76)^BaU_Fattening!B31</f>
        <v>0</v>
      </c>
      <c r="C47" s="346">
        <f>C42/(1+Assumption_Fattening!$C76)^BaU_Fattening!C31</f>
        <v>2325212.2641509431</v>
      </c>
      <c r="D47" s="346">
        <f>D42/(1+Assumption_Fattening!$C76)^BaU_Fattening!D31</f>
        <v>5997819.5087219644</v>
      </c>
      <c r="E47" s="346">
        <f>E42/(1+Assumption_Fattening!$C76)^BaU_Fattening!E31</f>
        <v>7731193.3676793575</v>
      </c>
      <c r="F47" s="346">
        <f>F42/(1+Assumption_Fattening!$C76)^BaU_Fattening!F31</f>
        <v>5736758.1583429435</v>
      </c>
      <c r="G47" s="346">
        <f>G42/(1+Assumption_Fattening!$C76)^BaU_Fattening!G31</f>
        <v>5290363.6864398234</v>
      </c>
      <c r="H47" s="346">
        <f>H42/(1+Assumption_Fattening!$C76)^BaU_Fattening!H31</f>
        <v>4779279.9839107851</v>
      </c>
      <c r="I47" s="346">
        <f>I42/(1+Assumption_Fattening!$C76)^BaU_Fattening!I31</f>
        <v>4381063.7359871389</v>
      </c>
      <c r="J47" s="346">
        <f>J42/(1+Assumption_Fattening!$C76)^BaU_Fattening!J31</f>
        <v>4133078.9962142822</v>
      </c>
      <c r="K47" s="346">
        <f>K42/(1+Assumption_Fattening!$C76)^BaU_Fattening!K31</f>
        <v>4012775.6335018044</v>
      </c>
      <c r="L47" s="346">
        <f>L42/(1+Assumption_Fattening!$C76)^BaU_Fattening!L31</f>
        <v>3678425.5929283388</v>
      </c>
      <c r="M47" s="346">
        <f>M42/(1+Assumption_Fattening!$C76)^BaU_Fattening!M31</f>
        <v>3470212.8235173002</v>
      </c>
      <c r="N47" s="346">
        <f>N42/(1+Assumption_Fattening!$C76)^BaU_Fattening!N31</f>
        <v>3369203.800370275</v>
      </c>
      <c r="O47" s="346">
        <f>O42/(1+Assumption_Fattening!$C76)^BaU_Fattening!O31</f>
        <v>3088477.0590221607</v>
      </c>
      <c r="P47" s="346">
        <f>P42/(1+Assumption_Fattening!$C76)^BaU_Fattening!P31</f>
        <v>2913657.6028510951</v>
      </c>
      <c r="Q47" s="346">
        <f>Q42/(1+Assumption_Fattening!$C76)^BaU_Fattening!Q31</f>
        <v>2828848.479256596</v>
      </c>
      <c r="R47" s="346">
        <f>R42/(1+Assumption_Fattening!$C76)^BaU_Fattening!R31</f>
        <v>2593144.893957899</v>
      </c>
      <c r="S47" s="346">
        <f>S42/(1+Assumption_Fattening!$C76)^BaU_Fattening!S31</f>
        <v>2446363.1075074514</v>
      </c>
      <c r="T47" s="346">
        <f>T42/(1+Assumption_Fattening!$C76)^BaU_Fattening!T31</f>
        <v>2375155.7319604405</v>
      </c>
      <c r="U47" s="346">
        <f>U42/(1+Assumption_Fattening!$C76)^BaU_Fattening!U31</f>
        <v>2177254.4566638051</v>
      </c>
      <c r="V47" s="346">
        <f>V42/(1+Assumption_Fattening!$C76)^BaU_Fattening!V31</f>
        <v>2054013.6383620801</v>
      </c>
      <c r="W47" s="346">
        <f>W42/(1+Assumption_Fattening!$C76)^BaU_Fattening!W31</f>
        <v>1695092.5698448836</v>
      </c>
      <c r="X47" s="346">
        <f>X42/(1+Assumption_Fattening!$C76)^BaU_Fattening!X31</f>
        <v>914032.41294147365</v>
      </c>
      <c r="Y47" s="346">
        <f>Y42/(1+Assumption_Fattening!$C76)^BaU_Fattening!Y31</f>
        <v>258688.41875702082</v>
      </c>
      <c r="Z47" s="346">
        <f>Z42/(1+Assumption_Fattening!$C76)^BaU_Fattening!Z31</f>
        <v>83719.553421561359</v>
      </c>
      <c r="AA47" s="346">
        <f>AA42/(1+Assumption_Fattening!$C76)^BaU_Fattening!AA31</f>
        <v>0</v>
      </c>
      <c r="AB47" s="343">
        <f>SUM(B47:AA47)</f>
        <v>78333835.476311415</v>
      </c>
    </row>
    <row r="48" spans="1:28" x14ac:dyDescent="0.25">
      <c r="B48" s="32"/>
      <c r="C48" s="32"/>
      <c r="D48" s="32"/>
      <c r="E48" s="32"/>
      <c r="F48" s="32"/>
      <c r="G48" s="32"/>
      <c r="H48" s="32"/>
      <c r="I48" s="32"/>
      <c r="J48" s="32"/>
      <c r="K48" s="32"/>
      <c r="L48" s="32"/>
      <c r="AB48" s="12"/>
    </row>
    <row r="49" spans="1:27" s="12" customFormat="1" x14ac:dyDescent="0.25">
      <c r="A49" s="25" t="s">
        <v>318</v>
      </c>
      <c r="B49" s="35">
        <f>NPV(Assumption_Hatchery!C76,C44:Z44)+B44</f>
        <v>9542190.7435567454</v>
      </c>
      <c r="C49" s="40"/>
      <c r="D49" s="40"/>
      <c r="E49" s="40"/>
      <c r="F49" s="40"/>
      <c r="G49" s="40"/>
      <c r="H49" s="40"/>
      <c r="I49" s="40"/>
      <c r="J49" s="40"/>
      <c r="K49" s="40"/>
      <c r="L49" s="40"/>
    </row>
    <row r="51" spans="1:27" s="12" customFormat="1" x14ac:dyDescent="0.25">
      <c r="A51" s="25" t="s">
        <v>238</v>
      </c>
      <c r="B51" s="36">
        <f>IRR(B44:Z44)</f>
        <v>0.16960362626933212</v>
      </c>
      <c r="C51" s="4"/>
      <c r="D51" s="4"/>
      <c r="E51" s="4"/>
      <c r="F51" s="4"/>
      <c r="G51" s="4"/>
      <c r="H51" s="4"/>
      <c r="I51" s="4"/>
      <c r="J51" s="4"/>
      <c r="K51" s="4"/>
      <c r="L51" s="4"/>
    </row>
    <row r="53" spans="1:27" ht="38.25" customHeight="1" x14ac:dyDescent="0.25">
      <c r="A53" s="11"/>
      <c r="B53" s="30"/>
      <c r="C53" s="69"/>
      <c r="D53" s="70"/>
      <c r="E53" s="30"/>
      <c r="F53" s="116"/>
      <c r="G53" s="30"/>
      <c r="H53" s="30"/>
      <c r="I53" s="30"/>
      <c r="J53" s="30"/>
      <c r="K53" s="30"/>
      <c r="L53" s="30"/>
      <c r="M53" s="11"/>
    </row>
    <row r="54" spans="1:27" s="1" customFormat="1" x14ac:dyDescent="0.25">
      <c r="A54" s="24"/>
      <c r="B54" s="42"/>
      <c r="C54" s="42"/>
      <c r="D54" s="42"/>
      <c r="E54" s="42"/>
      <c r="F54" s="42"/>
      <c r="G54" s="42"/>
      <c r="H54" s="42"/>
      <c r="I54" s="42"/>
      <c r="J54" s="42"/>
      <c r="K54" s="42"/>
      <c r="L54" s="42"/>
    </row>
    <row r="56" spans="1:27" ht="26.25" x14ac:dyDescent="0.25">
      <c r="F56" s="19" t="s">
        <v>92</v>
      </c>
    </row>
    <row r="57" spans="1:27" ht="38.25" customHeight="1" x14ac:dyDescent="0.25">
      <c r="A57" s="11" t="str">
        <f>A2</f>
        <v>Aggregate Economic Analysis</v>
      </c>
      <c r="B57" s="30"/>
      <c r="C57" s="69"/>
      <c r="D57" s="70"/>
      <c r="E57" s="30"/>
      <c r="F57" s="30"/>
      <c r="G57" s="30"/>
      <c r="H57" s="30"/>
      <c r="I57" s="30"/>
      <c r="J57" s="30"/>
      <c r="K57" s="30"/>
      <c r="L57" s="30"/>
      <c r="M57" s="11"/>
    </row>
    <row r="59" spans="1:27" x14ac:dyDescent="0.25">
      <c r="A59" s="10" t="s">
        <v>19</v>
      </c>
      <c r="B59" s="26">
        <v>0</v>
      </c>
      <c r="C59" s="26">
        <v>1</v>
      </c>
      <c r="D59" s="26">
        <v>2</v>
      </c>
      <c r="E59" s="26">
        <v>3</v>
      </c>
      <c r="F59" s="26">
        <v>4</v>
      </c>
      <c r="G59" s="26">
        <v>5</v>
      </c>
      <c r="H59" s="26">
        <v>6</v>
      </c>
      <c r="I59" s="26">
        <v>7</v>
      </c>
      <c r="J59" s="26">
        <v>8</v>
      </c>
      <c r="K59" s="26">
        <v>9</v>
      </c>
      <c r="L59" s="26">
        <v>10</v>
      </c>
      <c r="M59" s="26">
        <v>11</v>
      </c>
      <c r="N59" s="26">
        <v>12</v>
      </c>
      <c r="O59" s="26">
        <v>13</v>
      </c>
      <c r="P59" s="26">
        <v>14</v>
      </c>
      <c r="Q59" s="26">
        <v>15</v>
      </c>
      <c r="R59" s="26">
        <v>16</v>
      </c>
      <c r="S59" s="26">
        <v>17</v>
      </c>
      <c r="T59" s="26">
        <v>18</v>
      </c>
      <c r="U59" s="26">
        <v>19</v>
      </c>
      <c r="V59" s="26">
        <v>20</v>
      </c>
      <c r="W59" s="26">
        <v>21</v>
      </c>
      <c r="X59" s="26">
        <v>22</v>
      </c>
      <c r="Y59" s="26">
        <v>23</v>
      </c>
      <c r="Z59" s="26">
        <v>24</v>
      </c>
      <c r="AA59" s="26">
        <v>25</v>
      </c>
    </row>
    <row r="60" spans="1:27" x14ac:dyDescent="0.25">
      <c r="A60" s="23" t="s">
        <v>3</v>
      </c>
    </row>
    <row r="61" spans="1:27" x14ac:dyDescent="0.25">
      <c r="A61" s="10" t="str">
        <f>A33</f>
        <v>Crab Sale ($)</v>
      </c>
      <c r="B61" s="31">
        <f t="shared" ref="B61:AA61" si="12">B6</f>
        <v>0</v>
      </c>
      <c r="C61" s="31">
        <f t="shared" si="12"/>
        <v>1216923.75</v>
      </c>
      <c r="D61" s="31">
        <f t="shared" si="12"/>
        <v>4096976.625</v>
      </c>
      <c r="E61" s="31">
        <f t="shared" si="12"/>
        <v>5803469.8137281248</v>
      </c>
      <c r="F61" s="31">
        <f t="shared" si="12"/>
        <v>7940719.1248087501</v>
      </c>
      <c r="G61" s="31">
        <f t="shared" si="12"/>
        <v>8442238.22742825</v>
      </c>
      <c r="H61" s="31">
        <f t="shared" si="12"/>
        <v>7034495.00300459</v>
      </c>
      <c r="I61" s="31">
        <f t="shared" si="12"/>
        <v>8611927.215799557</v>
      </c>
      <c r="J61" s="31">
        <f t="shared" si="12"/>
        <v>8698046.4879575539</v>
      </c>
      <c r="K61" s="31">
        <f t="shared" si="12"/>
        <v>7247647.2360906331</v>
      </c>
      <c r="L61" s="31">
        <f t="shared" si="12"/>
        <v>8872877.2223655023</v>
      </c>
      <c r="M61" s="31">
        <f t="shared" si="12"/>
        <v>8961605.9945891555</v>
      </c>
      <c r="N61" s="31">
        <f t="shared" si="12"/>
        <v>7467258.1949914135</v>
      </c>
      <c r="O61" s="31">
        <f t="shared" si="12"/>
        <v>9141734.2750803977</v>
      </c>
      <c r="P61" s="31">
        <f t="shared" si="12"/>
        <v>9233151.6178312041</v>
      </c>
      <c r="Q61" s="31">
        <f t="shared" si="12"/>
        <v>7693523.5855578482</v>
      </c>
      <c r="R61" s="31">
        <f t="shared" si="12"/>
        <v>9418737.9653496109</v>
      </c>
      <c r="S61" s="31">
        <f t="shared" si="12"/>
        <v>9512925.3450031076</v>
      </c>
      <c r="T61" s="31">
        <f t="shared" si="12"/>
        <v>7926645.0437238393</v>
      </c>
      <c r="U61" s="31">
        <f t="shared" si="12"/>
        <v>9704135.144437667</v>
      </c>
      <c r="V61" s="31">
        <f t="shared" si="12"/>
        <v>9801176.4958820455</v>
      </c>
      <c r="W61" s="31">
        <f t="shared" si="12"/>
        <v>6941805.7679146565</v>
      </c>
      <c r="X61" s="31">
        <f t="shared" si="12"/>
        <v>4999090.0717246383</v>
      </c>
      <c r="Y61" s="31">
        <f t="shared" si="12"/>
        <v>1514724.291732565</v>
      </c>
      <c r="Z61" s="31">
        <f t="shared" si="12"/>
        <v>420714.67202872003</v>
      </c>
      <c r="AA61" s="31">
        <f t="shared" si="12"/>
        <v>0</v>
      </c>
    </row>
    <row r="62" spans="1:27" s="12" customFormat="1" x14ac:dyDescent="0.25">
      <c r="A62" s="23" t="s">
        <v>53</v>
      </c>
      <c r="B62" s="38">
        <f t="shared" ref="B62:AA62" si="13">B7</f>
        <v>0</v>
      </c>
      <c r="C62" s="38">
        <f t="shared" si="13"/>
        <v>1216923.75</v>
      </c>
      <c r="D62" s="38">
        <f t="shared" si="13"/>
        <v>4096976.625</v>
      </c>
      <c r="E62" s="38">
        <f t="shared" si="13"/>
        <v>5803469.8137281248</v>
      </c>
      <c r="F62" s="38">
        <f t="shared" si="13"/>
        <v>7940719.1248087501</v>
      </c>
      <c r="G62" s="38">
        <f t="shared" si="13"/>
        <v>8442238.22742825</v>
      </c>
      <c r="H62" s="38">
        <f t="shared" si="13"/>
        <v>7034495.00300459</v>
      </c>
      <c r="I62" s="38">
        <f t="shared" si="13"/>
        <v>8611927.215799557</v>
      </c>
      <c r="J62" s="38">
        <f t="shared" si="13"/>
        <v>8698046.4879575539</v>
      </c>
      <c r="K62" s="38">
        <f t="shared" si="13"/>
        <v>7247647.2360906331</v>
      </c>
      <c r="L62" s="38">
        <f t="shared" si="13"/>
        <v>8872877.2223655023</v>
      </c>
      <c r="M62" s="38">
        <f t="shared" si="13"/>
        <v>8961605.9945891555</v>
      </c>
      <c r="N62" s="38">
        <f t="shared" si="13"/>
        <v>7467258.1949914135</v>
      </c>
      <c r="O62" s="38">
        <f t="shared" si="13"/>
        <v>9141734.2750803977</v>
      </c>
      <c r="P62" s="38">
        <f t="shared" si="13"/>
        <v>9233151.6178312041</v>
      </c>
      <c r="Q62" s="38">
        <f t="shared" si="13"/>
        <v>7693523.5855578482</v>
      </c>
      <c r="R62" s="38">
        <f t="shared" si="13"/>
        <v>9418737.9653496109</v>
      </c>
      <c r="S62" s="38">
        <f t="shared" si="13"/>
        <v>9512925.3450031076</v>
      </c>
      <c r="T62" s="38">
        <f t="shared" si="13"/>
        <v>7926645.0437238393</v>
      </c>
      <c r="U62" s="38">
        <f t="shared" si="13"/>
        <v>9704135.144437667</v>
      </c>
      <c r="V62" s="38">
        <f t="shared" si="13"/>
        <v>9801176.4958820455</v>
      </c>
      <c r="W62" s="38">
        <f t="shared" si="13"/>
        <v>6941805.7679146565</v>
      </c>
      <c r="X62" s="38">
        <f t="shared" si="13"/>
        <v>4999090.0717246383</v>
      </c>
      <c r="Y62" s="38">
        <f t="shared" si="13"/>
        <v>1514724.291732565</v>
      </c>
      <c r="Z62" s="38">
        <f t="shared" si="13"/>
        <v>420714.67202872003</v>
      </c>
      <c r="AA62" s="38">
        <f t="shared" si="13"/>
        <v>0</v>
      </c>
    </row>
    <row r="63" spans="1:27" x14ac:dyDescent="0.25">
      <c r="A63" s="23"/>
      <c r="B63" s="41"/>
      <c r="C63" s="41"/>
      <c r="D63" s="41"/>
      <c r="E63" s="41"/>
      <c r="F63" s="41"/>
      <c r="G63" s="41"/>
      <c r="H63" s="41"/>
      <c r="I63" s="41"/>
      <c r="J63" s="41"/>
      <c r="K63" s="41"/>
    </row>
    <row r="64" spans="1:27" x14ac:dyDescent="0.25">
      <c r="A64" s="23" t="s">
        <v>20</v>
      </c>
    </row>
    <row r="65" spans="1:28" x14ac:dyDescent="0.25">
      <c r="A65" s="9" t="s">
        <v>44</v>
      </c>
      <c r="B65" s="33">
        <f t="shared" ref="B65:AA65" si="14">B10</f>
        <v>0</v>
      </c>
      <c r="C65" s="33">
        <f t="shared" si="14"/>
        <v>900000</v>
      </c>
      <c r="D65" s="33">
        <f t="shared" si="14"/>
        <v>2100000</v>
      </c>
      <c r="E65" s="33">
        <f t="shared" si="14"/>
        <v>2100000</v>
      </c>
      <c r="F65" s="33">
        <f t="shared" si="14"/>
        <v>600000</v>
      </c>
      <c r="G65" s="33">
        <f t="shared" si="14"/>
        <v>300000</v>
      </c>
      <c r="H65" s="33">
        <f t="shared" si="14"/>
        <v>0</v>
      </c>
      <c r="I65" s="33">
        <f t="shared" si="14"/>
        <v>0</v>
      </c>
      <c r="J65" s="33">
        <f t="shared" si="14"/>
        <v>0</v>
      </c>
      <c r="K65" s="33">
        <f t="shared" si="14"/>
        <v>0</v>
      </c>
      <c r="L65" s="33">
        <f t="shared" si="14"/>
        <v>0</v>
      </c>
      <c r="M65" s="33">
        <f t="shared" si="14"/>
        <v>0</v>
      </c>
      <c r="N65" s="33">
        <f t="shared" si="14"/>
        <v>0</v>
      </c>
      <c r="O65" s="33">
        <f t="shared" si="14"/>
        <v>0</v>
      </c>
      <c r="P65" s="33">
        <f t="shared" si="14"/>
        <v>0</v>
      </c>
      <c r="Q65" s="33">
        <f t="shared" si="14"/>
        <v>0</v>
      </c>
      <c r="R65" s="33">
        <f t="shared" si="14"/>
        <v>0</v>
      </c>
      <c r="S65" s="33">
        <f t="shared" si="14"/>
        <v>0</v>
      </c>
      <c r="T65" s="33">
        <f t="shared" si="14"/>
        <v>0</v>
      </c>
      <c r="U65" s="33">
        <f t="shared" si="14"/>
        <v>0</v>
      </c>
      <c r="V65" s="33">
        <f t="shared" si="14"/>
        <v>0</v>
      </c>
      <c r="W65" s="33">
        <f t="shared" si="14"/>
        <v>0</v>
      </c>
      <c r="X65" s="33">
        <f t="shared" si="14"/>
        <v>0</v>
      </c>
      <c r="Y65" s="33">
        <f t="shared" si="14"/>
        <v>0</v>
      </c>
      <c r="Z65" s="33">
        <f t="shared" si="14"/>
        <v>0</v>
      </c>
      <c r="AA65" s="33">
        <f t="shared" si="14"/>
        <v>0</v>
      </c>
    </row>
    <row r="66" spans="1:28" x14ac:dyDescent="0.25">
      <c r="A66" s="9" t="s">
        <v>104</v>
      </c>
      <c r="B66" s="33">
        <f t="shared" ref="B66:AA66" si="15">B11</f>
        <v>0</v>
      </c>
      <c r="C66" s="33">
        <f t="shared" si="15"/>
        <v>118125.00000000001</v>
      </c>
      <c r="D66" s="33">
        <f t="shared" si="15"/>
        <v>393750.00000000006</v>
      </c>
      <c r="E66" s="33">
        <f t="shared" si="15"/>
        <v>669375.00000000012</v>
      </c>
      <c r="F66" s="33">
        <f t="shared" si="15"/>
        <v>748125.00000000012</v>
      </c>
      <c r="G66" s="33">
        <f t="shared" si="15"/>
        <v>787500.00000000012</v>
      </c>
      <c r="H66" s="33">
        <f t="shared" si="15"/>
        <v>787500.00000000012</v>
      </c>
      <c r="I66" s="33">
        <f t="shared" si="15"/>
        <v>787500.00000000012</v>
      </c>
      <c r="J66" s="33">
        <f t="shared" si="15"/>
        <v>787500.00000000012</v>
      </c>
      <c r="K66" s="33">
        <f t="shared" si="15"/>
        <v>787500.00000000012</v>
      </c>
      <c r="L66" s="33">
        <f t="shared" si="15"/>
        <v>787500.00000000012</v>
      </c>
      <c r="M66" s="33">
        <f t="shared" si="15"/>
        <v>787500.00000000012</v>
      </c>
      <c r="N66" s="33">
        <f t="shared" si="15"/>
        <v>787500.00000000012</v>
      </c>
      <c r="O66" s="33">
        <f t="shared" si="15"/>
        <v>787500.00000000012</v>
      </c>
      <c r="P66" s="33">
        <f t="shared" si="15"/>
        <v>787500.00000000012</v>
      </c>
      <c r="Q66" s="33">
        <f t="shared" si="15"/>
        <v>787500.00000000012</v>
      </c>
      <c r="R66" s="33">
        <f t="shared" si="15"/>
        <v>787500.00000000012</v>
      </c>
      <c r="S66" s="33">
        <f t="shared" si="15"/>
        <v>787500.00000000012</v>
      </c>
      <c r="T66" s="33">
        <f t="shared" si="15"/>
        <v>787500.00000000012</v>
      </c>
      <c r="U66" s="33">
        <f t="shared" si="15"/>
        <v>787500.00000000012</v>
      </c>
      <c r="V66" s="33">
        <f t="shared" si="15"/>
        <v>787500.00000000012</v>
      </c>
      <c r="W66" s="33">
        <f t="shared" si="15"/>
        <v>669375.00000000012</v>
      </c>
      <c r="X66" s="33">
        <f t="shared" si="15"/>
        <v>393750.00000000006</v>
      </c>
      <c r="Y66" s="33">
        <f t="shared" si="15"/>
        <v>118125.00000000001</v>
      </c>
      <c r="Z66" s="33">
        <f t="shared" si="15"/>
        <v>39375.000000000007</v>
      </c>
      <c r="AA66" s="33">
        <f t="shared" si="15"/>
        <v>0</v>
      </c>
    </row>
    <row r="67" spans="1:28" x14ac:dyDescent="0.25">
      <c r="A67" s="9" t="s">
        <v>48</v>
      </c>
      <c r="B67" s="33">
        <f t="shared" ref="B67:AA67" si="16">B12</f>
        <v>0</v>
      </c>
      <c r="C67" s="33">
        <f t="shared" si="16"/>
        <v>420000</v>
      </c>
      <c r="D67" s="33">
        <f t="shared" si="16"/>
        <v>1400000</v>
      </c>
      <c r="E67" s="33">
        <f t="shared" si="16"/>
        <v>2415700</v>
      </c>
      <c r="F67" s="33">
        <f t="shared" si="16"/>
        <v>2660000</v>
      </c>
      <c r="G67" s="33">
        <f t="shared" si="16"/>
        <v>2800000</v>
      </c>
      <c r="H67" s="33">
        <f t="shared" si="16"/>
        <v>2842000</v>
      </c>
      <c r="I67" s="33">
        <f t="shared" si="16"/>
        <v>2800000</v>
      </c>
      <c r="J67" s="33">
        <f t="shared" si="16"/>
        <v>2800000</v>
      </c>
      <c r="K67" s="33">
        <f t="shared" si="16"/>
        <v>2842000</v>
      </c>
      <c r="L67" s="33">
        <f t="shared" si="16"/>
        <v>2800000</v>
      </c>
      <c r="M67" s="33">
        <f t="shared" si="16"/>
        <v>2800000</v>
      </c>
      <c r="N67" s="33">
        <f t="shared" si="16"/>
        <v>2842000</v>
      </c>
      <c r="O67" s="33">
        <f t="shared" si="16"/>
        <v>2800000</v>
      </c>
      <c r="P67" s="33">
        <f t="shared" si="16"/>
        <v>2800000</v>
      </c>
      <c r="Q67" s="33">
        <f t="shared" si="16"/>
        <v>2842000</v>
      </c>
      <c r="R67" s="33">
        <f t="shared" si="16"/>
        <v>2800000</v>
      </c>
      <c r="S67" s="33">
        <f t="shared" si="16"/>
        <v>2800000</v>
      </c>
      <c r="T67" s="33">
        <f t="shared" si="16"/>
        <v>2842000</v>
      </c>
      <c r="U67" s="33">
        <f t="shared" si="16"/>
        <v>2800000</v>
      </c>
      <c r="V67" s="33">
        <f t="shared" si="16"/>
        <v>2800000</v>
      </c>
      <c r="W67" s="33">
        <f t="shared" si="16"/>
        <v>2415700</v>
      </c>
      <c r="X67" s="33">
        <f t="shared" si="16"/>
        <v>1400000</v>
      </c>
      <c r="Y67" s="33">
        <f t="shared" si="16"/>
        <v>420000</v>
      </c>
      <c r="Z67" s="33">
        <f t="shared" si="16"/>
        <v>142100</v>
      </c>
      <c r="AA67" s="33">
        <f t="shared" si="16"/>
        <v>0</v>
      </c>
    </row>
    <row r="68" spans="1:28" x14ac:dyDescent="0.25">
      <c r="A68" s="9" t="s">
        <v>50</v>
      </c>
      <c r="B68" s="33">
        <f t="shared" ref="B68:AA68" si="17">B13</f>
        <v>0</v>
      </c>
      <c r="C68" s="33">
        <f t="shared" si="17"/>
        <v>450000</v>
      </c>
      <c r="D68" s="33">
        <f t="shared" si="17"/>
        <v>1500000</v>
      </c>
      <c r="E68" s="33">
        <f t="shared" si="17"/>
        <v>2677500</v>
      </c>
      <c r="F68" s="33">
        <f t="shared" si="17"/>
        <v>2850000</v>
      </c>
      <c r="G68" s="33">
        <f t="shared" si="17"/>
        <v>3000000</v>
      </c>
      <c r="H68" s="33">
        <f t="shared" si="17"/>
        <v>3150000</v>
      </c>
      <c r="I68" s="33">
        <f t="shared" si="17"/>
        <v>3000000</v>
      </c>
      <c r="J68" s="33">
        <f t="shared" si="17"/>
        <v>3000000</v>
      </c>
      <c r="K68" s="33">
        <f t="shared" si="17"/>
        <v>3150000</v>
      </c>
      <c r="L68" s="33">
        <f t="shared" si="17"/>
        <v>3000000</v>
      </c>
      <c r="M68" s="33">
        <f t="shared" si="17"/>
        <v>3000000</v>
      </c>
      <c r="N68" s="33">
        <f t="shared" si="17"/>
        <v>3150000</v>
      </c>
      <c r="O68" s="33">
        <f t="shared" si="17"/>
        <v>3000000</v>
      </c>
      <c r="P68" s="33">
        <f t="shared" si="17"/>
        <v>3000000</v>
      </c>
      <c r="Q68" s="33">
        <f t="shared" si="17"/>
        <v>3150000</v>
      </c>
      <c r="R68" s="33">
        <f t="shared" si="17"/>
        <v>3000000</v>
      </c>
      <c r="S68" s="33">
        <f t="shared" si="17"/>
        <v>3000000</v>
      </c>
      <c r="T68" s="33">
        <f t="shared" si="17"/>
        <v>3150000</v>
      </c>
      <c r="U68" s="33">
        <f t="shared" si="17"/>
        <v>3000000</v>
      </c>
      <c r="V68" s="33">
        <f t="shared" si="17"/>
        <v>3000000</v>
      </c>
      <c r="W68" s="33">
        <f t="shared" si="17"/>
        <v>2677500</v>
      </c>
      <c r="X68" s="33">
        <f t="shared" si="17"/>
        <v>1500000</v>
      </c>
      <c r="Y68" s="33">
        <f t="shared" si="17"/>
        <v>450000</v>
      </c>
      <c r="Z68" s="33">
        <f t="shared" si="17"/>
        <v>157500</v>
      </c>
      <c r="AA68" s="33">
        <f t="shared" si="17"/>
        <v>0</v>
      </c>
    </row>
    <row r="69" spans="1:28" s="50" customFormat="1" x14ac:dyDescent="0.25">
      <c r="A69" s="52" t="s">
        <v>131</v>
      </c>
      <c r="B69" s="49">
        <f>B14*Assumption_Fattening!$C33</f>
        <v>0</v>
      </c>
      <c r="C69" s="49">
        <f>C14*Assumption_Fattening!$C33</f>
        <v>0</v>
      </c>
      <c r="D69" s="49">
        <f>D14*Assumption_Fattening!$C33</f>
        <v>0</v>
      </c>
      <c r="E69" s="49">
        <f>E14*Assumption_Fattening!$C33</f>
        <v>0</v>
      </c>
      <c r="F69" s="49">
        <f>F14*Assumption_Fattening!$C33</f>
        <v>0</v>
      </c>
      <c r="G69" s="49">
        <f>G14*Assumption_Fattening!$C33</f>
        <v>0</v>
      </c>
      <c r="H69" s="49">
        <f>H14*Assumption_Fattening!$C33</f>
        <v>0</v>
      </c>
      <c r="I69" s="49">
        <f>I14*Assumption_Fattening!$C33</f>
        <v>0</v>
      </c>
      <c r="J69" s="49">
        <f>J14*Assumption_Fattening!$C33</f>
        <v>0</v>
      </c>
      <c r="K69" s="49">
        <f>K14*Assumption_Fattening!$C33</f>
        <v>0</v>
      </c>
      <c r="L69" s="49">
        <f>L14*Assumption_Fattening!$C33</f>
        <v>0</v>
      </c>
      <c r="M69" s="49">
        <f>M14*Assumption_Fattening!$C33</f>
        <v>0</v>
      </c>
      <c r="N69" s="49">
        <f>N14*Assumption_Fattening!$C33</f>
        <v>0</v>
      </c>
      <c r="O69" s="49">
        <f>O14*Assumption_Fattening!$C33</f>
        <v>0</v>
      </c>
      <c r="P69" s="49">
        <f>P14*Assumption_Fattening!$C33</f>
        <v>0</v>
      </c>
      <c r="Q69" s="49">
        <f>Q14*Assumption_Fattening!$C33</f>
        <v>0</v>
      </c>
      <c r="R69" s="49">
        <f>R14*Assumption_Fattening!$C33</f>
        <v>0</v>
      </c>
      <c r="S69" s="49">
        <f>S14*Assumption_Fattening!$C33</f>
        <v>0</v>
      </c>
      <c r="T69" s="49">
        <f>T14*Assumption_Fattening!$C33</f>
        <v>0</v>
      </c>
      <c r="U69" s="49">
        <f>U14*Assumption_Fattening!$C33</f>
        <v>0</v>
      </c>
      <c r="V69" s="49">
        <f>V14*Assumption_Fattening!$C33</f>
        <v>0</v>
      </c>
      <c r="W69" s="49">
        <f>W14*Assumption_Fattening!$C33</f>
        <v>0</v>
      </c>
      <c r="X69" s="49">
        <f>X14*Assumption_Fattening!$C33</f>
        <v>0</v>
      </c>
      <c r="Y69" s="49">
        <f>Y14*Assumption_Fattening!$C33</f>
        <v>0</v>
      </c>
      <c r="Z69" s="49">
        <f>Z14*Assumption_Fattening!$C33</f>
        <v>0</v>
      </c>
      <c r="AA69" s="49">
        <f>AA14*Assumption_Fattening!$C33</f>
        <v>0</v>
      </c>
    </row>
    <row r="70" spans="1:28" x14ac:dyDescent="0.25">
      <c r="A70" s="117" t="s">
        <v>54</v>
      </c>
      <c r="B70" s="37">
        <f t="shared" ref="B70:AA70" si="18">SUM(B65:B69)</f>
        <v>0</v>
      </c>
      <c r="C70" s="37">
        <f t="shared" si="18"/>
        <v>1888125</v>
      </c>
      <c r="D70" s="37">
        <f t="shared" si="18"/>
        <v>5393750</v>
      </c>
      <c r="E70" s="37">
        <f t="shared" si="18"/>
        <v>7862575</v>
      </c>
      <c r="F70" s="37">
        <f t="shared" si="18"/>
        <v>6858125</v>
      </c>
      <c r="G70" s="37">
        <f t="shared" si="18"/>
        <v>6887500</v>
      </c>
      <c r="H70" s="37">
        <f t="shared" si="18"/>
        <v>6779500</v>
      </c>
      <c r="I70" s="37">
        <f t="shared" si="18"/>
        <v>6587500</v>
      </c>
      <c r="J70" s="37">
        <f t="shared" si="18"/>
        <v>6587500</v>
      </c>
      <c r="K70" s="37">
        <f t="shared" si="18"/>
        <v>6779500</v>
      </c>
      <c r="L70" s="37">
        <f t="shared" si="18"/>
        <v>6587500</v>
      </c>
      <c r="M70" s="37">
        <f t="shared" si="18"/>
        <v>6587500</v>
      </c>
      <c r="N70" s="37">
        <f t="shared" si="18"/>
        <v>6779500</v>
      </c>
      <c r="O70" s="37">
        <f t="shared" si="18"/>
        <v>6587500</v>
      </c>
      <c r="P70" s="37">
        <f t="shared" si="18"/>
        <v>6587500</v>
      </c>
      <c r="Q70" s="37">
        <f t="shared" si="18"/>
        <v>6779500</v>
      </c>
      <c r="R70" s="37">
        <f t="shared" si="18"/>
        <v>6587500</v>
      </c>
      <c r="S70" s="37">
        <f t="shared" si="18"/>
        <v>6587500</v>
      </c>
      <c r="T70" s="37">
        <f t="shared" si="18"/>
        <v>6779500</v>
      </c>
      <c r="U70" s="37">
        <f t="shared" si="18"/>
        <v>6587500</v>
      </c>
      <c r="V70" s="37">
        <f t="shared" si="18"/>
        <v>6587500</v>
      </c>
      <c r="W70" s="37">
        <f t="shared" si="18"/>
        <v>5762575</v>
      </c>
      <c r="X70" s="37">
        <f t="shared" si="18"/>
        <v>3293750</v>
      </c>
      <c r="Y70" s="37">
        <f t="shared" si="18"/>
        <v>988125</v>
      </c>
      <c r="Z70" s="37">
        <f t="shared" si="18"/>
        <v>338975</v>
      </c>
      <c r="AA70" s="37">
        <f t="shared" si="18"/>
        <v>0</v>
      </c>
    </row>
    <row r="71" spans="1:28" x14ac:dyDescent="0.25">
      <c r="B71" s="32"/>
      <c r="C71" s="32"/>
      <c r="D71" s="32"/>
      <c r="E71" s="32"/>
      <c r="F71" s="32"/>
      <c r="G71" s="32"/>
      <c r="H71" s="32"/>
      <c r="I71" s="32"/>
      <c r="J71" s="32"/>
      <c r="K71" s="32"/>
      <c r="L71" s="32"/>
    </row>
    <row r="72" spans="1:28" x14ac:dyDescent="0.25">
      <c r="A72" s="23" t="s">
        <v>55</v>
      </c>
      <c r="B72" s="34">
        <f t="shared" ref="B72:AA72" si="19">B62-B70</f>
        <v>0</v>
      </c>
      <c r="C72" s="34">
        <f t="shared" si="19"/>
        <v>-671201.25</v>
      </c>
      <c r="D72" s="34">
        <f t="shared" si="19"/>
        <v>-1296773.375</v>
      </c>
      <c r="E72" s="34">
        <f t="shared" si="19"/>
        <v>-2059105.1862718752</v>
      </c>
      <c r="F72" s="34">
        <f t="shared" si="19"/>
        <v>1082594.1248087501</v>
      </c>
      <c r="G72" s="34">
        <f t="shared" si="19"/>
        <v>1554738.22742825</v>
      </c>
      <c r="H72" s="34">
        <f t="shared" si="19"/>
        <v>254995.00300459005</v>
      </c>
      <c r="I72" s="34">
        <f t="shared" si="19"/>
        <v>2024427.215799557</v>
      </c>
      <c r="J72" s="34">
        <f t="shared" si="19"/>
        <v>2110546.4879575539</v>
      </c>
      <c r="K72" s="34">
        <f t="shared" si="19"/>
        <v>468147.23609063309</v>
      </c>
      <c r="L72" s="34">
        <f t="shared" si="19"/>
        <v>2285377.2223655023</v>
      </c>
      <c r="M72" s="34">
        <f t="shared" si="19"/>
        <v>2374105.9945891555</v>
      </c>
      <c r="N72" s="34">
        <f t="shared" si="19"/>
        <v>687758.1949914135</v>
      </c>
      <c r="O72" s="34">
        <f t="shared" si="19"/>
        <v>2554234.2750803977</v>
      </c>
      <c r="P72" s="34">
        <f t="shared" si="19"/>
        <v>2645651.6178312041</v>
      </c>
      <c r="Q72" s="34">
        <f t="shared" si="19"/>
        <v>914023.58555784822</v>
      </c>
      <c r="R72" s="34">
        <f t="shared" si="19"/>
        <v>2831237.9653496109</v>
      </c>
      <c r="S72" s="34">
        <f t="shared" si="19"/>
        <v>2925425.3450031076</v>
      </c>
      <c r="T72" s="34">
        <f t="shared" si="19"/>
        <v>1147145.0437238393</v>
      </c>
      <c r="U72" s="34">
        <f t="shared" si="19"/>
        <v>3116635.144437667</v>
      </c>
      <c r="V72" s="34">
        <f t="shared" si="19"/>
        <v>3213676.4958820455</v>
      </c>
      <c r="W72" s="34">
        <f t="shared" si="19"/>
        <v>1179230.7679146565</v>
      </c>
      <c r="X72" s="34">
        <f t="shared" si="19"/>
        <v>1705340.0717246383</v>
      </c>
      <c r="Y72" s="34">
        <f t="shared" si="19"/>
        <v>526599.29173256503</v>
      </c>
      <c r="Z72" s="34">
        <f t="shared" si="19"/>
        <v>81739.67202872003</v>
      </c>
      <c r="AA72" s="34">
        <f t="shared" si="19"/>
        <v>0</v>
      </c>
    </row>
    <row r="73" spans="1:28" x14ac:dyDescent="0.25">
      <c r="A73" s="23"/>
      <c r="B73" s="344"/>
      <c r="C73" s="344"/>
      <c r="D73" s="344"/>
      <c r="E73" s="344"/>
      <c r="F73" s="344"/>
      <c r="G73" s="344"/>
      <c r="H73" s="344"/>
      <c r="I73" s="344"/>
      <c r="J73" s="344"/>
      <c r="K73" s="344"/>
      <c r="L73" s="344"/>
      <c r="M73" s="344"/>
      <c r="N73" s="344"/>
      <c r="O73" s="344"/>
      <c r="P73" s="344"/>
      <c r="Q73" s="344"/>
      <c r="R73" s="344"/>
      <c r="S73" s="344"/>
      <c r="T73" s="344"/>
      <c r="U73" s="344"/>
      <c r="V73" s="344"/>
      <c r="W73" s="344"/>
      <c r="X73" s="344"/>
      <c r="Y73" s="344"/>
      <c r="Z73" s="344"/>
      <c r="AA73" s="344"/>
    </row>
    <row r="74" spans="1:28" x14ac:dyDescent="0.25">
      <c r="A74" s="10" t="s">
        <v>319</v>
      </c>
      <c r="B74" s="345">
        <f>B62/(1+Assumption_Fattening!$C76)^BaU_Fattening!B59</f>
        <v>0</v>
      </c>
      <c r="C74" s="345">
        <f>C62/(1+Assumption_Fattening!$C76)^BaU_Fattening!C59</f>
        <v>1148041.2735849055</v>
      </c>
      <c r="D74" s="345">
        <f>D62/(1+Assumption_Fattening!$C76)^BaU_Fattening!D59</f>
        <v>3646294.6110715554</v>
      </c>
      <c r="E74" s="345">
        <f>E62/(1+Assumption_Fattening!$C76)^BaU_Fattening!E59</f>
        <v>4872705.1641020132</v>
      </c>
      <c r="F74" s="345">
        <f>F62/(1+Assumption_Fattening!$C76)^BaU_Fattening!F59</f>
        <v>6289793.3003139701</v>
      </c>
      <c r="G74" s="345">
        <f>G62/(1+Assumption_Fattening!$C76)^BaU_Fattening!G59</f>
        <v>6308531.5127280131</v>
      </c>
      <c r="H74" s="345">
        <f>H62/(1+Assumption_Fattening!$C76)^BaU_Fattening!H59</f>
        <v>4959041.3990383176</v>
      </c>
      <c r="I74" s="345">
        <f>I62/(1+Assumption_Fattening!$C76)^BaU_Fattening!I59</f>
        <v>5727423.4568652939</v>
      </c>
      <c r="J74" s="345">
        <f>J62/(1+Assumption_Fattening!$C76)^BaU_Fattening!J59</f>
        <v>5457261.9730508942</v>
      </c>
      <c r="K74" s="345">
        <f>K62/(1+Assumption_Fattening!$C76)^BaU_Fattening!K59</f>
        <v>4289871.2632496785</v>
      </c>
      <c r="L74" s="345">
        <f>L62/(1+Assumption_Fattening!$C76)^BaU_Fattening!L59</f>
        <v>4954568.2971780151</v>
      </c>
      <c r="M74" s="345">
        <f>M62/(1+Assumption_Fattening!$C76)^BaU_Fattening!M59</f>
        <v>4720862.245424334</v>
      </c>
      <c r="N74" s="345">
        <f>N62/(1+Assumption_Fattening!$C76)^BaU_Fattening!N59</f>
        <v>3710998.5528300242</v>
      </c>
      <c r="O74" s="345">
        <f>O62/(1+Assumption_Fattening!$C76)^BaU_Fattening!O59</f>
        <v>4286001.7591290157</v>
      </c>
      <c r="P74" s="345">
        <f>P62/(1+Assumption_Fattening!$C76)^BaU_Fattening!P59</f>
        <v>4083831.8648304786</v>
      </c>
      <c r="Q74" s="345">
        <f>Q62/(1+Assumption_Fattening!$C76)^BaU_Fattening!Q59</f>
        <v>3210238.5861981078</v>
      </c>
      <c r="R74" s="345">
        <f>R62/(1+Assumption_Fattening!$C76)^BaU_Fattening!R59</f>
        <v>3707651.197324289</v>
      </c>
      <c r="S74" s="345">
        <f>S62/(1+Assumption_Fattening!$C76)^BaU_Fattening!S59</f>
        <v>3532761.9899033317</v>
      </c>
      <c r="T74" s="345">
        <f>T62/(1+Assumption_Fattening!$C76)^BaU_Fattening!T59</f>
        <v>2777050.8755537276</v>
      </c>
      <c r="U74" s="345">
        <f>U62/(1+Assumption_Fattening!$C76)^BaU_Fattening!U59</f>
        <v>3207342.9208796611</v>
      </c>
      <c r="V74" s="345">
        <f>V62/(1+Assumption_Fattening!$C76)^BaU_Fattening!V59</f>
        <v>3056053.1604608097</v>
      </c>
      <c r="W74" s="345">
        <f>W62/(1+Assumption_Fattening!$C76)^BaU_Fattening!W59</f>
        <v>2041969.671283843</v>
      </c>
      <c r="X74" s="345">
        <f>X62/(1+Assumption_Fattening!$C76)^BaU_Fattening!X59</f>
        <v>1387272.9748069027</v>
      </c>
      <c r="Y74" s="345">
        <f>Y62/(1+Assumption_Fattening!$C76)^BaU_Fattening!Y59</f>
        <v>396550.67110046354</v>
      </c>
      <c r="Z74" s="345">
        <f>Z62/(1+Assumption_Fattening!$C76)^BaU_Fattening!Z59</f>
        <v>103907.49896052244</v>
      </c>
      <c r="AA74" s="345">
        <f>AA62/(1+Assumption_Fattening!$C76)^BaU_Fattening!AA59</f>
        <v>0</v>
      </c>
      <c r="AB74" s="343">
        <f>SUM(B74:AA74)</f>
        <v>87876026.219868183</v>
      </c>
    </row>
    <row r="75" spans="1:28" s="12" customFormat="1" x14ac:dyDescent="0.25">
      <c r="A75" s="10" t="s">
        <v>320</v>
      </c>
      <c r="B75" s="346">
        <f>B70/(1+Assumption_Fattening!$C76)^BaU_Fattening!B59</f>
        <v>0</v>
      </c>
      <c r="C75" s="346">
        <f>C70/(1+Assumption_Fattening!$C76)^BaU_Fattening!C59</f>
        <v>1781250</v>
      </c>
      <c r="D75" s="346">
        <f>D70/(1+Assumption_Fattening!$C76)^BaU_Fattening!D59</f>
        <v>4800418.2983268062</v>
      </c>
      <c r="E75" s="346">
        <f>E70/(1+Assumption_Fattening!$C76)^BaU_Fattening!E59</f>
        <v>6601569.5842876993</v>
      </c>
      <c r="F75" s="346">
        <f>F70/(1+Assumption_Fattening!$C76)^BaU_Fattening!F59</f>
        <v>5432277.354194249</v>
      </c>
      <c r="G75" s="346">
        <f>G70/(1+Assumption_Fattening!$C76)^BaU_Fattening!G59</f>
        <v>5146740.6656149672</v>
      </c>
      <c r="H75" s="346">
        <f>H70/(1+Assumption_Fattening!$C76)^BaU_Fattening!H59</f>
        <v>4779279.9839107851</v>
      </c>
      <c r="I75" s="346">
        <f>I70/(1+Assumption_Fattening!$C76)^BaU_Fattening!I59</f>
        <v>4381063.7359871389</v>
      </c>
      <c r="J75" s="346">
        <f>J70/(1+Assumption_Fattening!$C76)^BaU_Fattening!J59</f>
        <v>4133078.9962142822</v>
      </c>
      <c r="K75" s="346">
        <f>K70/(1+Assumption_Fattening!$C76)^BaU_Fattening!K59</f>
        <v>4012775.6335018044</v>
      </c>
      <c r="L75" s="346">
        <f>L70/(1+Assumption_Fattening!$C76)^BaU_Fattening!L59</f>
        <v>3678425.5929283388</v>
      </c>
      <c r="M75" s="346">
        <f>M70/(1+Assumption_Fattening!$C76)^BaU_Fattening!M59</f>
        <v>3470212.8235173002</v>
      </c>
      <c r="N75" s="346">
        <f>N70/(1+Assumption_Fattening!$C76)^BaU_Fattening!N59</f>
        <v>3369203.800370275</v>
      </c>
      <c r="O75" s="346">
        <f>O70/(1+Assumption_Fattening!$C76)^BaU_Fattening!O59</f>
        <v>3088477.0590221607</v>
      </c>
      <c r="P75" s="346">
        <f>P70/(1+Assumption_Fattening!$C76)^BaU_Fattening!P59</f>
        <v>2913657.6028510951</v>
      </c>
      <c r="Q75" s="346">
        <f>Q70/(1+Assumption_Fattening!$C76)^BaU_Fattening!Q59</f>
        <v>2828848.479256596</v>
      </c>
      <c r="R75" s="346">
        <f>R70/(1+Assumption_Fattening!$C76)^BaU_Fattening!R59</f>
        <v>2593144.893957899</v>
      </c>
      <c r="S75" s="346">
        <f>S70/(1+Assumption_Fattening!$C76)^BaU_Fattening!S59</f>
        <v>2446363.1075074514</v>
      </c>
      <c r="T75" s="346">
        <f>T70/(1+Assumption_Fattening!$C76)^BaU_Fattening!T59</f>
        <v>2375155.7319604405</v>
      </c>
      <c r="U75" s="346">
        <f>U70/(1+Assumption_Fattening!$C76)^BaU_Fattening!U59</f>
        <v>2177254.4566638051</v>
      </c>
      <c r="V75" s="346">
        <f>V70/(1+Assumption_Fattening!$C76)^BaU_Fattening!V59</f>
        <v>2054013.6383620801</v>
      </c>
      <c r="W75" s="346">
        <f>W70/(1+Assumption_Fattening!$C76)^BaU_Fattening!W59</f>
        <v>1695092.5698448836</v>
      </c>
      <c r="X75" s="346">
        <f>X70/(1+Assumption_Fattening!$C76)^BaU_Fattening!X59</f>
        <v>914032.41294147365</v>
      </c>
      <c r="Y75" s="346">
        <f>Y70/(1+Assumption_Fattening!$C76)^BaU_Fattening!Y59</f>
        <v>258688.41875702082</v>
      </c>
      <c r="Z75" s="346">
        <f>Z70/(1+Assumption_Fattening!$C76)^BaU_Fattening!Z59</f>
        <v>83719.553421561359</v>
      </c>
      <c r="AA75" s="346">
        <f>AA70/(1+Assumption_Fattening!$C76)^BaU_Fattening!AA59</f>
        <v>0</v>
      </c>
      <c r="AB75" s="343">
        <f>SUM(B75:AA75)</f>
        <v>75014744.393400103</v>
      </c>
    </row>
    <row r="76" spans="1:28" x14ac:dyDescent="0.25">
      <c r="B76" s="32"/>
      <c r="C76" s="32"/>
      <c r="D76" s="32"/>
      <c r="E76" s="32"/>
      <c r="F76" s="32"/>
      <c r="G76" s="32"/>
      <c r="H76" s="32"/>
      <c r="I76" s="32"/>
      <c r="J76" s="32"/>
      <c r="K76" s="32"/>
      <c r="L76" s="32"/>
      <c r="AB76" s="12"/>
    </row>
    <row r="77" spans="1:28" s="12" customFormat="1" x14ac:dyDescent="0.25">
      <c r="A77" s="25" t="s">
        <v>318</v>
      </c>
      <c r="B77" s="35">
        <f>NPV(Assumption_Hatchery!C76,C72:Z72)+B72</f>
        <v>12861281.826468054</v>
      </c>
      <c r="C77" s="40"/>
      <c r="D77" s="40"/>
      <c r="E77" s="40"/>
      <c r="F77" s="40"/>
      <c r="G77" s="40"/>
      <c r="H77" s="40"/>
      <c r="I77" s="40"/>
      <c r="J77" s="40"/>
      <c r="K77" s="40"/>
      <c r="L77" s="40"/>
      <c r="AB77" s="3"/>
    </row>
    <row r="79" spans="1:28" s="12" customFormat="1" x14ac:dyDescent="0.25">
      <c r="A79" s="25" t="s">
        <v>238</v>
      </c>
      <c r="B79" s="36">
        <f>IRR(B72:Z72)</f>
        <v>0.28865504787104834</v>
      </c>
      <c r="C79" s="4"/>
      <c r="D79" s="4"/>
      <c r="E79" s="4"/>
      <c r="F79" s="4"/>
      <c r="G79" s="4"/>
      <c r="H79" s="4"/>
      <c r="I79" s="4"/>
      <c r="J79" s="4"/>
      <c r="K79" s="4"/>
      <c r="L79" s="4"/>
    </row>
  </sheetData>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7030A0"/>
  </sheetPr>
  <dimension ref="A2:AB79"/>
  <sheetViews>
    <sheetView showGridLines="0" zoomScale="85" zoomScaleNormal="85" workbookViewId="0">
      <selection activeCell="A5" sqref="A5"/>
    </sheetView>
  </sheetViews>
  <sheetFormatPr defaultColWidth="9" defaultRowHeight="15" x14ac:dyDescent="0.25"/>
  <cols>
    <col min="1" max="1" width="40.7109375" style="10" customWidth="1"/>
    <col min="2" max="2" width="18.28515625" style="26" customWidth="1"/>
    <col min="3" max="3" width="13" style="26" customWidth="1"/>
    <col min="4" max="4" width="17" style="26" customWidth="1"/>
    <col min="5" max="5" width="14.7109375" style="26" customWidth="1"/>
    <col min="6" max="6" width="14.5703125" style="26" customWidth="1"/>
    <col min="7" max="7" width="14.28515625" style="26" customWidth="1"/>
    <col min="8" max="8" width="15.28515625" style="26" customWidth="1"/>
    <col min="9" max="9" width="14.28515625" style="26" customWidth="1"/>
    <col min="10" max="10" width="16.42578125" style="26" customWidth="1"/>
    <col min="11" max="11" width="15" style="26" customWidth="1"/>
    <col min="12" max="12" width="15.140625" style="26" customWidth="1"/>
    <col min="13" max="23" width="13.7109375" style="3" customWidth="1"/>
    <col min="24" max="24" width="15.7109375" style="3" customWidth="1"/>
    <col min="25" max="25" width="13.7109375" style="3" customWidth="1"/>
    <col min="26" max="26" width="15.42578125" style="3" customWidth="1"/>
    <col min="27" max="27" width="14.7109375" style="3" customWidth="1"/>
    <col min="28" max="28" width="13.85546875" style="3" customWidth="1"/>
    <col min="29" max="16384" width="9" style="3"/>
  </cols>
  <sheetData>
    <row r="2" spans="1:27" ht="38.25" customHeight="1" x14ac:dyDescent="0.25">
      <c r="A2" s="11" t="s">
        <v>332</v>
      </c>
      <c r="B2" s="30"/>
      <c r="C2" s="69"/>
      <c r="D2" s="70"/>
      <c r="E2" s="30"/>
      <c r="F2" s="116" t="s">
        <v>91</v>
      </c>
      <c r="G2" s="30"/>
      <c r="H2" s="30"/>
      <c r="I2" s="30"/>
      <c r="J2" s="30"/>
      <c r="K2" s="30"/>
      <c r="L2" s="30"/>
      <c r="M2" s="11"/>
    </row>
    <row r="3" spans="1:27" ht="15" customHeight="1" x14ac:dyDescent="0.25">
      <c r="A3" s="22"/>
      <c r="B3" s="30"/>
      <c r="C3" s="30"/>
      <c r="D3" s="30"/>
      <c r="E3" s="30"/>
      <c r="F3" s="30"/>
      <c r="G3" s="30"/>
      <c r="H3" s="30"/>
      <c r="I3" s="30"/>
      <c r="J3" s="30"/>
      <c r="K3" s="30"/>
      <c r="L3" s="30"/>
      <c r="M3" s="11"/>
    </row>
    <row r="4" spans="1:27"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c r="AA4" s="26">
        <v>25</v>
      </c>
    </row>
    <row r="5" spans="1:27" x14ac:dyDescent="0.25">
      <c r="A5" s="23" t="s">
        <v>3</v>
      </c>
    </row>
    <row r="6" spans="1:27" x14ac:dyDescent="0.25">
      <c r="A6" s="10" t="s">
        <v>162</v>
      </c>
      <c r="B6" s="31">
        <f>Assumption_Fattening!D18*Assumption_Fattening!D175*Assumption_Fattening!D176*(1+Assumption_Fattening!D177)^Assumption_Fattening!D174</f>
        <v>0</v>
      </c>
      <c r="C6" s="31">
        <f>Assumption_Fattening!E18*Assumption_Fattening!E175*Assumption_Fattening!E176*(1+Assumption_Fattening!E177)^Assumption_Fattening!E174</f>
        <v>1216923.75</v>
      </c>
      <c r="D6" s="31">
        <f>Assumption_Fattening!F18*Assumption_Fattening!F175*Assumption_Fattening!F176*(1+Assumption_Fattening!F177)^Assumption_Fattening!F174</f>
        <v>4096976.625</v>
      </c>
      <c r="E6" s="162">
        <f>Assumption_Fattening!G18*Assumption_Fattening!G175*Assumption_Fattening!G176*(1+Assumption_Fattening!G177)^Assumption_Fattening!G174*(1+Assumption_Fattening!$S149)</f>
        <v>4700810.5491197817</v>
      </c>
      <c r="F6" s="31">
        <f>Assumption_Fattening!H18*Assumption_Fattening!H175*Assumption_Fattening!H176*(1+Assumption_Fattening!H177)^Assumption_Fattening!H174</f>
        <v>7940719.1248087501</v>
      </c>
      <c r="G6" s="31">
        <f>Assumption_Fattening!I18*Assumption_Fattening!I175*Assumption_Fattening!I176*(1+Assumption_Fattening!I177)^Assumption_Fattening!I174</f>
        <v>8442238.22742825</v>
      </c>
      <c r="H6" s="162">
        <f>Assumption_Fattening!J18*Assumption_Fattening!J175*Assumption_Fattening!J176*(1+Assumption_Fattening!J177)^Assumption_Fattening!J174*(1+Assumption_Fattening!$S149)</f>
        <v>5697940.9524337184</v>
      </c>
      <c r="I6" s="31">
        <f>Assumption_Fattening!K18*Assumption_Fattening!K175*Assumption_Fattening!K176*(1+Assumption_Fattening!K177)^Assumption_Fattening!K174</f>
        <v>8611927.215799557</v>
      </c>
      <c r="J6" s="31">
        <f>Assumption_Fattening!L18*Assumption_Fattening!L175*Assumption_Fattening!L176*(1+Assumption_Fattening!L177)^Assumption_Fattening!L174</f>
        <v>8698046.4879575539</v>
      </c>
      <c r="K6" s="162">
        <f>Assumption_Fattening!M18*Assumption_Fattening!M175*Assumption_Fattening!M176*(1+Assumption_Fattening!M177)^Assumption_Fattening!M174*(1+Assumption_Fattening!$S149)</f>
        <v>5870594.2612334136</v>
      </c>
      <c r="L6" s="31">
        <f>Assumption_Fattening!N18*Assumption_Fattening!N175*Assumption_Fattening!N176*(1+Assumption_Fattening!N177)^Assumption_Fattening!N174</f>
        <v>8872877.2223655023</v>
      </c>
      <c r="M6" s="31">
        <f>Assumption_Fattening!O18*Assumption_Fattening!O175*Assumption_Fattening!O176*(1+Assumption_Fattening!O177)^Assumption_Fattening!O174</f>
        <v>8961605.9945891555</v>
      </c>
      <c r="N6" s="162">
        <f>Assumption_Fattening!P18*Assumption_Fattening!P175*Assumption_Fattening!P176*(1+Assumption_Fattening!P177)^Assumption_Fattening!P174*(1+Assumption_Fattening!$S149)</f>
        <v>6048479.1379430452</v>
      </c>
      <c r="O6" s="31">
        <f>Assumption_Fattening!Q18*Assumption_Fattening!Q175*Assumption_Fattening!Q176*(1+Assumption_Fattening!Q177)^Assumption_Fattening!Q174</f>
        <v>9141734.2750803977</v>
      </c>
      <c r="P6" s="31">
        <f>Assumption_Fattening!R18*Assumption_Fattening!R175*Assumption_Fattening!R176*(1+Assumption_Fattening!R177)^Assumption_Fattening!R174</f>
        <v>9233151.6178312041</v>
      </c>
      <c r="Q6" s="162">
        <f>Assumption_Fattening!S18*Assumption_Fattening!S175*Assumption_Fattening!S176*(1+Assumption_Fattening!S177)^Assumption_Fattening!S174*(1+Assumption_Fattening!$S149)</f>
        <v>6231754.1043018578</v>
      </c>
      <c r="R6" s="31">
        <f>Assumption_Fattening!T18*Assumption_Fattening!T175*Assumption_Fattening!T176*(1+Assumption_Fattening!T177)^Assumption_Fattening!T174</f>
        <v>9418737.9653496109</v>
      </c>
      <c r="S6" s="31">
        <f>Assumption_Fattening!U18*Assumption_Fattening!U175*Assumption_Fattening!U176*(1+Assumption_Fattening!U177)^Assumption_Fattening!U174</f>
        <v>9512925.3450031076</v>
      </c>
      <c r="T6" s="162">
        <f>Assumption_Fattening!V18*Assumption_Fattening!V175*Assumption_Fattening!V176*(1+Assumption_Fattening!V177)^Assumption_Fattening!V174*(1+Assumption_Fattening!$S149)</f>
        <v>6420582.4854163099</v>
      </c>
      <c r="U6" s="31">
        <f>Assumption_Fattening!W18*Assumption_Fattening!W175*Assumption_Fattening!W176*(1+Assumption_Fattening!W177)^Assumption_Fattening!W174</f>
        <v>9704135.144437667</v>
      </c>
      <c r="V6" s="31">
        <f>Assumption_Fattening!X18*Assumption_Fattening!X175*Assumption_Fattening!X176*(1+Assumption_Fattening!X177)^Assumption_Fattening!X174</f>
        <v>9801176.4958820455</v>
      </c>
      <c r="W6" s="162">
        <f>Assumption_Fattening!Y18*Assumption_Fattening!Y175*Assumption_Fattening!Y176*(1+Assumption_Fattening!Y177)^Assumption_Fattening!Y174*(1+Assumption_Fattening!$S149)</f>
        <v>5622862.6720108725</v>
      </c>
      <c r="X6" s="31">
        <f>Assumption_Fattening!Z18*Assumption_Fattening!Z175*Assumption_Fattening!Z176*(1+Assumption_Fattening!Z177)^Assumption_Fattening!Z174</f>
        <v>4999090.0717246383</v>
      </c>
      <c r="Y6" s="31">
        <f>Assumption_Fattening!AA18*Assumption_Fattening!AA175*Assumption_Fattening!AA176*(1+Assumption_Fattening!AA177)^Assumption_Fattening!AA174</f>
        <v>1514724.291732565</v>
      </c>
      <c r="Z6" s="162">
        <f>Assumption_Fattening!AB18*Assumption_Fattening!AB175*Assumption_Fattening!AB176*(1+Assumption_Fattening!AB177)^Assumption_Fattening!AB174*(1+Assumption_Fattening!$S149)</f>
        <v>340778.88434326323</v>
      </c>
      <c r="AA6" s="31">
        <f>Assumption_Fattening!AC18*Assumption_Fattening!AC175*Assumption_Fattening!AC176*(1+Assumption_Fattening!AC177)^Assumption_Fattening!AC174</f>
        <v>0</v>
      </c>
    </row>
    <row r="7" spans="1:27" s="12" customFormat="1" x14ac:dyDescent="0.25">
      <c r="A7" s="23" t="s">
        <v>53</v>
      </c>
      <c r="B7" s="38">
        <f>B6</f>
        <v>0</v>
      </c>
      <c r="C7" s="38">
        <f t="shared" ref="C7:AA7" si="0">C6</f>
        <v>1216923.75</v>
      </c>
      <c r="D7" s="38">
        <f t="shared" si="0"/>
        <v>4096976.625</v>
      </c>
      <c r="E7" s="38">
        <f t="shared" si="0"/>
        <v>4700810.5491197817</v>
      </c>
      <c r="F7" s="38">
        <f t="shared" si="0"/>
        <v>7940719.1248087501</v>
      </c>
      <c r="G7" s="38">
        <f t="shared" si="0"/>
        <v>8442238.22742825</v>
      </c>
      <c r="H7" s="38">
        <f t="shared" si="0"/>
        <v>5697940.9524337184</v>
      </c>
      <c r="I7" s="38">
        <f t="shared" si="0"/>
        <v>8611927.215799557</v>
      </c>
      <c r="J7" s="38">
        <f t="shared" si="0"/>
        <v>8698046.4879575539</v>
      </c>
      <c r="K7" s="38">
        <f t="shared" si="0"/>
        <v>5870594.2612334136</v>
      </c>
      <c r="L7" s="38">
        <f t="shared" si="0"/>
        <v>8872877.2223655023</v>
      </c>
      <c r="M7" s="38">
        <f t="shared" si="0"/>
        <v>8961605.9945891555</v>
      </c>
      <c r="N7" s="38">
        <f t="shared" si="0"/>
        <v>6048479.1379430452</v>
      </c>
      <c r="O7" s="38">
        <f t="shared" si="0"/>
        <v>9141734.2750803977</v>
      </c>
      <c r="P7" s="38">
        <f t="shared" si="0"/>
        <v>9233151.6178312041</v>
      </c>
      <c r="Q7" s="38">
        <f t="shared" si="0"/>
        <v>6231754.1043018578</v>
      </c>
      <c r="R7" s="38">
        <f t="shared" si="0"/>
        <v>9418737.9653496109</v>
      </c>
      <c r="S7" s="38">
        <f t="shared" si="0"/>
        <v>9512925.3450031076</v>
      </c>
      <c r="T7" s="38">
        <f t="shared" si="0"/>
        <v>6420582.4854163099</v>
      </c>
      <c r="U7" s="38">
        <f t="shared" si="0"/>
        <v>9704135.144437667</v>
      </c>
      <c r="V7" s="38">
        <f t="shared" si="0"/>
        <v>9801176.4958820455</v>
      </c>
      <c r="W7" s="38">
        <f t="shared" si="0"/>
        <v>5622862.6720108725</v>
      </c>
      <c r="X7" s="38">
        <f t="shared" si="0"/>
        <v>4999090.0717246383</v>
      </c>
      <c r="Y7" s="38">
        <f t="shared" si="0"/>
        <v>1514724.291732565</v>
      </c>
      <c r="Z7" s="38">
        <f t="shared" si="0"/>
        <v>340778.88434326323</v>
      </c>
      <c r="AA7" s="38">
        <f t="shared" si="0"/>
        <v>0</v>
      </c>
    </row>
    <row r="8" spans="1:27" x14ac:dyDescent="0.25">
      <c r="A8" s="23"/>
      <c r="B8" s="41"/>
      <c r="C8" s="41"/>
      <c r="D8" s="41"/>
      <c r="E8" s="41"/>
      <c r="F8" s="41"/>
      <c r="G8" s="41"/>
      <c r="H8" s="41"/>
      <c r="I8" s="41"/>
      <c r="J8" s="41"/>
      <c r="K8" s="41"/>
    </row>
    <row r="9" spans="1:27" x14ac:dyDescent="0.25">
      <c r="A9" s="23" t="s">
        <v>20</v>
      </c>
    </row>
    <row r="10" spans="1:27" x14ac:dyDescent="0.25">
      <c r="A10" s="9" t="str">
        <f>Assumption_Fattening!B181</f>
        <v>Crab Farm Establishment</v>
      </c>
      <c r="B10" s="33">
        <f>Assumption_Fattening!D181*Assumption_Fattening!D16</f>
        <v>0</v>
      </c>
      <c r="C10" s="33">
        <f>Assumption_Fattening!E181*Assumption_Fattening!E16</f>
        <v>900000</v>
      </c>
      <c r="D10" s="33">
        <f>Assumption_Fattening!F181*Assumption_Fattening!F16</f>
        <v>2100000</v>
      </c>
      <c r="E10" s="33">
        <f>Assumption_Fattening!G181*Assumption_Fattening!G16</f>
        <v>2100000</v>
      </c>
      <c r="F10" s="33">
        <f>Assumption_Fattening!H181*Assumption_Fattening!H16</f>
        <v>600000</v>
      </c>
      <c r="G10" s="33">
        <f>Assumption_Fattening!I181*Assumption_Fattening!I16</f>
        <v>300000</v>
      </c>
      <c r="H10" s="33">
        <f>Assumption_Fattening!J181*Assumption_Fattening!J16</f>
        <v>0</v>
      </c>
      <c r="I10" s="33">
        <f>Assumption_Fattening!K181*Assumption_Fattening!K16</f>
        <v>0</v>
      </c>
      <c r="J10" s="33">
        <f>Assumption_Fattening!L181*Assumption_Fattening!L16</f>
        <v>0</v>
      </c>
      <c r="K10" s="33">
        <f>Assumption_Fattening!M181*Assumption_Fattening!M16</f>
        <v>0</v>
      </c>
      <c r="L10" s="33">
        <f>Assumption_Fattening!N181*Assumption_Fattening!N16</f>
        <v>0</v>
      </c>
      <c r="M10" s="33">
        <f>Assumption_Fattening!O181*Assumption_Fattening!O16</f>
        <v>0</v>
      </c>
      <c r="N10" s="33">
        <f>Assumption_Fattening!P181*Assumption_Fattening!P16</f>
        <v>0</v>
      </c>
      <c r="O10" s="33">
        <f>Assumption_Fattening!Q181*Assumption_Fattening!Q16</f>
        <v>0</v>
      </c>
      <c r="P10" s="33">
        <f>Assumption_Fattening!R181*Assumption_Fattening!R16</f>
        <v>0</v>
      </c>
      <c r="Q10" s="33">
        <f>Assumption_Fattening!S181*Assumption_Fattening!S16</f>
        <v>0</v>
      </c>
      <c r="R10" s="33">
        <f>Assumption_Fattening!T181*Assumption_Fattening!T16</f>
        <v>0</v>
      </c>
      <c r="S10" s="33">
        <f>Assumption_Fattening!U181*Assumption_Fattening!U16</f>
        <v>0</v>
      </c>
      <c r="T10" s="33">
        <f>Assumption_Fattening!V181*Assumption_Fattening!V16</f>
        <v>0</v>
      </c>
      <c r="U10" s="33">
        <f>Assumption_Fattening!W181*Assumption_Fattening!W16</f>
        <v>0</v>
      </c>
      <c r="V10" s="33">
        <f>Assumption_Fattening!X181*Assumption_Fattening!X16</f>
        <v>0</v>
      </c>
      <c r="W10" s="33">
        <f>Assumption_Fattening!Y181*Assumption_Fattening!Y16</f>
        <v>0</v>
      </c>
      <c r="X10" s="33">
        <f>Assumption_Fattening!Z181*Assumption_Fattening!Z16</f>
        <v>0</v>
      </c>
      <c r="Y10" s="33">
        <f>Assumption_Fattening!AA181*Assumption_Fattening!AA16</f>
        <v>0</v>
      </c>
      <c r="Z10" s="33">
        <f>Assumption_Fattening!AB181*Assumption_Fattening!AB16</f>
        <v>0</v>
      </c>
      <c r="AA10" s="33">
        <f>Assumption_Fattening!AC181*Assumption_Fattening!AC16</f>
        <v>0</v>
      </c>
    </row>
    <row r="11" spans="1:27" x14ac:dyDescent="0.25">
      <c r="A11" s="9" t="str">
        <f>Assumption_Fattening!B182</f>
        <v>Operation Cost (Small crab purchase)</v>
      </c>
      <c r="B11" s="33">
        <f>Assumption_Fattening!D18*Assumption_Fattening!D182</f>
        <v>0</v>
      </c>
      <c r="C11" s="33">
        <f>Assumption_Fattening!E18*Assumption_Fattening!E182</f>
        <v>118125.00000000001</v>
      </c>
      <c r="D11" s="33">
        <f>Assumption_Fattening!F18*Assumption_Fattening!F182</f>
        <v>393750.00000000006</v>
      </c>
      <c r="E11" s="33">
        <f>Assumption_Fattening!G18*Assumption_Fattening!G182</f>
        <v>669375.00000000012</v>
      </c>
      <c r="F11" s="33">
        <f>Assumption_Fattening!H18*Assumption_Fattening!H182</f>
        <v>748125.00000000012</v>
      </c>
      <c r="G11" s="33">
        <f>Assumption_Fattening!I18*Assumption_Fattening!I182</f>
        <v>787500.00000000012</v>
      </c>
      <c r="H11" s="33">
        <f>Assumption_Fattening!J18*Assumption_Fattening!J182</f>
        <v>787500.00000000012</v>
      </c>
      <c r="I11" s="33">
        <f>Assumption_Fattening!K18*Assumption_Fattening!K182</f>
        <v>787500.00000000012</v>
      </c>
      <c r="J11" s="33">
        <f>Assumption_Fattening!L18*Assumption_Fattening!L182</f>
        <v>787500.00000000012</v>
      </c>
      <c r="K11" s="33">
        <f>Assumption_Fattening!M18*Assumption_Fattening!M182</f>
        <v>787500.00000000012</v>
      </c>
      <c r="L11" s="33">
        <f>Assumption_Fattening!N18*Assumption_Fattening!N182</f>
        <v>787500.00000000012</v>
      </c>
      <c r="M11" s="33">
        <f>Assumption_Fattening!O18*Assumption_Fattening!O182</f>
        <v>787500.00000000012</v>
      </c>
      <c r="N11" s="33">
        <f>Assumption_Fattening!P18*Assumption_Fattening!P182</f>
        <v>787500.00000000012</v>
      </c>
      <c r="O11" s="33">
        <f>Assumption_Fattening!Q18*Assumption_Fattening!Q182</f>
        <v>787500.00000000012</v>
      </c>
      <c r="P11" s="33">
        <f>Assumption_Fattening!R18*Assumption_Fattening!R182</f>
        <v>787500.00000000012</v>
      </c>
      <c r="Q11" s="33">
        <f>Assumption_Fattening!S18*Assumption_Fattening!S182</f>
        <v>787500.00000000012</v>
      </c>
      <c r="R11" s="33">
        <f>Assumption_Fattening!T18*Assumption_Fattening!T182</f>
        <v>787500.00000000012</v>
      </c>
      <c r="S11" s="33">
        <f>Assumption_Fattening!U18*Assumption_Fattening!U182</f>
        <v>787500.00000000012</v>
      </c>
      <c r="T11" s="33">
        <f>Assumption_Fattening!V18*Assumption_Fattening!V182</f>
        <v>787500.00000000012</v>
      </c>
      <c r="U11" s="33">
        <f>Assumption_Fattening!W18*Assumption_Fattening!W182</f>
        <v>787500.00000000012</v>
      </c>
      <c r="V11" s="33">
        <f>Assumption_Fattening!X18*Assumption_Fattening!X182</f>
        <v>787500.00000000012</v>
      </c>
      <c r="W11" s="33">
        <f>Assumption_Fattening!Y18*Assumption_Fattening!Y182</f>
        <v>669375.00000000012</v>
      </c>
      <c r="X11" s="33">
        <f>Assumption_Fattening!Z18*Assumption_Fattening!Z182</f>
        <v>393750.00000000006</v>
      </c>
      <c r="Y11" s="33">
        <f>Assumption_Fattening!AA18*Assumption_Fattening!AA182</f>
        <v>118125.00000000001</v>
      </c>
      <c r="Z11" s="33">
        <f>Assumption_Fattening!AB18*Assumption_Fattening!AB182</f>
        <v>39375.000000000007</v>
      </c>
      <c r="AA11" s="33">
        <f>Assumption_Fattening!AC18*Assumption_Fattening!AC182</f>
        <v>0</v>
      </c>
    </row>
    <row r="12" spans="1:27" x14ac:dyDescent="0.25">
      <c r="A12" s="9" t="str">
        <f>Assumption_Fattening!B183</f>
        <v>Maintenance</v>
      </c>
      <c r="B12" s="33">
        <f>Assumption_Fattening!D18*Assumption_Fattening!D183</f>
        <v>0</v>
      </c>
      <c r="C12" s="33">
        <f>Assumption_Fattening!E18*Assumption_Fattening!E183</f>
        <v>420000</v>
      </c>
      <c r="D12" s="33">
        <f>Assumption_Fattening!F18*Assumption_Fattening!F183</f>
        <v>1400000</v>
      </c>
      <c r="E12" s="163">
        <f>Assumption_Fattening!G18*Assumption_Fattening!G183*(1+Assumption_Fattening!$S157)</f>
        <v>2464014</v>
      </c>
      <c r="F12" s="33">
        <f>Assumption_Fattening!H18*Assumption_Fattening!H183</f>
        <v>2660000</v>
      </c>
      <c r="G12" s="33">
        <f>Assumption_Fattening!I18*Assumption_Fattening!I183</f>
        <v>2800000</v>
      </c>
      <c r="H12" s="163">
        <f>Assumption_Fattening!J18*Assumption_Fattening!J183*(1+Assumption_Fattening!$S157)</f>
        <v>2898840</v>
      </c>
      <c r="I12" s="33">
        <f>Assumption_Fattening!K18*Assumption_Fattening!K183</f>
        <v>2800000</v>
      </c>
      <c r="J12" s="33">
        <f>Assumption_Fattening!L18*Assumption_Fattening!L183</f>
        <v>2800000</v>
      </c>
      <c r="K12" s="163">
        <f>Assumption_Fattening!M18*Assumption_Fattening!M183*(1+Assumption_Fattening!$S157)</f>
        <v>2898840</v>
      </c>
      <c r="L12" s="33">
        <f>Assumption_Fattening!N18*Assumption_Fattening!N183</f>
        <v>2800000</v>
      </c>
      <c r="M12" s="33">
        <f>Assumption_Fattening!O18*Assumption_Fattening!O183</f>
        <v>2800000</v>
      </c>
      <c r="N12" s="163">
        <f>Assumption_Fattening!P18*Assumption_Fattening!P183*(1+Assumption_Fattening!$S157)</f>
        <v>2898840</v>
      </c>
      <c r="O12" s="33">
        <f>Assumption_Fattening!Q18*Assumption_Fattening!Q183</f>
        <v>2800000</v>
      </c>
      <c r="P12" s="33">
        <f>Assumption_Fattening!R18*Assumption_Fattening!R183</f>
        <v>2800000</v>
      </c>
      <c r="Q12" s="163">
        <f>Assumption_Fattening!S18*Assumption_Fattening!S183*(1+Assumption_Fattening!$S157)</f>
        <v>2898840</v>
      </c>
      <c r="R12" s="33">
        <f>Assumption_Fattening!T18*Assumption_Fattening!T183</f>
        <v>2800000</v>
      </c>
      <c r="S12" s="33">
        <f>Assumption_Fattening!U18*Assumption_Fattening!U183</f>
        <v>2800000</v>
      </c>
      <c r="T12" s="163">
        <f>Assumption_Fattening!V18*Assumption_Fattening!V183*(1+Assumption_Fattening!$S157)</f>
        <v>2898840</v>
      </c>
      <c r="U12" s="33">
        <f>Assumption_Fattening!W18*Assumption_Fattening!W183</f>
        <v>2800000</v>
      </c>
      <c r="V12" s="33">
        <f>Assumption_Fattening!X18*Assumption_Fattening!X183</f>
        <v>2800000</v>
      </c>
      <c r="W12" s="163">
        <f>Assumption_Fattening!Y18*Assumption_Fattening!Y183*(1+Assumption_Fattening!$S157)</f>
        <v>2464014</v>
      </c>
      <c r="X12" s="33">
        <f>Assumption_Fattening!Z18*Assumption_Fattening!Z183</f>
        <v>1400000</v>
      </c>
      <c r="Y12" s="33">
        <f>Assumption_Fattening!AA18*Assumption_Fattening!AA183</f>
        <v>420000</v>
      </c>
      <c r="Z12" s="163">
        <f>Assumption_Fattening!AB18*Assumption_Fattening!AB183*(1+Assumption_Fattening!$S157)</f>
        <v>144942</v>
      </c>
      <c r="AA12" s="33">
        <f>Assumption_Fattening!AC18*Assumption_Fattening!AC183</f>
        <v>0</v>
      </c>
    </row>
    <row r="13" spans="1:27" x14ac:dyDescent="0.25">
      <c r="A13" s="9" t="str">
        <f>Assumption_Fattening!B184</f>
        <v>Feed</v>
      </c>
      <c r="B13" s="33">
        <f>Assumption_Fattening!D18*Assumption_Fattening!D184</f>
        <v>0</v>
      </c>
      <c r="C13" s="33">
        <f>Assumption_Fattening!E18*Assumption_Fattening!E184</f>
        <v>450000</v>
      </c>
      <c r="D13" s="33">
        <f>Assumption_Fattening!F18*Assumption_Fattening!F184</f>
        <v>1500000</v>
      </c>
      <c r="E13" s="163">
        <f>Assumption_Fattening!G18*Assumption_Fattening!G184*(1+Assumption_Fattening!$S158)</f>
        <v>2838150</v>
      </c>
      <c r="F13" s="33">
        <f>Assumption_Fattening!H18*Assumption_Fattening!H184</f>
        <v>2850000</v>
      </c>
      <c r="G13" s="33">
        <f>Assumption_Fattening!I18*Assumption_Fattening!I184</f>
        <v>3000000</v>
      </c>
      <c r="H13" s="163">
        <f>Assumption_Fattening!J18*Assumption_Fattening!J184*(1+Assumption_Fattening!$S158)</f>
        <v>3339000</v>
      </c>
      <c r="I13" s="33">
        <f>Assumption_Fattening!K18*Assumption_Fattening!K184</f>
        <v>3000000</v>
      </c>
      <c r="J13" s="33">
        <f>Assumption_Fattening!L18*Assumption_Fattening!L184</f>
        <v>3000000</v>
      </c>
      <c r="K13" s="163">
        <f>Assumption_Fattening!M18*Assumption_Fattening!M184*(1+Assumption_Fattening!$S158)</f>
        <v>3339000</v>
      </c>
      <c r="L13" s="33">
        <f>Assumption_Fattening!N18*Assumption_Fattening!N184</f>
        <v>3000000</v>
      </c>
      <c r="M13" s="33">
        <f>Assumption_Fattening!O18*Assumption_Fattening!O184</f>
        <v>3000000</v>
      </c>
      <c r="N13" s="163">
        <f>Assumption_Fattening!P18*Assumption_Fattening!P184*(1+Assumption_Fattening!$S158)</f>
        <v>3339000</v>
      </c>
      <c r="O13" s="33">
        <f>Assumption_Fattening!Q18*Assumption_Fattening!Q184</f>
        <v>3000000</v>
      </c>
      <c r="P13" s="33">
        <f>Assumption_Fattening!R18*Assumption_Fattening!R184</f>
        <v>3000000</v>
      </c>
      <c r="Q13" s="163">
        <f>Assumption_Fattening!S18*Assumption_Fattening!S184*(1+Assumption_Fattening!$S158)</f>
        <v>3339000</v>
      </c>
      <c r="R13" s="33">
        <f>Assumption_Fattening!T18*Assumption_Fattening!T184</f>
        <v>3000000</v>
      </c>
      <c r="S13" s="33">
        <f>Assumption_Fattening!U18*Assumption_Fattening!U184</f>
        <v>3000000</v>
      </c>
      <c r="T13" s="163">
        <f>Assumption_Fattening!V18*Assumption_Fattening!V184*(1+Assumption_Fattening!$S158)</f>
        <v>3339000</v>
      </c>
      <c r="U13" s="33">
        <f>Assumption_Fattening!W18*Assumption_Fattening!W184</f>
        <v>3000000</v>
      </c>
      <c r="V13" s="33">
        <f>Assumption_Fattening!X18*Assumption_Fattening!X184</f>
        <v>3000000</v>
      </c>
      <c r="W13" s="163">
        <f>Assumption_Fattening!Y18*Assumption_Fattening!Y184*(1+Assumption_Fattening!$S158)</f>
        <v>2838150</v>
      </c>
      <c r="X13" s="33">
        <f>Assumption_Fattening!Z18*Assumption_Fattening!Z184</f>
        <v>1500000</v>
      </c>
      <c r="Y13" s="33">
        <f>Assumption_Fattening!AA18*Assumption_Fattening!AA184</f>
        <v>450000</v>
      </c>
      <c r="Z13" s="163">
        <f>Assumption_Fattening!AB18*Assumption_Fattening!AB184*(1+Assumption_Fattening!$S158)</f>
        <v>166950</v>
      </c>
      <c r="AA13" s="33">
        <f>Assumption_Fattening!AC18*Assumption_Fattening!AC184</f>
        <v>0</v>
      </c>
    </row>
    <row r="14" spans="1:27" s="50" customFormat="1" x14ac:dyDescent="0.25">
      <c r="A14" s="52" t="s">
        <v>131</v>
      </c>
      <c r="B14" s="49">
        <f>Assumption_Fattening!D43</f>
        <v>0</v>
      </c>
      <c r="C14" s="49">
        <f>Assumption_Fattening!E43</f>
        <v>1692600</v>
      </c>
      <c r="D14" s="49">
        <f>Assumption_Fattening!F43</f>
        <v>3949400</v>
      </c>
      <c r="E14" s="49">
        <f>Assumption_Fattening!G43</f>
        <v>3949400</v>
      </c>
      <c r="F14" s="49">
        <f>Assumption_Fattening!H43</f>
        <v>1128400</v>
      </c>
      <c r="G14" s="49">
        <f>Assumption_Fattening!I43</f>
        <v>564200</v>
      </c>
      <c r="H14" s="49">
        <f>Assumption_Fattening!J43</f>
        <v>0</v>
      </c>
      <c r="I14" s="49">
        <f>Assumption_Fattening!K43</f>
        <v>0</v>
      </c>
      <c r="J14" s="49">
        <f>Assumption_Fattening!L43</f>
        <v>0</v>
      </c>
      <c r="K14" s="49">
        <f>Assumption_Fattening!M43</f>
        <v>0</v>
      </c>
      <c r="L14" s="49">
        <f>Assumption_Fattening!N43</f>
        <v>0</v>
      </c>
      <c r="M14" s="49">
        <f>Assumption_Fattening!O43</f>
        <v>0</v>
      </c>
      <c r="N14" s="49">
        <f>Assumption_Fattening!P43</f>
        <v>0</v>
      </c>
      <c r="O14" s="49">
        <f>Assumption_Fattening!Q43</f>
        <v>0</v>
      </c>
      <c r="P14" s="49">
        <f>Assumption_Fattening!R43</f>
        <v>0</v>
      </c>
      <c r="Q14" s="49">
        <f>Assumption_Fattening!S43</f>
        <v>0</v>
      </c>
      <c r="R14" s="49">
        <f>Assumption_Fattening!T43</f>
        <v>0</v>
      </c>
      <c r="S14" s="49">
        <f>Assumption_Fattening!U43</f>
        <v>0</v>
      </c>
      <c r="T14" s="49">
        <f>Assumption_Fattening!V43</f>
        <v>0</v>
      </c>
      <c r="U14" s="49">
        <f>Assumption_Fattening!W43</f>
        <v>0</v>
      </c>
      <c r="V14" s="49">
        <f>Assumption_Fattening!X43</f>
        <v>0</v>
      </c>
      <c r="W14" s="49">
        <f>Assumption_Fattening!Y43</f>
        <v>0</v>
      </c>
      <c r="X14" s="49">
        <f>Assumption_Fattening!Z43</f>
        <v>0</v>
      </c>
      <c r="Y14" s="49">
        <f>Assumption_Fattening!AA43</f>
        <v>0</v>
      </c>
      <c r="Z14" s="49">
        <f>Assumption_Fattening!AB43</f>
        <v>0</v>
      </c>
      <c r="AA14" s="49">
        <f>Assumption_Fattening!AC43</f>
        <v>0</v>
      </c>
    </row>
    <row r="15" spans="1:27" x14ac:dyDescent="0.25">
      <c r="A15" s="117" t="s">
        <v>54</v>
      </c>
      <c r="B15" s="37">
        <f t="shared" ref="B15:AA15" si="1">SUM(B10:B14)</f>
        <v>0</v>
      </c>
      <c r="C15" s="37">
        <f t="shared" si="1"/>
        <v>3580725</v>
      </c>
      <c r="D15" s="37">
        <f t="shared" si="1"/>
        <v>9343150</v>
      </c>
      <c r="E15" s="37">
        <f t="shared" si="1"/>
        <v>12020939</v>
      </c>
      <c r="F15" s="37">
        <f t="shared" si="1"/>
        <v>7986525</v>
      </c>
      <c r="G15" s="37">
        <f t="shared" si="1"/>
        <v>7451700</v>
      </c>
      <c r="H15" s="37">
        <f t="shared" si="1"/>
        <v>7025340</v>
      </c>
      <c r="I15" s="37">
        <f t="shared" si="1"/>
        <v>6587500</v>
      </c>
      <c r="J15" s="37">
        <f t="shared" si="1"/>
        <v>6587500</v>
      </c>
      <c r="K15" s="37">
        <f t="shared" si="1"/>
        <v>7025340</v>
      </c>
      <c r="L15" s="37">
        <f t="shared" si="1"/>
        <v>6587500</v>
      </c>
      <c r="M15" s="37">
        <f t="shared" si="1"/>
        <v>6587500</v>
      </c>
      <c r="N15" s="37">
        <f t="shared" si="1"/>
        <v>7025340</v>
      </c>
      <c r="O15" s="37">
        <f t="shared" si="1"/>
        <v>6587500</v>
      </c>
      <c r="P15" s="37">
        <f t="shared" si="1"/>
        <v>6587500</v>
      </c>
      <c r="Q15" s="37">
        <f t="shared" si="1"/>
        <v>7025340</v>
      </c>
      <c r="R15" s="37">
        <f t="shared" si="1"/>
        <v>6587500</v>
      </c>
      <c r="S15" s="37">
        <f t="shared" si="1"/>
        <v>6587500</v>
      </c>
      <c r="T15" s="37">
        <f t="shared" si="1"/>
        <v>7025340</v>
      </c>
      <c r="U15" s="37">
        <f t="shared" si="1"/>
        <v>6587500</v>
      </c>
      <c r="V15" s="37">
        <f t="shared" si="1"/>
        <v>6587500</v>
      </c>
      <c r="W15" s="37">
        <f t="shared" si="1"/>
        <v>5971539</v>
      </c>
      <c r="X15" s="37">
        <f t="shared" si="1"/>
        <v>3293750</v>
      </c>
      <c r="Y15" s="37">
        <f t="shared" si="1"/>
        <v>988125</v>
      </c>
      <c r="Z15" s="37">
        <f t="shared" si="1"/>
        <v>351267</v>
      </c>
      <c r="AA15" s="37">
        <f t="shared" si="1"/>
        <v>0</v>
      </c>
    </row>
    <row r="16" spans="1:27" x14ac:dyDescent="0.25">
      <c r="B16" s="32"/>
      <c r="C16" s="32"/>
      <c r="D16" s="32"/>
      <c r="E16" s="32"/>
      <c r="F16" s="32"/>
      <c r="G16" s="32"/>
      <c r="H16" s="32"/>
      <c r="I16" s="32"/>
      <c r="J16" s="32"/>
      <c r="K16" s="32"/>
      <c r="L16" s="32"/>
    </row>
    <row r="17" spans="1:28" x14ac:dyDescent="0.25">
      <c r="A17" s="23" t="s">
        <v>55</v>
      </c>
      <c r="B17" s="34">
        <f t="shared" ref="B17:AA17" si="2">B7-B15</f>
        <v>0</v>
      </c>
      <c r="C17" s="34">
        <f t="shared" si="2"/>
        <v>-2363801.25</v>
      </c>
      <c r="D17" s="34">
        <f t="shared" si="2"/>
        <v>-5246173.375</v>
      </c>
      <c r="E17" s="34">
        <f t="shared" si="2"/>
        <v>-7320128.4508802183</v>
      </c>
      <c r="F17" s="34">
        <f t="shared" si="2"/>
        <v>-45805.875191249885</v>
      </c>
      <c r="G17" s="34">
        <f t="shared" si="2"/>
        <v>990538.22742825001</v>
      </c>
      <c r="H17" s="34">
        <f t="shared" si="2"/>
        <v>-1327399.0475662816</v>
      </c>
      <c r="I17" s="34">
        <f t="shared" si="2"/>
        <v>2024427.215799557</v>
      </c>
      <c r="J17" s="34">
        <f t="shared" si="2"/>
        <v>2110546.4879575539</v>
      </c>
      <c r="K17" s="34">
        <f t="shared" si="2"/>
        <v>-1154745.7387665864</v>
      </c>
      <c r="L17" s="34">
        <f t="shared" si="2"/>
        <v>2285377.2223655023</v>
      </c>
      <c r="M17" s="34">
        <f t="shared" si="2"/>
        <v>2374105.9945891555</v>
      </c>
      <c r="N17" s="34">
        <f t="shared" si="2"/>
        <v>-976860.86205695476</v>
      </c>
      <c r="O17" s="34">
        <f t="shared" si="2"/>
        <v>2554234.2750803977</v>
      </c>
      <c r="P17" s="34">
        <f t="shared" si="2"/>
        <v>2645651.6178312041</v>
      </c>
      <c r="Q17" s="34">
        <f t="shared" si="2"/>
        <v>-793585.89569814224</v>
      </c>
      <c r="R17" s="34">
        <f t="shared" si="2"/>
        <v>2831237.9653496109</v>
      </c>
      <c r="S17" s="34">
        <f t="shared" si="2"/>
        <v>2925425.3450031076</v>
      </c>
      <c r="T17" s="34">
        <f t="shared" si="2"/>
        <v>-604757.51458369009</v>
      </c>
      <c r="U17" s="34">
        <f t="shared" si="2"/>
        <v>3116635.144437667</v>
      </c>
      <c r="V17" s="34">
        <f t="shared" si="2"/>
        <v>3213676.4958820455</v>
      </c>
      <c r="W17" s="34">
        <f t="shared" si="2"/>
        <v>-348676.32798912749</v>
      </c>
      <c r="X17" s="34">
        <f t="shared" si="2"/>
        <v>1705340.0717246383</v>
      </c>
      <c r="Y17" s="34">
        <f t="shared" si="2"/>
        <v>526599.29173256503</v>
      </c>
      <c r="Z17" s="34">
        <f t="shared" si="2"/>
        <v>-10488.115656736773</v>
      </c>
      <c r="AA17" s="34">
        <f t="shared" si="2"/>
        <v>0</v>
      </c>
    </row>
    <row r="18" spans="1:28" x14ac:dyDescent="0.25">
      <c r="A18" s="23"/>
      <c r="B18" s="344"/>
      <c r="C18" s="344"/>
      <c r="D18" s="344"/>
      <c r="E18" s="344"/>
      <c r="F18" s="344"/>
      <c r="G18" s="344"/>
      <c r="H18" s="344"/>
      <c r="I18" s="344"/>
      <c r="J18" s="344"/>
      <c r="K18" s="344"/>
      <c r="L18" s="344"/>
      <c r="M18" s="344"/>
      <c r="N18" s="344"/>
      <c r="O18" s="344"/>
      <c r="P18" s="344"/>
      <c r="Q18" s="344"/>
      <c r="R18" s="344"/>
      <c r="S18" s="344"/>
      <c r="T18" s="344"/>
      <c r="U18" s="344"/>
      <c r="V18" s="344"/>
      <c r="W18" s="344"/>
      <c r="X18" s="344"/>
      <c r="Y18" s="344"/>
      <c r="Z18" s="344"/>
      <c r="AA18" s="344"/>
    </row>
    <row r="19" spans="1:28" x14ac:dyDescent="0.25">
      <c r="A19" s="10" t="s">
        <v>319</v>
      </c>
      <c r="B19" s="345">
        <f>B7/(1+Assumption_Fattening!$C76)^'RCP 4.5_Fattening'!B4</f>
        <v>0</v>
      </c>
      <c r="C19" s="345">
        <f>C7/(1+Assumption_Fattening!$C76)^'RCP 4.5_Fattening'!C4</f>
        <v>1148041.2735849055</v>
      </c>
      <c r="D19" s="345">
        <f>D7/(1+Assumption_Fattening!$C76)^'RCP 4.5_Fattening'!D4</f>
        <v>3646294.6110715554</v>
      </c>
      <c r="E19" s="345">
        <f>E7/(1+Assumption_Fattening!$C76)^'RCP 4.5_Fattening'!E4</f>
        <v>3946891.182922631</v>
      </c>
      <c r="F19" s="345">
        <f>F7/(1+Assumption_Fattening!$C76)^'RCP 4.5_Fattening'!F4</f>
        <v>6289793.3003139701</v>
      </c>
      <c r="G19" s="345">
        <f>G7/(1+Assumption_Fattening!$C76)^'RCP 4.5_Fattening'!G4</f>
        <v>6308531.5127280131</v>
      </c>
      <c r="H19" s="345">
        <f>H7/(1+Assumption_Fattening!$C76)^'RCP 4.5_Fattening'!H4</f>
        <v>4016823.5332210381</v>
      </c>
      <c r="I19" s="345">
        <f>I7/(1+Assumption_Fattening!$C76)^'RCP 4.5_Fattening'!I4</f>
        <v>5727423.4568652939</v>
      </c>
      <c r="J19" s="345">
        <f>J7/(1+Assumption_Fattening!$C76)^'RCP 4.5_Fattening'!J4</f>
        <v>5457261.9730508942</v>
      </c>
      <c r="K19" s="345">
        <f>K7/(1+Assumption_Fattening!$C76)^'RCP 4.5_Fattening'!K4</f>
        <v>3474795.72323224</v>
      </c>
      <c r="L19" s="345">
        <f>L7/(1+Assumption_Fattening!$C76)^'RCP 4.5_Fattening'!L4</f>
        <v>4954568.2971780151</v>
      </c>
      <c r="M19" s="345">
        <f>M7/(1+Assumption_Fattening!$C76)^'RCP 4.5_Fattening'!M4</f>
        <v>4720862.245424334</v>
      </c>
      <c r="N19" s="345">
        <f>N7/(1+Assumption_Fattening!$C76)^'RCP 4.5_Fattening'!N4</f>
        <v>3005908.8277923199</v>
      </c>
      <c r="O19" s="345">
        <f>O7/(1+Assumption_Fattening!$C76)^'RCP 4.5_Fattening'!O4</f>
        <v>4286001.7591290157</v>
      </c>
      <c r="P19" s="345">
        <f>P7/(1+Assumption_Fattening!$C76)^'RCP 4.5_Fattening'!P4</f>
        <v>4083831.8648304786</v>
      </c>
      <c r="Q19" s="345">
        <f>Q7/(1+Assumption_Fattening!$C76)^'RCP 4.5_Fattening'!Q4</f>
        <v>2600293.2548204674</v>
      </c>
      <c r="R19" s="345">
        <f>R7/(1+Assumption_Fattening!$C76)^'RCP 4.5_Fattening'!R4</f>
        <v>3707651.197324289</v>
      </c>
      <c r="S19" s="345">
        <f>S7/(1+Assumption_Fattening!$C76)^'RCP 4.5_Fattening'!S4</f>
        <v>3532761.9899033317</v>
      </c>
      <c r="T19" s="345">
        <f>T7/(1+Assumption_Fattening!$C76)^'RCP 4.5_Fattening'!T4</f>
        <v>2249411.2091985191</v>
      </c>
      <c r="U19" s="345">
        <f>U7/(1+Assumption_Fattening!$C76)^'RCP 4.5_Fattening'!U4</f>
        <v>3207342.9208796611</v>
      </c>
      <c r="V19" s="345">
        <f>V7/(1+Assumption_Fattening!$C76)^'RCP 4.5_Fattening'!V4</f>
        <v>3056053.1604608097</v>
      </c>
      <c r="W19" s="345">
        <f>W7/(1+Assumption_Fattening!$C76)^'RCP 4.5_Fattening'!W4</f>
        <v>1653995.4337399129</v>
      </c>
      <c r="X19" s="345">
        <f>X7/(1+Assumption_Fattening!$C76)^'RCP 4.5_Fattening'!X4</f>
        <v>1387272.9748069027</v>
      </c>
      <c r="Y19" s="345">
        <f>Y7/(1+Assumption_Fattening!$C76)^'RCP 4.5_Fattening'!Y4</f>
        <v>396550.67110046354</v>
      </c>
      <c r="Z19" s="345">
        <f>Z7/(1+Assumption_Fattening!$C76)^'RCP 4.5_Fattening'!Z4</f>
        <v>84165.074158023184</v>
      </c>
      <c r="AA19" s="345">
        <f>AA7/(1+Assumption_Fattening!$C76)^'RCP 4.5_Fattening'!AA4</f>
        <v>0</v>
      </c>
      <c r="AB19" s="367">
        <f>SUM(B19:AA19)</f>
        <v>82942527.447737098</v>
      </c>
    </row>
    <row r="20" spans="1:28" s="12" customFormat="1" x14ac:dyDescent="0.25">
      <c r="A20" s="10" t="s">
        <v>320</v>
      </c>
      <c r="B20" s="346">
        <f>B15/(1+Assumption_Fattening!$C76)^'RCP 4.5_Fattening'!B4</f>
        <v>0</v>
      </c>
      <c r="C20" s="346">
        <f>C15/(1+Assumption_Fattening!$C76)^'RCP 4.5_Fattening'!C4</f>
        <v>3378042.4528301884</v>
      </c>
      <c r="D20" s="346">
        <f>D15/(1+Assumption_Fattening!$C76)^'RCP 4.5_Fattening'!D4</f>
        <v>8315370.2385190446</v>
      </c>
      <c r="E20" s="346">
        <f>E15/(1+Assumption_Fattening!$C76)^'RCP 4.5_Fattening'!E4</f>
        <v>10093012.184555033</v>
      </c>
      <c r="F20" s="346">
        <f>F15/(1+Assumption_Fattening!$C76)^'RCP 4.5_Fattening'!F4</f>
        <v>6326075.8437920306</v>
      </c>
      <c r="G20" s="346">
        <f>G15/(1+Assumption_Fattening!$C76)^'RCP 4.5_Fattening'!G4</f>
        <v>5568343.7267459957</v>
      </c>
      <c r="H20" s="346">
        <f>H15/(1+Assumption_Fattening!$C76)^'RCP 4.5_Fattening'!H4</f>
        <v>4952587.4831724754</v>
      </c>
      <c r="I20" s="346">
        <f>I15/(1+Assumption_Fattening!$C76)^'RCP 4.5_Fattening'!I4</f>
        <v>4381063.7359871389</v>
      </c>
      <c r="J20" s="346">
        <f>J15/(1+Assumption_Fattening!$C76)^'RCP 4.5_Fattening'!J4</f>
        <v>4133078.9962142822</v>
      </c>
      <c r="K20" s="346">
        <f>K15/(1+Assumption_Fattening!$C76)^'RCP 4.5_Fattening'!K4</f>
        <v>4158287.9517760258</v>
      </c>
      <c r="L20" s="346">
        <f>L15/(1+Assumption_Fattening!$C76)^'RCP 4.5_Fattening'!L4</f>
        <v>3678425.5929283388</v>
      </c>
      <c r="M20" s="346">
        <f>M15/(1+Assumption_Fattening!$C76)^'RCP 4.5_Fattening'!M4</f>
        <v>3470212.8235173002</v>
      </c>
      <c r="N20" s="346">
        <f>N15/(1+Assumption_Fattening!$C76)^'RCP 4.5_Fattening'!N4</f>
        <v>3491378.7487120447</v>
      </c>
      <c r="O20" s="346">
        <f>O15/(1+Assumption_Fattening!$C76)^'RCP 4.5_Fattening'!O4</f>
        <v>3088477.0590221607</v>
      </c>
      <c r="P20" s="346">
        <f>P15/(1+Assumption_Fattening!$C76)^'RCP 4.5_Fattening'!P4</f>
        <v>2913657.6028510951</v>
      </c>
      <c r="Q20" s="346">
        <f>Q15/(1+Assumption_Fattening!$C76)^'RCP 4.5_Fattening'!Q4</f>
        <v>2931428.9217878212</v>
      </c>
      <c r="R20" s="346">
        <f>R15/(1+Assumption_Fattening!$C76)^'RCP 4.5_Fattening'!R4</f>
        <v>2593144.893957899</v>
      </c>
      <c r="S20" s="346">
        <f>S15/(1+Assumption_Fattening!$C76)^'RCP 4.5_Fattening'!S4</f>
        <v>2446363.1075074514</v>
      </c>
      <c r="T20" s="346">
        <f>T15/(1+Assumption_Fattening!$C76)^'RCP 4.5_Fattening'!T4</f>
        <v>2461284.2495716442</v>
      </c>
      <c r="U20" s="346">
        <f>U15/(1+Assumption_Fattening!$C76)^'RCP 4.5_Fattening'!U4</f>
        <v>2177254.4566638051</v>
      </c>
      <c r="V20" s="346">
        <f>V15/(1+Assumption_Fattening!$C76)^'RCP 4.5_Fattening'!V4</f>
        <v>2054013.6383620801</v>
      </c>
      <c r="W20" s="346">
        <f>W15/(1+Assumption_Fattening!$C76)^'RCP 4.5_Fattening'!W4</f>
        <v>1756560.4594194344</v>
      </c>
      <c r="X20" s="346">
        <f>X15/(1+Assumption_Fattening!$C76)^'RCP 4.5_Fattening'!X4</f>
        <v>914032.41294147365</v>
      </c>
      <c r="Y20" s="346">
        <f>Y15/(1+Assumption_Fattening!$C76)^'RCP 4.5_Fattening'!Y4</f>
        <v>258688.41875702082</v>
      </c>
      <c r="Z20" s="346">
        <f>Z15/(1+Assumption_Fattening!$C76)^'RCP 4.5_Fattening'!Z4</f>
        <v>86755.413737684474</v>
      </c>
      <c r="AA20" s="346">
        <f>AA15/(1+Assumption_Fattening!$C76)^'RCP 4.5_Fattening'!AA4</f>
        <v>0</v>
      </c>
      <c r="AB20" s="343">
        <f>SUM(B20:AA20)</f>
        <v>85627540.413329482</v>
      </c>
    </row>
    <row r="21" spans="1:28" x14ac:dyDescent="0.25">
      <c r="B21" s="32"/>
      <c r="C21" s="32"/>
      <c r="D21" s="32"/>
      <c r="E21" s="32"/>
      <c r="F21" s="32"/>
      <c r="G21" s="32"/>
      <c r="H21" s="32"/>
      <c r="I21" s="32"/>
      <c r="J21" s="32"/>
      <c r="K21" s="32"/>
      <c r="L21" s="32"/>
    </row>
    <row r="22" spans="1:28" s="12" customFormat="1" x14ac:dyDescent="0.25">
      <c r="A22" s="25" t="s">
        <v>318</v>
      </c>
      <c r="B22" s="35">
        <f>NPV(Assumption_Hatchery!C76,C17:Z17)+B17</f>
        <v>-2685012.9655923825</v>
      </c>
      <c r="C22" s="40"/>
      <c r="D22" s="40"/>
      <c r="E22" s="40"/>
      <c r="F22" s="40"/>
      <c r="G22" s="40"/>
      <c r="H22" s="40"/>
      <c r="I22" s="40"/>
      <c r="J22" s="40"/>
      <c r="K22" s="40"/>
      <c r="L22" s="40"/>
    </row>
    <row r="24" spans="1:28" s="12" customFormat="1" x14ac:dyDescent="0.25">
      <c r="A24" s="25" t="s">
        <v>238</v>
      </c>
      <c r="B24" s="36">
        <f>IRR(B17:Z17)</f>
        <v>3.934794080923254E-2</v>
      </c>
      <c r="C24" s="4"/>
      <c r="D24" s="4"/>
      <c r="E24" s="4"/>
      <c r="F24" s="4"/>
      <c r="G24" s="4"/>
      <c r="H24" s="4"/>
      <c r="I24" s="4"/>
      <c r="J24" s="4"/>
      <c r="K24" s="4"/>
      <c r="L24" s="4"/>
    </row>
    <row r="27" spans="1:28" s="1" customFormat="1" x14ac:dyDescent="0.25">
      <c r="A27" s="24"/>
      <c r="B27" s="42"/>
      <c r="C27" s="42"/>
      <c r="D27" s="42"/>
      <c r="E27" s="42"/>
      <c r="F27" s="42"/>
      <c r="G27" s="42"/>
      <c r="H27" s="42"/>
      <c r="I27" s="42"/>
      <c r="J27" s="42"/>
      <c r="K27" s="42"/>
      <c r="L27" s="42"/>
    </row>
    <row r="29" spans="1:28" ht="38.25" customHeight="1" x14ac:dyDescent="0.25">
      <c r="A29" s="11" t="str">
        <f>A2</f>
        <v>Aggregate Economic Analysis</v>
      </c>
      <c r="B29" s="30"/>
      <c r="C29" s="69"/>
      <c r="D29" s="70"/>
      <c r="E29" s="30"/>
      <c r="F29" s="116" t="s">
        <v>90</v>
      </c>
      <c r="G29" s="30"/>
      <c r="H29" s="30"/>
      <c r="I29" s="30"/>
      <c r="J29" s="30"/>
      <c r="K29" s="30"/>
      <c r="L29" s="30"/>
      <c r="M29" s="11"/>
    </row>
    <row r="30" spans="1:28" ht="38.25" customHeight="1" x14ac:dyDescent="0.25">
      <c r="A30" s="11"/>
      <c r="B30" s="30"/>
      <c r="C30" s="69"/>
      <c r="D30" s="70"/>
      <c r="E30" s="30"/>
      <c r="F30" s="116"/>
      <c r="G30" s="30"/>
      <c r="H30" s="30"/>
      <c r="I30" s="30"/>
      <c r="J30" s="30"/>
      <c r="K30" s="30"/>
      <c r="L30" s="30"/>
      <c r="M30" s="11"/>
    </row>
    <row r="31" spans="1:28" x14ac:dyDescent="0.25">
      <c r="A31" s="10" t="s">
        <v>19</v>
      </c>
      <c r="B31" s="26">
        <v>0</v>
      </c>
      <c r="C31" s="26">
        <v>1</v>
      </c>
      <c r="D31" s="26">
        <v>2</v>
      </c>
      <c r="E31" s="26">
        <v>3</v>
      </c>
      <c r="F31" s="26">
        <v>4</v>
      </c>
      <c r="G31" s="26">
        <v>5</v>
      </c>
      <c r="H31" s="26">
        <v>6</v>
      </c>
      <c r="I31" s="26">
        <v>7</v>
      </c>
      <c r="J31" s="26">
        <v>8</v>
      </c>
      <c r="K31" s="26">
        <v>9</v>
      </c>
      <c r="L31" s="26">
        <v>10</v>
      </c>
      <c r="M31" s="26">
        <v>11</v>
      </c>
      <c r="N31" s="26">
        <v>12</v>
      </c>
      <c r="O31" s="26">
        <v>13</v>
      </c>
      <c r="P31" s="26">
        <v>14</v>
      </c>
      <c r="Q31" s="26">
        <v>15</v>
      </c>
      <c r="R31" s="26">
        <v>16</v>
      </c>
      <c r="S31" s="26">
        <v>17</v>
      </c>
      <c r="T31" s="26">
        <v>18</v>
      </c>
      <c r="U31" s="26">
        <v>19</v>
      </c>
      <c r="V31" s="26">
        <v>20</v>
      </c>
      <c r="W31" s="26">
        <v>21</v>
      </c>
      <c r="X31" s="26">
        <v>22</v>
      </c>
      <c r="Y31" s="26">
        <v>23</v>
      </c>
      <c r="Z31" s="26">
        <v>24</v>
      </c>
      <c r="AA31" s="26">
        <v>25</v>
      </c>
    </row>
    <row r="32" spans="1:28" x14ac:dyDescent="0.25">
      <c r="A32" s="23" t="s">
        <v>3</v>
      </c>
    </row>
    <row r="33" spans="1:28" x14ac:dyDescent="0.25">
      <c r="A33" s="10" t="str">
        <f t="shared" ref="A33:AA33" si="3">A6</f>
        <v>Crab Sale ($)</v>
      </c>
      <c r="B33" s="31">
        <f t="shared" si="3"/>
        <v>0</v>
      </c>
      <c r="C33" s="31">
        <f t="shared" si="3"/>
        <v>1216923.75</v>
      </c>
      <c r="D33" s="31">
        <f t="shared" si="3"/>
        <v>4096976.625</v>
      </c>
      <c r="E33" s="31">
        <f t="shared" si="3"/>
        <v>4700810.5491197817</v>
      </c>
      <c r="F33" s="31">
        <f t="shared" si="3"/>
        <v>7940719.1248087501</v>
      </c>
      <c r="G33" s="31">
        <f t="shared" si="3"/>
        <v>8442238.22742825</v>
      </c>
      <c r="H33" s="31">
        <f t="shared" si="3"/>
        <v>5697940.9524337184</v>
      </c>
      <c r="I33" s="31">
        <f t="shared" si="3"/>
        <v>8611927.215799557</v>
      </c>
      <c r="J33" s="31">
        <f t="shared" si="3"/>
        <v>8698046.4879575539</v>
      </c>
      <c r="K33" s="31">
        <f t="shared" si="3"/>
        <v>5870594.2612334136</v>
      </c>
      <c r="L33" s="31">
        <f t="shared" si="3"/>
        <v>8872877.2223655023</v>
      </c>
      <c r="M33" s="31">
        <f t="shared" si="3"/>
        <v>8961605.9945891555</v>
      </c>
      <c r="N33" s="31">
        <f t="shared" si="3"/>
        <v>6048479.1379430452</v>
      </c>
      <c r="O33" s="31">
        <f t="shared" si="3"/>
        <v>9141734.2750803977</v>
      </c>
      <c r="P33" s="31">
        <f t="shared" si="3"/>
        <v>9233151.6178312041</v>
      </c>
      <c r="Q33" s="31">
        <f t="shared" si="3"/>
        <v>6231754.1043018578</v>
      </c>
      <c r="R33" s="31">
        <f t="shared" si="3"/>
        <v>9418737.9653496109</v>
      </c>
      <c r="S33" s="31">
        <f t="shared" si="3"/>
        <v>9512925.3450031076</v>
      </c>
      <c r="T33" s="31">
        <f t="shared" si="3"/>
        <v>6420582.4854163099</v>
      </c>
      <c r="U33" s="31">
        <f t="shared" si="3"/>
        <v>9704135.144437667</v>
      </c>
      <c r="V33" s="31">
        <f t="shared" si="3"/>
        <v>9801176.4958820455</v>
      </c>
      <c r="W33" s="31">
        <f t="shared" si="3"/>
        <v>5622862.6720108725</v>
      </c>
      <c r="X33" s="31">
        <f t="shared" si="3"/>
        <v>4999090.0717246383</v>
      </c>
      <c r="Y33" s="31">
        <f t="shared" si="3"/>
        <v>1514724.291732565</v>
      </c>
      <c r="Z33" s="31">
        <f t="shared" si="3"/>
        <v>340778.88434326323</v>
      </c>
      <c r="AA33" s="31">
        <f t="shared" si="3"/>
        <v>0</v>
      </c>
    </row>
    <row r="34" spans="1:28" s="12" customFormat="1" x14ac:dyDescent="0.25">
      <c r="A34" s="23" t="s">
        <v>53</v>
      </c>
      <c r="B34" s="38">
        <f t="shared" ref="B34:AA34" si="4">B7</f>
        <v>0</v>
      </c>
      <c r="C34" s="38">
        <f t="shared" si="4"/>
        <v>1216923.75</v>
      </c>
      <c r="D34" s="38">
        <f t="shared" si="4"/>
        <v>4096976.625</v>
      </c>
      <c r="E34" s="38">
        <f t="shared" si="4"/>
        <v>4700810.5491197817</v>
      </c>
      <c r="F34" s="38">
        <f t="shared" si="4"/>
        <v>7940719.1248087501</v>
      </c>
      <c r="G34" s="38">
        <f t="shared" si="4"/>
        <v>8442238.22742825</v>
      </c>
      <c r="H34" s="38">
        <f t="shared" si="4"/>
        <v>5697940.9524337184</v>
      </c>
      <c r="I34" s="38">
        <f t="shared" si="4"/>
        <v>8611927.215799557</v>
      </c>
      <c r="J34" s="38">
        <f t="shared" si="4"/>
        <v>8698046.4879575539</v>
      </c>
      <c r="K34" s="38">
        <f t="shared" si="4"/>
        <v>5870594.2612334136</v>
      </c>
      <c r="L34" s="38">
        <f t="shared" si="4"/>
        <v>8872877.2223655023</v>
      </c>
      <c r="M34" s="38">
        <f t="shared" si="4"/>
        <v>8961605.9945891555</v>
      </c>
      <c r="N34" s="38">
        <f t="shared" si="4"/>
        <v>6048479.1379430452</v>
      </c>
      <c r="O34" s="38">
        <f t="shared" si="4"/>
        <v>9141734.2750803977</v>
      </c>
      <c r="P34" s="38">
        <f t="shared" si="4"/>
        <v>9233151.6178312041</v>
      </c>
      <c r="Q34" s="38">
        <f t="shared" si="4"/>
        <v>6231754.1043018578</v>
      </c>
      <c r="R34" s="38">
        <f t="shared" si="4"/>
        <v>9418737.9653496109</v>
      </c>
      <c r="S34" s="38">
        <f t="shared" si="4"/>
        <v>9512925.3450031076</v>
      </c>
      <c r="T34" s="38">
        <f t="shared" si="4"/>
        <v>6420582.4854163099</v>
      </c>
      <c r="U34" s="38">
        <f t="shared" si="4"/>
        <v>9704135.144437667</v>
      </c>
      <c r="V34" s="38">
        <f t="shared" si="4"/>
        <v>9801176.4958820455</v>
      </c>
      <c r="W34" s="38">
        <f t="shared" si="4"/>
        <v>5622862.6720108725</v>
      </c>
      <c r="X34" s="38">
        <f t="shared" si="4"/>
        <v>4999090.0717246383</v>
      </c>
      <c r="Y34" s="38">
        <f t="shared" si="4"/>
        <v>1514724.291732565</v>
      </c>
      <c r="Z34" s="38">
        <f t="shared" si="4"/>
        <v>340778.88434326323</v>
      </c>
      <c r="AA34" s="38">
        <f t="shared" si="4"/>
        <v>0</v>
      </c>
    </row>
    <row r="35" spans="1:28" x14ac:dyDescent="0.25">
      <c r="A35" s="23"/>
      <c r="B35" s="41"/>
      <c r="C35" s="41"/>
      <c r="D35" s="41"/>
      <c r="E35" s="41"/>
      <c r="F35" s="41"/>
      <c r="G35" s="41"/>
      <c r="H35" s="41"/>
      <c r="I35" s="41"/>
      <c r="J35" s="41"/>
      <c r="K35" s="41"/>
    </row>
    <row r="36" spans="1:28" x14ac:dyDescent="0.25">
      <c r="A36" s="23" t="s">
        <v>20</v>
      </c>
    </row>
    <row r="37" spans="1:28" x14ac:dyDescent="0.25">
      <c r="A37" s="9" t="str">
        <f t="shared" ref="A37:AA37" si="5">A10</f>
        <v>Crab Farm Establishment</v>
      </c>
      <c r="B37" s="33">
        <f t="shared" si="5"/>
        <v>0</v>
      </c>
      <c r="C37" s="33">
        <f t="shared" si="5"/>
        <v>900000</v>
      </c>
      <c r="D37" s="33">
        <f t="shared" si="5"/>
        <v>2100000</v>
      </c>
      <c r="E37" s="33">
        <f t="shared" si="5"/>
        <v>2100000</v>
      </c>
      <c r="F37" s="33">
        <f t="shared" si="5"/>
        <v>600000</v>
      </c>
      <c r="G37" s="33">
        <f t="shared" si="5"/>
        <v>300000</v>
      </c>
      <c r="H37" s="33">
        <f t="shared" si="5"/>
        <v>0</v>
      </c>
      <c r="I37" s="33">
        <f t="shared" si="5"/>
        <v>0</v>
      </c>
      <c r="J37" s="33">
        <f t="shared" si="5"/>
        <v>0</v>
      </c>
      <c r="K37" s="33">
        <f t="shared" si="5"/>
        <v>0</v>
      </c>
      <c r="L37" s="33">
        <f t="shared" si="5"/>
        <v>0</v>
      </c>
      <c r="M37" s="33">
        <f t="shared" si="5"/>
        <v>0</v>
      </c>
      <c r="N37" s="33">
        <f t="shared" si="5"/>
        <v>0</v>
      </c>
      <c r="O37" s="33">
        <f t="shared" si="5"/>
        <v>0</v>
      </c>
      <c r="P37" s="33">
        <f t="shared" si="5"/>
        <v>0</v>
      </c>
      <c r="Q37" s="33">
        <f t="shared" si="5"/>
        <v>0</v>
      </c>
      <c r="R37" s="33">
        <f t="shared" si="5"/>
        <v>0</v>
      </c>
      <c r="S37" s="33">
        <f t="shared" si="5"/>
        <v>0</v>
      </c>
      <c r="T37" s="33">
        <f t="shared" si="5"/>
        <v>0</v>
      </c>
      <c r="U37" s="33">
        <f t="shared" si="5"/>
        <v>0</v>
      </c>
      <c r="V37" s="33">
        <f t="shared" si="5"/>
        <v>0</v>
      </c>
      <c r="W37" s="33">
        <f t="shared" si="5"/>
        <v>0</v>
      </c>
      <c r="X37" s="33">
        <f t="shared" si="5"/>
        <v>0</v>
      </c>
      <c r="Y37" s="33">
        <f t="shared" si="5"/>
        <v>0</v>
      </c>
      <c r="Z37" s="33">
        <f t="shared" si="5"/>
        <v>0</v>
      </c>
      <c r="AA37" s="33">
        <f t="shared" si="5"/>
        <v>0</v>
      </c>
    </row>
    <row r="38" spans="1:28" x14ac:dyDescent="0.25">
      <c r="A38" s="9" t="str">
        <f t="shared" ref="A38:AA38" si="6">A11</f>
        <v>Operation Cost (Small crab purchase)</v>
      </c>
      <c r="B38" s="33">
        <f t="shared" si="6"/>
        <v>0</v>
      </c>
      <c r="C38" s="33">
        <f t="shared" si="6"/>
        <v>118125.00000000001</v>
      </c>
      <c r="D38" s="33">
        <f t="shared" si="6"/>
        <v>393750.00000000006</v>
      </c>
      <c r="E38" s="33">
        <f t="shared" si="6"/>
        <v>669375.00000000012</v>
      </c>
      <c r="F38" s="33">
        <f t="shared" si="6"/>
        <v>748125.00000000012</v>
      </c>
      <c r="G38" s="33">
        <f t="shared" si="6"/>
        <v>787500.00000000012</v>
      </c>
      <c r="H38" s="33">
        <f t="shared" si="6"/>
        <v>787500.00000000012</v>
      </c>
      <c r="I38" s="33">
        <f t="shared" si="6"/>
        <v>787500.00000000012</v>
      </c>
      <c r="J38" s="33">
        <f t="shared" si="6"/>
        <v>787500.00000000012</v>
      </c>
      <c r="K38" s="33">
        <f t="shared" si="6"/>
        <v>787500.00000000012</v>
      </c>
      <c r="L38" s="33">
        <f t="shared" si="6"/>
        <v>787500.00000000012</v>
      </c>
      <c r="M38" s="33">
        <f t="shared" si="6"/>
        <v>787500.00000000012</v>
      </c>
      <c r="N38" s="33">
        <f t="shared" si="6"/>
        <v>787500.00000000012</v>
      </c>
      <c r="O38" s="33">
        <f t="shared" si="6"/>
        <v>787500.00000000012</v>
      </c>
      <c r="P38" s="33">
        <f t="shared" si="6"/>
        <v>787500.00000000012</v>
      </c>
      <c r="Q38" s="33">
        <f t="shared" si="6"/>
        <v>787500.00000000012</v>
      </c>
      <c r="R38" s="33">
        <f t="shared" si="6"/>
        <v>787500.00000000012</v>
      </c>
      <c r="S38" s="33">
        <f t="shared" si="6"/>
        <v>787500.00000000012</v>
      </c>
      <c r="T38" s="33">
        <f t="shared" si="6"/>
        <v>787500.00000000012</v>
      </c>
      <c r="U38" s="33">
        <f t="shared" si="6"/>
        <v>787500.00000000012</v>
      </c>
      <c r="V38" s="33">
        <f t="shared" si="6"/>
        <v>787500.00000000012</v>
      </c>
      <c r="W38" s="33">
        <f t="shared" si="6"/>
        <v>669375.00000000012</v>
      </c>
      <c r="X38" s="33">
        <f t="shared" si="6"/>
        <v>393750.00000000006</v>
      </c>
      <c r="Y38" s="33">
        <f t="shared" si="6"/>
        <v>118125.00000000001</v>
      </c>
      <c r="Z38" s="33">
        <f t="shared" si="6"/>
        <v>39375.000000000007</v>
      </c>
      <c r="AA38" s="33">
        <f t="shared" si="6"/>
        <v>0</v>
      </c>
    </row>
    <row r="39" spans="1:28" x14ac:dyDescent="0.25">
      <c r="A39" s="9" t="str">
        <f t="shared" ref="A39:AA39" si="7">A12</f>
        <v>Maintenance</v>
      </c>
      <c r="B39" s="33">
        <f t="shared" si="7"/>
        <v>0</v>
      </c>
      <c r="C39" s="33">
        <f t="shared" si="7"/>
        <v>420000</v>
      </c>
      <c r="D39" s="33">
        <f t="shared" si="7"/>
        <v>1400000</v>
      </c>
      <c r="E39" s="33">
        <f t="shared" si="7"/>
        <v>2464014</v>
      </c>
      <c r="F39" s="33">
        <f t="shared" si="7"/>
        <v>2660000</v>
      </c>
      <c r="G39" s="33">
        <f t="shared" si="7"/>
        <v>2800000</v>
      </c>
      <c r="H39" s="33">
        <f t="shared" si="7"/>
        <v>2898840</v>
      </c>
      <c r="I39" s="33">
        <f t="shared" si="7"/>
        <v>2800000</v>
      </c>
      <c r="J39" s="33">
        <f t="shared" si="7"/>
        <v>2800000</v>
      </c>
      <c r="K39" s="33">
        <f t="shared" si="7"/>
        <v>2898840</v>
      </c>
      <c r="L39" s="33">
        <f t="shared" si="7"/>
        <v>2800000</v>
      </c>
      <c r="M39" s="33">
        <f t="shared" si="7"/>
        <v>2800000</v>
      </c>
      <c r="N39" s="33">
        <f t="shared" si="7"/>
        <v>2898840</v>
      </c>
      <c r="O39" s="33">
        <f t="shared" si="7"/>
        <v>2800000</v>
      </c>
      <c r="P39" s="33">
        <f t="shared" si="7"/>
        <v>2800000</v>
      </c>
      <c r="Q39" s="33">
        <f t="shared" si="7"/>
        <v>2898840</v>
      </c>
      <c r="R39" s="33">
        <f t="shared" si="7"/>
        <v>2800000</v>
      </c>
      <c r="S39" s="33">
        <f t="shared" si="7"/>
        <v>2800000</v>
      </c>
      <c r="T39" s="33">
        <f t="shared" si="7"/>
        <v>2898840</v>
      </c>
      <c r="U39" s="33">
        <f t="shared" si="7"/>
        <v>2800000</v>
      </c>
      <c r="V39" s="33">
        <f t="shared" si="7"/>
        <v>2800000</v>
      </c>
      <c r="W39" s="33">
        <f t="shared" si="7"/>
        <v>2464014</v>
      </c>
      <c r="X39" s="33">
        <f t="shared" si="7"/>
        <v>1400000</v>
      </c>
      <c r="Y39" s="33">
        <f t="shared" si="7"/>
        <v>420000</v>
      </c>
      <c r="Z39" s="33">
        <f t="shared" si="7"/>
        <v>144942</v>
      </c>
      <c r="AA39" s="33">
        <f t="shared" si="7"/>
        <v>0</v>
      </c>
    </row>
    <row r="40" spans="1:28" x14ac:dyDescent="0.25">
      <c r="A40" s="9" t="str">
        <f t="shared" ref="A40:AA40" si="8">A13</f>
        <v>Feed</v>
      </c>
      <c r="B40" s="33">
        <f t="shared" si="8"/>
        <v>0</v>
      </c>
      <c r="C40" s="33">
        <f t="shared" si="8"/>
        <v>450000</v>
      </c>
      <c r="D40" s="33">
        <f t="shared" si="8"/>
        <v>1500000</v>
      </c>
      <c r="E40" s="33">
        <f t="shared" si="8"/>
        <v>2838150</v>
      </c>
      <c r="F40" s="33">
        <f t="shared" si="8"/>
        <v>2850000</v>
      </c>
      <c r="G40" s="33">
        <f t="shared" si="8"/>
        <v>3000000</v>
      </c>
      <c r="H40" s="33">
        <f t="shared" si="8"/>
        <v>3339000</v>
      </c>
      <c r="I40" s="33">
        <f t="shared" si="8"/>
        <v>3000000</v>
      </c>
      <c r="J40" s="33">
        <f t="shared" si="8"/>
        <v>3000000</v>
      </c>
      <c r="K40" s="33">
        <f t="shared" si="8"/>
        <v>3339000</v>
      </c>
      <c r="L40" s="33">
        <f t="shared" si="8"/>
        <v>3000000</v>
      </c>
      <c r="M40" s="33">
        <f t="shared" si="8"/>
        <v>3000000</v>
      </c>
      <c r="N40" s="33">
        <f t="shared" si="8"/>
        <v>3339000</v>
      </c>
      <c r="O40" s="33">
        <f t="shared" si="8"/>
        <v>3000000</v>
      </c>
      <c r="P40" s="33">
        <f t="shared" si="8"/>
        <v>3000000</v>
      </c>
      <c r="Q40" s="33">
        <f t="shared" si="8"/>
        <v>3339000</v>
      </c>
      <c r="R40" s="33">
        <f t="shared" si="8"/>
        <v>3000000</v>
      </c>
      <c r="S40" s="33">
        <f t="shared" si="8"/>
        <v>3000000</v>
      </c>
      <c r="T40" s="33">
        <f t="shared" si="8"/>
        <v>3339000</v>
      </c>
      <c r="U40" s="33">
        <f t="shared" si="8"/>
        <v>3000000</v>
      </c>
      <c r="V40" s="33">
        <f t="shared" si="8"/>
        <v>3000000</v>
      </c>
      <c r="W40" s="33">
        <f t="shared" si="8"/>
        <v>2838150</v>
      </c>
      <c r="X40" s="33">
        <f t="shared" si="8"/>
        <v>1500000</v>
      </c>
      <c r="Y40" s="33">
        <f t="shared" si="8"/>
        <v>450000</v>
      </c>
      <c r="Z40" s="33">
        <f t="shared" si="8"/>
        <v>166950</v>
      </c>
      <c r="AA40" s="33">
        <f t="shared" si="8"/>
        <v>0</v>
      </c>
    </row>
    <row r="41" spans="1:28" s="50" customFormat="1" x14ac:dyDescent="0.25">
      <c r="A41" s="52" t="str">
        <f>A14</f>
        <v>Debt Service</v>
      </c>
      <c r="B41" s="49">
        <f>Assumption_Fattening!D53</f>
        <v>0</v>
      </c>
      <c r="C41" s="49">
        <f>Assumption_Fattening!E53</f>
        <v>576600</v>
      </c>
      <c r="D41" s="49">
        <f>Assumption_Fattening!F53</f>
        <v>1345400</v>
      </c>
      <c r="E41" s="49">
        <f>Assumption_Fattening!G53</f>
        <v>1345400</v>
      </c>
      <c r="F41" s="49">
        <f>Assumption_Fattening!H53</f>
        <v>384400</v>
      </c>
      <c r="G41" s="49">
        <f>Assumption_Fattening!I53</f>
        <v>192200</v>
      </c>
      <c r="H41" s="49">
        <f>Assumption_Fattening!J53</f>
        <v>0</v>
      </c>
      <c r="I41" s="49">
        <f>Assumption_Fattening!K53</f>
        <v>0</v>
      </c>
      <c r="J41" s="49">
        <f>Assumption_Fattening!L53</f>
        <v>0</v>
      </c>
      <c r="K41" s="49">
        <f>Assumption_Fattening!M53</f>
        <v>0</v>
      </c>
      <c r="L41" s="49">
        <f>Assumption_Fattening!N53</f>
        <v>0</v>
      </c>
      <c r="M41" s="49">
        <f>Assumption_Fattening!O53</f>
        <v>0</v>
      </c>
      <c r="N41" s="49">
        <f>Assumption_Fattening!P53</f>
        <v>0</v>
      </c>
      <c r="O41" s="49">
        <f>Assumption_Fattening!Q53</f>
        <v>0</v>
      </c>
      <c r="P41" s="49">
        <f>Assumption_Fattening!R53</f>
        <v>0</v>
      </c>
      <c r="Q41" s="49">
        <f>Assumption_Fattening!S53</f>
        <v>0</v>
      </c>
      <c r="R41" s="49">
        <f>Assumption_Fattening!T53</f>
        <v>0</v>
      </c>
      <c r="S41" s="49">
        <f>Assumption_Fattening!U53</f>
        <v>0</v>
      </c>
      <c r="T41" s="49">
        <f>Assumption_Fattening!V53</f>
        <v>0</v>
      </c>
      <c r="U41" s="49">
        <f>Assumption_Fattening!W53</f>
        <v>0</v>
      </c>
      <c r="V41" s="49">
        <f>Assumption_Fattening!X53</f>
        <v>0</v>
      </c>
      <c r="W41" s="49">
        <f>Assumption_Fattening!Y53</f>
        <v>0</v>
      </c>
      <c r="X41" s="49">
        <f>Assumption_Fattening!Z53</f>
        <v>0</v>
      </c>
      <c r="Y41" s="49">
        <f>Assumption_Fattening!AA53</f>
        <v>0</v>
      </c>
      <c r="Z41" s="49">
        <f>Assumption_Fattening!AB53</f>
        <v>0</v>
      </c>
      <c r="AA41" s="49">
        <f>Assumption_Fattening!AC53</f>
        <v>0</v>
      </c>
    </row>
    <row r="42" spans="1:28" x14ac:dyDescent="0.25">
      <c r="A42" s="117" t="s">
        <v>54</v>
      </c>
      <c r="B42" s="37">
        <f t="shared" ref="B42:AA42" si="9">SUM(B37:B41)</f>
        <v>0</v>
      </c>
      <c r="C42" s="37">
        <f t="shared" si="9"/>
        <v>2464725</v>
      </c>
      <c r="D42" s="37">
        <f t="shared" si="9"/>
        <v>6739150</v>
      </c>
      <c r="E42" s="37">
        <f t="shared" si="9"/>
        <v>9416939</v>
      </c>
      <c r="F42" s="37">
        <f t="shared" si="9"/>
        <v>7242525</v>
      </c>
      <c r="G42" s="37">
        <f t="shared" si="9"/>
        <v>7079700</v>
      </c>
      <c r="H42" s="37">
        <f t="shared" si="9"/>
        <v>7025340</v>
      </c>
      <c r="I42" s="37">
        <f t="shared" si="9"/>
        <v>6587500</v>
      </c>
      <c r="J42" s="37">
        <f t="shared" si="9"/>
        <v>6587500</v>
      </c>
      <c r="K42" s="37">
        <f t="shared" si="9"/>
        <v>7025340</v>
      </c>
      <c r="L42" s="37">
        <f t="shared" si="9"/>
        <v>6587500</v>
      </c>
      <c r="M42" s="37">
        <f t="shared" si="9"/>
        <v>6587500</v>
      </c>
      <c r="N42" s="37">
        <f t="shared" si="9"/>
        <v>7025340</v>
      </c>
      <c r="O42" s="37">
        <f t="shared" si="9"/>
        <v>6587500</v>
      </c>
      <c r="P42" s="37">
        <f t="shared" si="9"/>
        <v>6587500</v>
      </c>
      <c r="Q42" s="37">
        <f t="shared" si="9"/>
        <v>7025340</v>
      </c>
      <c r="R42" s="37">
        <f t="shared" si="9"/>
        <v>6587500</v>
      </c>
      <c r="S42" s="37">
        <f t="shared" si="9"/>
        <v>6587500</v>
      </c>
      <c r="T42" s="37">
        <f t="shared" si="9"/>
        <v>7025340</v>
      </c>
      <c r="U42" s="37">
        <f t="shared" si="9"/>
        <v>6587500</v>
      </c>
      <c r="V42" s="37">
        <f t="shared" si="9"/>
        <v>6587500</v>
      </c>
      <c r="W42" s="37">
        <f t="shared" si="9"/>
        <v>5971539</v>
      </c>
      <c r="X42" s="37">
        <f t="shared" si="9"/>
        <v>3293750</v>
      </c>
      <c r="Y42" s="37">
        <f t="shared" si="9"/>
        <v>988125</v>
      </c>
      <c r="Z42" s="37">
        <f t="shared" si="9"/>
        <v>351267</v>
      </c>
      <c r="AA42" s="37">
        <f t="shared" si="9"/>
        <v>0</v>
      </c>
    </row>
    <row r="43" spans="1:28" x14ac:dyDescent="0.25">
      <c r="B43" s="32"/>
      <c r="C43" s="32"/>
      <c r="D43" s="32"/>
      <c r="E43" s="32"/>
      <c r="F43" s="32"/>
      <c r="G43" s="32"/>
      <c r="H43" s="32"/>
      <c r="I43" s="32"/>
      <c r="J43" s="32"/>
      <c r="K43" s="32"/>
      <c r="L43" s="32"/>
    </row>
    <row r="44" spans="1:28" x14ac:dyDescent="0.25">
      <c r="A44" s="23" t="s">
        <v>55</v>
      </c>
      <c r="B44" s="34">
        <f t="shared" ref="B44:AA44" si="10">B34-B42</f>
        <v>0</v>
      </c>
      <c r="C44" s="34">
        <f t="shared" si="10"/>
        <v>-1247801.25</v>
      </c>
      <c r="D44" s="34">
        <f t="shared" si="10"/>
        <v>-2642173.375</v>
      </c>
      <c r="E44" s="34">
        <f t="shared" si="10"/>
        <v>-4716128.4508802183</v>
      </c>
      <c r="F44" s="34">
        <f t="shared" si="10"/>
        <v>698194.12480875012</v>
      </c>
      <c r="G44" s="34">
        <f t="shared" si="10"/>
        <v>1362538.22742825</v>
      </c>
      <c r="H44" s="34">
        <f t="shared" si="10"/>
        <v>-1327399.0475662816</v>
      </c>
      <c r="I44" s="34">
        <f t="shared" si="10"/>
        <v>2024427.215799557</v>
      </c>
      <c r="J44" s="34">
        <f t="shared" si="10"/>
        <v>2110546.4879575539</v>
      </c>
      <c r="K44" s="34">
        <f t="shared" si="10"/>
        <v>-1154745.7387665864</v>
      </c>
      <c r="L44" s="34">
        <f t="shared" si="10"/>
        <v>2285377.2223655023</v>
      </c>
      <c r="M44" s="34">
        <f t="shared" si="10"/>
        <v>2374105.9945891555</v>
      </c>
      <c r="N44" s="34">
        <f t="shared" si="10"/>
        <v>-976860.86205695476</v>
      </c>
      <c r="O44" s="34">
        <f t="shared" si="10"/>
        <v>2554234.2750803977</v>
      </c>
      <c r="P44" s="34">
        <f t="shared" si="10"/>
        <v>2645651.6178312041</v>
      </c>
      <c r="Q44" s="34">
        <f t="shared" si="10"/>
        <v>-793585.89569814224</v>
      </c>
      <c r="R44" s="34">
        <f t="shared" si="10"/>
        <v>2831237.9653496109</v>
      </c>
      <c r="S44" s="34">
        <f t="shared" si="10"/>
        <v>2925425.3450031076</v>
      </c>
      <c r="T44" s="34">
        <f t="shared" si="10"/>
        <v>-604757.51458369009</v>
      </c>
      <c r="U44" s="34">
        <f t="shared" si="10"/>
        <v>3116635.144437667</v>
      </c>
      <c r="V44" s="34">
        <f t="shared" si="10"/>
        <v>3213676.4958820455</v>
      </c>
      <c r="W44" s="34">
        <f t="shared" si="10"/>
        <v>-348676.32798912749</v>
      </c>
      <c r="X44" s="34">
        <f t="shared" si="10"/>
        <v>1705340.0717246383</v>
      </c>
      <c r="Y44" s="34">
        <f t="shared" si="10"/>
        <v>526599.29173256503</v>
      </c>
      <c r="Z44" s="34">
        <f t="shared" si="10"/>
        <v>-10488.115656736773</v>
      </c>
      <c r="AA44" s="34">
        <f t="shared" si="10"/>
        <v>0</v>
      </c>
    </row>
    <row r="45" spans="1:28" x14ac:dyDescent="0.25">
      <c r="B45" s="32"/>
      <c r="C45" s="32"/>
      <c r="D45" s="32"/>
      <c r="E45" s="32"/>
      <c r="F45" s="32"/>
      <c r="G45" s="32"/>
      <c r="H45" s="32"/>
      <c r="I45" s="32"/>
      <c r="J45" s="32"/>
      <c r="K45" s="32"/>
      <c r="L45" s="32"/>
    </row>
    <row r="46" spans="1:28" s="12" customFormat="1" x14ac:dyDescent="0.25">
      <c r="A46" s="10" t="s">
        <v>319</v>
      </c>
      <c r="B46" s="346">
        <f>B34/(1+Assumption_Fattening!$C76)^'RCP 4.5_Fattening'!B31</f>
        <v>0</v>
      </c>
      <c r="C46" s="346">
        <f>C34/(1+Assumption_Fattening!$C76)^'RCP 4.5_Fattening'!C31</f>
        <v>1148041.2735849055</v>
      </c>
      <c r="D46" s="346">
        <f>D34/(1+Assumption_Fattening!$C76)^'RCP 4.5_Fattening'!D31</f>
        <v>3646294.6110715554</v>
      </c>
      <c r="E46" s="346">
        <f>E34/(1+Assumption_Fattening!$C76)^'RCP 4.5_Fattening'!E31</f>
        <v>3946891.182922631</v>
      </c>
      <c r="F46" s="346">
        <f>F34/(1+Assumption_Fattening!$C76)^'RCP 4.5_Fattening'!F31</f>
        <v>6289793.3003139701</v>
      </c>
      <c r="G46" s="346">
        <f>G34/(1+Assumption_Fattening!$C76)^'RCP 4.5_Fattening'!G31</f>
        <v>6308531.5127280131</v>
      </c>
      <c r="H46" s="346">
        <f>H34/(1+Assumption_Fattening!$C76)^'RCP 4.5_Fattening'!H31</f>
        <v>4016823.5332210381</v>
      </c>
      <c r="I46" s="346">
        <f>I34/(1+Assumption_Fattening!$C76)^'RCP 4.5_Fattening'!I31</f>
        <v>5727423.4568652939</v>
      </c>
      <c r="J46" s="346">
        <f>J34/(1+Assumption_Fattening!$C76)^'RCP 4.5_Fattening'!J31</f>
        <v>5457261.9730508942</v>
      </c>
      <c r="K46" s="346">
        <f>K34/(1+Assumption_Fattening!$C76)^'RCP 4.5_Fattening'!K31</f>
        <v>3474795.72323224</v>
      </c>
      <c r="L46" s="346">
        <f>L34/(1+Assumption_Fattening!$C76)^'RCP 4.5_Fattening'!L31</f>
        <v>4954568.2971780151</v>
      </c>
      <c r="M46" s="346">
        <f>M34/(1+Assumption_Fattening!$C76)^'RCP 4.5_Fattening'!M31</f>
        <v>4720862.245424334</v>
      </c>
      <c r="N46" s="346">
        <f>N34/(1+Assumption_Fattening!$C76)^'RCP 4.5_Fattening'!N31</f>
        <v>3005908.8277923199</v>
      </c>
      <c r="O46" s="346">
        <f>O34/(1+Assumption_Fattening!$C76)^'RCP 4.5_Fattening'!O31</f>
        <v>4286001.7591290157</v>
      </c>
      <c r="P46" s="346">
        <f>P34/(1+Assumption_Fattening!$C76)^'RCP 4.5_Fattening'!P31</f>
        <v>4083831.8648304786</v>
      </c>
      <c r="Q46" s="346">
        <f>Q34/(1+Assumption_Fattening!$C76)^'RCP 4.5_Fattening'!Q31</f>
        <v>2600293.2548204674</v>
      </c>
      <c r="R46" s="346">
        <f>R34/(1+Assumption_Fattening!$C76)^'RCP 4.5_Fattening'!R31</f>
        <v>3707651.197324289</v>
      </c>
      <c r="S46" s="346">
        <f>S34/(1+Assumption_Fattening!$C76)^'RCP 4.5_Fattening'!S31</f>
        <v>3532761.9899033317</v>
      </c>
      <c r="T46" s="346">
        <f>T34/(1+Assumption_Fattening!$C76)^'RCP 4.5_Fattening'!T31</f>
        <v>2249411.2091985191</v>
      </c>
      <c r="U46" s="346">
        <f>U34/(1+Assumption_Fattening!$C76)^'RCP 4.5_Fattening'!U31</f>
        <v>3207342.9208796611</v>
      </c>
      <c r="V46" s="346">
        <f>V34/(1+Assumption_Fattening!$C76)^'RCP 4.5_Fattening'!V31</f>
        <v>3056053.1604608097</v>
      </c>
      <c r="W46" s="346">
        <f>W34/(1+Assumption_Fattening!$C76)^'RCP 4.5_Fattening'!W31</f>
        <v>1653995.4337399129</v>
      </c>
      <c r="X46" s="346">
        <f>X34/(1+Assumption_Fattening!$C76)^'RCP 4.5_Fattening'!X31</f>
        <v>1387272.9748069027</v>
      </c>
      <c r="Y46" s="346">
        <f>Y34/(1+Assumption_Fattening!$C76)^'RCP 4.5_Fattening'!Y31</f>
        <v>396550.67110046354</v>
      </c>
      <c r="Z46" s="346">
        <f>Z34/(1+Assumption_Fattening!$C76)^'RCP 4.5_Fattening'!Z31</f>
        <v>84165.074158023184</v>
      </c>
      <c r="AA46" s="346">
        <f>AA34/(1+Assumption_Fattening!$C76)^'RCP 4.5_Fattening'!AA31</f>
        <v>0</v>
      </c>
      <c r="AB46" s="343">
        <f>SUM(B46:AA46)</f>
        <v>82942527.447737098</v>
      </c>
    </row>
    <row r="47" spans="1:28" s="12" customFormat="1" x14ac:dyDescent="0.25">
      <c r="A47" s="10" t="s">
        <v>320</v>
      </c>
      <c r="B47" s="346">
        <f>B42/(1+Assumption_Fattening!$C76)^'RCP 4.5_Fattening'!B31</f>
        <v>0</v>
      </c>
      <c r="C47" s="346">
        <f>C42/(1+Assumption_Fattening!$C76)^'RCP 4.5_Fattening'!C31</f>
        <v>2325212.2641509431</v>
      </c>
      <c r="D47" s="346">
        <f>D42/(1+Assumption_Fattening!$C76)^'RCP 4.5_Fattening'!D31</f>
        <v>5997819.5087219644</v>
      </c>
      <c r="E47" s="346">
        <f>E42/(1+Assumption_Fattening!$C76)^'RCP 4.5_Fattening'!E31</f>
        <v>7906643.5715389196</v>
      </c>
      <c r="F47" s="346">
        <f>F42/(1+Assumption_Fattening!$C76)^'RCP 4.5_Fattening'!F31</f>
        <v>5736758.1583429435</v>
      </c>
      <c r="G47" s="346">
        <f>G42/(1+Assumption_Fattening!$C76)^'RCP 4.5_Fattening'!G31</f>
        <v>5290363.6864398234</v>
      </c>
      <c r="H47" s="346">
        <f>H42/(1+Assumption_Fattening!$C76)^'RCP 4.5_Fattening'!H31</f>
        <v>4952587.4831724754</v>
      </c>
      <c r="I47" s="346">
        <f>I42/(1+Assumption_Fattening!$C76)^'RCP 4.5_Fattening'!I31</f>
        <v>4381063.7359871389</v>
      </c>
      <c r="J47" s="346">
        <f>J42/(1+Assumption_Fattening!$C76)^'RCP 4.5_Fattening'!J31</f>
        <v>4133078.9962142822</v>
      </c>
      <c r="K47" s="346">
        <f>K42/(1+Assumption_Fattening!$C76)^'RCP 4.5_Fattening'!K31</f>
        <v>4158287.9517760258</v>
      </c>
      <c r="L47" s="346">
        <f>L42/(1+Assumption_Fattening!$C76)^'RCP 4.5_Fattening'!L31</f>
        <v>3678425.5929283388</v>
      </c>
      <c r="M47" s="346">
        <f>M42/(1+Assumption_Fattening!$C76)^'RCP 4.5_Fattening'!M31</f>
        <v>3470212.8235173002</v>
      </c>
      <c r="N47" s="346">
        <f>N42/(1+Assumption_Fattening!$C76)^'RCP 4.5_Fattening'!N31</f>
        <v>3491378.7487120447</v>
      </c>
      <c r="O47" s="346">
        <f>O42/(1+Assumption_Fattening!$C76)^'RCP 4.5_Fattening'!O31</f>
        <v>3088477.0590221607</v>
      </c>
      <c r="P47" s="346">
        <f>P42/(1+Assumption_Fattening!$C76)^'RCP 4.5_Fattening'!P31</f>
        <v>2913657.6028510951</v>
      </c>
      <c r="Q47" s="346">
        <f>Q42/(1+Assumption_Fattening!$C76)^'RCP 4.5_Fattening'!Q31</f>
        <v>2931428.9217878212</v>
      </c>
      <c r="R47" s="346">
        <f>R42/(1+Assumption_Fattening!$C76)^'RCP 4.5_Fattening'!R31</f>
        <v>2593144.893957899</v>
      </c>
      <c r="S47" s="346">
        <f>S42/(1+Assumption_Fattening!$C76)^'RCP 4.5_Fattening'!S31</f>
        <v>2446363.1075074514</v>
      </c>
      <c r="T47" s="346">
        <f>T42/(1+Assumption_Fattening!$C76)^'RCP 4.5_Fattening'!T31</f>
        <v>2461284.2495716442</v>
      </c>
      <c r="U47" s="346">
        <f>U42/(1+Assumption_Fattening!$C76)^'RCP 4.5_Fattening'!U31</f>
        <v>2177254.4566638051</v>
      </c>
      <c r="V47" s="346">
        <f>V42/(1+Assumption_Fattening!$C76)^'RCP 4.5_Fattening'!V31</f>
        <v>2054013.6383620801</v>
      </c>
      <c r="W47" s="346">
        <f>W42/(1+Assumption_Fattening!$C76)^'RCP 4.5_Fattening'!W31</f>
        <v>1756560.4594194344</v>
      </c>
      <c r="X47" s="346">
        <f>X42/(1+Assumption_Fattening!$C76)^'RCP 4.5_Fattening'!X31</f>
        <v>914032.41294147365</v>
      </c>
      <c r="Y47" s="346">
        <f>Y42/(1+Assumption_Fattening!$C76)^'RCP 4.5_Fattening'!Y31</f>
        <v>258688.41875702082</v>
      </c>
      <c r="Z47" s="346">
        <f>Z42/(1+Assumption_Fattening!$C76)^'RCP 4.5_Fattening'!Z31</f>
        <v>86755.413737684474</v>
      </c>
      <c r="AA47" s="346">
        <f>AA42/(1+Assumption_Fattening!$C76)^'RCP 4.5_Fattening'!AA31</f>
        <v>0</v>
      </c>
      <c r="AB47" s="343">
        <f>SUM(B47:AA47)</f>
        <v>79203493.156081766</v>
      </c>
    </row>
    <row r="48" spans="1:28" x14ac:dyDescent="0.25">
      <c r="B48" s="32"/>
      <c r="C48" s="32"/>
      <c r="D48" s="32"/>
      <c r="E48" s="32"/>
      <c r="F48" s="32"/>
      <c r="G48" s="32"/>
      <c r="H48" s="32"/>
      <c r="I48" s="32"/>
      <c r="J48" s="32"/>
      <c r="K48" s="32"/>
      <c r="L48" s="32"/>
    </row>
    <row r="49" spans="1:27" s="12" customFormat="1" x14ac:dyDescent="0.25">
      <c r="A49" s="25" t="s">
        <v>318</v>
      </c>
      <c r="B49" s="35">
        <f>NPV(Assumption_Hatchery!C76,C44:Z44)+B44</f>
        <v>3739034.2916553169</v>
      </c>
      <c r="C49" s="40"/>
      <c r="D49" s="40"/>
      <c r="E49" s="40"/>
      <c r="F49" s="40"/>
      <c r="G49" s="40"/>
      <c r="H49" s="40"/>
      <c r="I49" s="40"/>
      <c r="J49" s="40"/>
      <c r="K49" s="40"/>
      <c r="L49" s="40"/>
    </row>
    <row r="51" spans="1:27" s="12" customFormat="1" x14ac:dyDescent="0.25">
      <c r="A51" s="25" t="s">
        <v>238</v>
      </c>
      <c r="B51" s="36">
        <f>IRR(B44:Z44)</f>
        <v>0.10307949012865403</v>
      </c>
      <c r="C51" s="4"/>
      <c r="D51" s="4"/>
      <c r="E51" s="4"/>
      <c r="F51" s="4"/>
      <c r="G51" s="4"/>
      <c r="H51" s="4"/>
      <c r="I51" s="4"/>
      <c r="J51" s="4"/>
      <c r="K51" s="4"/>
      <c r="L51" s="4"/>
    </row>
    <row r="53" spans="1:27" ht="38.25" customHeight="1" x14ac:dyDescent="0.25">
      <c r="A53" s="11"/>
      <c r="B53" s="30"/>
      <c r="C53" s="69"/>
      <c r="D53" s="70"/>
      <c r="E53" s="30"/>
      <c r="F53" s="116"/>
      <c r="G53" s="30"/>
      <c r="H53" s="30"/>
      <c r="I53" s="30"/>
      <c r="J53" s="30"/>
      <c r="K53" s="30"/>
      <c r="L53" s="30"/>
      <c r="M53" s="11"/>
    </row>
    <row r="54" spans="1:27" s="1" customFormat="1" x14ac:dyDescent="0.25">
      <c r="A54" s="24"/>
      <c r="B54" s="42"/>
      <c r="C54" s="42"/>
      <c r="D54" s="42"/>
      <c r="E54" s="42"/>
      <c r="F54" s="42"/>
      <c r="G54" s="42"/>
      <c r="H54" s="42"/>
      <c r="I54" s="42"/>
      <c r="J54" s="42"/>
      <c r="K54" s="42"/>
      <c r="L54" s="42"/>
    </row>
    <row r="56" spans="1:27" ht="26.25" x14ac:dyDescent="0.25">
      <c r="F56" s="19" t="s">
        <v>92</v>
      </c>
    </row>
    <row r="57" spans="1:27" ht="38.25" customHeight="1" x14ac:dyDescent="0.25">
      <c r="A57" s="11" t="str">
        <f>A2</f>
        <v>Aggregate Economic Analysis</v>
      </c>
      <c r="B57" s="30"/>
      <c r="C57" s="69"/>
      <c r="D57" s="70"/>
      <c r="E57" s="30"/>
      <c r="F57" s="30"/>
      <c r="G57" s="30"/>
      <c r="H57" s="30"/>
      <c r="I57" s="30"/>
      <c r="J57" s="30"/>
      <c r="K57" s="30"/>
      <c r="L57" s="30"/>
      <c r="M57" s="11"/>
    </row>
    <row r="59" spans="1:27" x14ac:dyDescent="0.25">
      <c r="A59" s="10" t="s">
        <v>19</v>
      </c>
      <c r="B59" s="26">
        <v>0</v>
      </c>
      <c r="C59" s="26">
        <v>1</v>
      </c>
      <c r="D59" s="26">
        <v>2</v>
      </c>
      <c r="E59" s="26">
        <v>3</v>
      </c>
      <c r="F59" s="26">
        <v>4</v>
      </c>
      <c r="G59" s="26">
        <v>5</v>
      </c>
      <c r="H59" s="26">
        <v>6</v>
      </c>
      <c r="I59" s="26">
        <v>7</v>
      </c>
      <c r="J59" s="26">
        <v>8</v>
      </c>
      <c r="K59" s="26">
        <v>9</v>
      </c>
      <c r="L59" s="26">
        <v>10</v>
      </c>
      <c r="M59" s="26">
        <v>11</v>
      </c>
      <c r="N59" s="26">
        <v>12</v>
      </c>
      <c r="O59" s="26">
        <v>13</v>
      </c>
      <c r="P59" s="26">
        <v>14</v>
      </c>
      <c r="Q59" s="26">
        <v>15</v>
      </c>
      <c r="R59" s="26">
        <v>16</v>
      </c>
      <c r="S59" s="26">
        <v>17</v>
      </c>
      <c r="T59" s="26">
        <v>18</v>
      </c>
      <c r="U59" s="26">
        <v>19</v>
      </c>
      <c r="V59" s="26">
        <v>20</v>
      </c>
      <c r="W59" s="26">
        <v>21</v>
      </c>
      <c r="X59" s="26">
        <v>22</v>
      </c>
      <c r="Y59" s="26">
        <v>23</v>
      </c>
      <c r="Z59" s="26">
        <v>24</v>
      </c>
      <c r="AA59" s="26">
        <v>25</v>
      </c>
    </row>
    <row r="60" spans="1:27" x14ac:dyDescent="0.25">
      <c r="A60" s="23" t="s">
        <v>3</v>
      </c>
    </row>
    <row r="61" spans="1:27" x14ac:dyDescent="0.25">
      <c r="A61" s="10" t="str">
        <f>A33</f>
        <v>Crab Sale ($)</v>
      </c>
      <c r="B61" s="31">
        <f t="shared" ref="B61:AA61" si="11">B6</f>
        <v>0</v>
      </c>
      <c r="C61" s="31">
        <f t="shared" si="11"/>
        <v>1216923.75</v>
      </c>
      <c r="D61" s="31">
        <f t="shared" si="11"/>
        <v>4096976.625</v>
      </c>
      <c r="E61" s="31">
        <f t="shared" si="11"/>
        <v>4700810.5491197817</v>
      </c>
      <c r="F61" s="31">
        <f t="shared" si="11"/>
        <v>7940719.1248087501</v>
      </c>
      <c r="G61" s="31">
        <f t="shared" si="11"/>
        <v>8442238.22742825</v>
      </c>
      <c r="H61" s="31">
        <f t="shared" si="11"/>
        <v>5697940.9524337184</v>
      </c>
      <c r="I61" s="31">
        <f t="shared" si="11"/>
        <v>8611927.215799557</v>
      </c>
      <c r="J61" s="31">
        <f t="shared" si="11"/>
        <v>8698046.4879575539</v>
      </c>
      <c r="K61" s="31">
        <f t="shared" si="11"/>
        <v>5870594.2612334136</v>
      </c>
      <c r="L61" s="31">
        <f t="shared" si="11"/>
        <v>8872877.2223655023</v>
      </c>
      <c r="M61" s="31">
        <f t="shared" si="11"/>
        <v>8961605.9945891555</v>
      </c>
      <c r="N61" s="31">
        <f t="shared" si="11"/>
        <v>6048479.1379430452</v>
      </c>
      <c r="O61" s="31">
        <f t="shared" si="11"/>
        <v>9141734.2750803977</v>
      </c>
      <c r="P61" s="31">
        <f t="shared" si="11"/>
        <v>9233151.6178312041</v>
      </c>
      <c r="Q61" s="31">
        <f t="shared" si="11"/>
        <v>6231754.1043018578</v>
      </c>
      <c r="R61" s="31">
        <f t="shared" si="11"/>
        <v>9418737.9653496109</v>
      </c>
      <c r="S61" s="31">
        <f t="shared" si="11"/>
        <v>9512925.3450031076</v>
      </c>
      <c r="T61" s="31">
        <f t="shared" si="11"/>
        <v>6420582.4854163099</v>
      </c>
      <c r="U61" s="31">
        <f t="shared" si="11"/>
        <v>9704135.144437667</v>
      </c>
      <c r="V61" s="31">
        <f t="shared" si="11"/>
        <v>9801176.4958820455</v>
      </c>
      <c r="W61" s="31">
        <f t="shared" si="11"/>
        <v>5622862.6720108725</v>
      </c>
      <c r="X61" s="31">
        <f t="shared" si="11"/>
        <v>4999090.0717246383</v>
      </c>
      <c r="Y61" s="31">
        <f t="shared" si="11"/>
        <v>1514724.291732565</v>
      </c>
      <c r="Z61" s="31">
        <f t="shared" si="11"/>
        <v>340778.88434326323</v>
      </c>
      <c r="AA61" s="31">
        <f t="shared" si="11"/>
        <v>0</v>
      </c>
    </row>
    <row r="62" spans="1:27" s="12" customFormat="1" x14ac:dyDescent="0.25">
      <c r="A62" s="23" t="s">
        <v>53</v>
      </c>
      <c r="B62" s="38">
        <f t="shared" ref="B62:AA62" si="12">B7</f>
        <v>0</v>
      </c>
      <c r="C62" s="38">
        <f t="shared" si="12"/>
        <v>1216923.75</v>
      </c>
      <c r="D62" s="38">
        <f t="shared" si="12"/>
        <v>4096976.625</v>
      </c>
      <c r="E62" s="38">
        <f t="shared" si="12"/>
        <v>4700810.5491197817</v>
      </c>
      <c r="F62" s="38">
        <f t="shared" si="12"/>
        <v>7940719.1248087501</v>
      </c>
      <c r="G62" s="38">
        <f t="shared" si="12"/>
        <v>8442238.22742825</v>
      </c>
      <c r="H62" s="38">
        <f t="shared" si="12"/>
        <v>5697940.9524337184</v>
      </c>
      <c r="I62" s="38">
        <f t="shared" si="12"/>
        <v>8611927.215799557</v>
      </c>
      <c r="J62" s="38">
        <f t="shared" si="12"/>
        <v>8698046.4879575539</v>
      </c>
      <c r="K62" s="38">
        <f t="shared" si="12"/>
        <v>5870594.2612334136</v>
      </c>
      <c r="L62" s="38">
        <f t="shared" si="12"/>
        <v>8872877.2223655023</v>
      </c>
      <c r="M62" s="38">
        <f t="shared" si="12"/>
        <v>8961605.9945891555</v>
      </c>
      <c r="N62" s="38">
        <f t="shared" si="12"/>
        <v>6048479.1379430452</v>
      </c>
      <c r="O62" s="38">
        <f t="shared" si="12"/>
        <v>9141734.2750803977</v>
      </c>
      <c r="P62" s="38">
        <f t="shared" si="12"/>
        <v>9233151.6178312041</v>
      </c>
      <c r="Q62" s="38">
        <f t="shared" si="12"/>
        <v>6231754.1043018578</v>
      </c>
      <c r="R62" s="38">
        <f t="shared" si="12"/>
        <v>9418737.9653496109</v>
      </c>
      <c r="S62" s="38">
        <f t="shared" si="12"/>
        <v>9512925.3450031076</v>
      </c>
      <c r="T62" s="38">
        <f t="shared" si="12"/>
        <v>6420582.4854163099</v>
      </c>
      <c r="U62" s="38">
        <f t="shared" si="12"/>
        <v>9704135.144437667</v>
      </c>
      <c r="V62" s="38">
        <f t="shared" si="12"/>
        <v>9801176.4958820455</v>
      </c>
      <c r="W62" s="38">
        <f t="shared" si="12"/>
        <v>5622862.6720108725</v>
      </c>
      <c r="X62" s="38">
        <f t="shared" si="12"/>
        <v>4999090.0717246383</v>
      </c>
      <c r="Y62" s="38">
        <f t="shared" si="12"/>
        <v>1514724.291732565</v>
      </c>
      <c r="Z62" s="38">
        <f t="shared" si="12"/>
        <v>340778.88434326323</v>
      </c>
      <c r="AA62" s="38">
        <f t="shared" si="12"/>
        <v>0</v>
      </c>
    </row>
    <row r="63" spans="1:27" x14ac:dyDescent="0.25">
      <c r="A63" s="23"/>
      <c r="B63" s="41"/>
      <c r="C63" s="41"/>
      <c r="D63" s="41"/>
      <c r="E63" s="41"/>
      <c r="F63" s="41"/>
      <c r="G63" s="41"/>
      <c r="H63" s="41"/>
      <c r="I63" s="41"/>
      <c r="J63" s="41"/>
      <c r="K63" s="41"/>
    </row>
    <row r="64" spans="1:27" x14ac:dyDescent="0.25">
      <c r="A64" s="23" t="s">
        <v>20</v>
      </c>
    </row>
    <row r="65" spans="1:28" x14ac:dyDescent="0.25">
      <c r="A65" s="9" t="s">
        <v>44</v>
      </c>
      <c r="B65" s="33">
        <f t="shared" ref="B65:AA65" si="13">B10</f>
        <v>0</v>
      </c>
      <c r="C65" s="33">
        <f t="shared" si="13"/>
        <v>900000</v>
      </c>
      <c r="D65" s="33">
        <f t="shared" si="13"/>
        <v>2100000</v>
      </c>
      <c r="E65" s="33">
        <f t="shared" si="13"/>
        <v>2100000</v>
      </c>
      <c r="F65" s="33">
        <f t="shared" si="13"/>
        <v>600000</v>
      </c>
      <c r="G65" s="33">
        <f t="shared" si="13"/>
        <v>300000</v>
      </c>
      <c r="H65" s="33">
        <f t="shared" si="13"/>
        <v>0</v>
      </c>
      <c r="I65" s="33">
        <f t="shared" si="13"/>
        <v>0</v>
      </c>
      <c r="J65" s="33">
        <f t="shared" si="13"/>
        <v>0</v>
      </c>
      <c r="K65" s="33">
        <f t="shared" si="13"/>
        <v>0</v>
      </c>
      <c r="L65" s="33">
        <f t="shared" si="13"/>
        <v>0</v>
      </c>
      <c r="M65" s="33">
        <f t="shared" si="13"/>
        <v>0</v>
      </c>
      <c r="N65" s="33">
        <f t="shared" si="13"/>
        <v>0</v>
      </c>
      <c r="O65" s="33">
        <f t="shared" si="13"/>
        <v>0</v>
      </c>
      <c r="P65" s="33">
        <f t="shared" si="13"/>
        <v>0</v>
      </c>
      <c r="Q65" s="33">
        <f t="shared" si="13"/>
        <v>0</v>
      </c>
      <c r="R65" s="33">
        <f t="shared" si="13"/>
        <v>0</v>
      </c>
      <c r="S65" s="33">
        <f t="shared" si="13"/>
        <v>0</v>
      </c>
      <c r="T65" s="33">
        <f t="shared" si="13"/>
        <v>0</v>
      </c>
      <c r="U65" s="33">
        <f t="shared" si="13"/>
        <v>0</v>
      </c>
      <c r="V65" s="33">
        <f t="shared" si="13"/>
        <v>0</v>
      </c>
      <c r="W65" s="33">
        <f t="shared" si="13"/>
        <v>0</v>
      </c>
      <c r="X65" s="33">
        <f t="shared" si="13"/>
        <v>0</v>
      </c>
      <c r="Y65" s="33">
        <f t="shared" si="13"/>
        <v>0</v>
      </c>
      <c r="Z65" s="33">
        <f t="shared" si="13"/>
        <v>0</v>
      </c>
      <c r="AA65" s="33">
        <f t="shared" si="13"/>
        <v>0</v>
      </c>
    </row>
    <row r="66" spans="1:28" x14ac:dyDescent="0.25">
      <c r="A66" s="9" t="s">
        <v>104</v>
      </c>
      <c r="B66" s="33">
        <f t="shared" ref="B66:AA66" si="14">B11</f>
        <v>0</v>
      </c>
      <c r="C66" s="33">
        <f t="shared" si="14"/>
        <v>118125.00000000001</v>
      </c>
      <c r="D66" s="33">
        <f t="shared" si="14"/>
        <v>393750.00000000006</v>
      </c>
      <c r="E66" s="33">
        <f t="shared" si="14"/>
        <v>669375.00000000012</v>
      </c>
      <c r="F66" s="33">
        <f t="shared" si="14"/>
        <v>748125.00000000012</v>
      </c>
      <c r="G66" s="33">
        <f t="shared" si="14"/>
        <v>787500.00000000012</v>
      </c>
      <c r="H66" s="33">
        <f t="shared" si="14"/>
        <v>787500.00000000012</v>
      </c>
      <c r="I66" s="33">
        <f t="shared" si="14"/>
        <v>787500.00000000012</v>
      </c>
      <c r="J66" s="33">
        <f t="shared" si="14"/>
        <v>787500.00000000012</v>
      </c>
      <c r="K66" s="33">
        <f t="shared" si="14"/>
        <v>787500.00000000012</v>
      </c>
      <c r="L66" s="33">
        <f t="shared" si="14"/>
        <v>787500.00000000012</v>
      </c>
      <c r="M66" s="33">
        <f t="shared" si="14"/>
        <v>787500.00000000012</v>
      </c>
      <c r="N66" s="33">
        <f t="shared" si="14"/>
        <v>787500.00000000012</v>
      </c>
      <c r="O66" s="33">
        <f t="shared" si="14"/>
        <v>787500.00000000012</v>
      </c>
      <c r="P66" s="33">
        <f t="shared" si="14"/>
        <v>787500.00000000012</v>
      </c>
      <c r="Q66" s="33">
        <f t="shared" si="14"/>
        <v>787500.00000000012</v>
      </c>
      <c r="R66" s="33">
        <f t="shared" si="14"/>
        <v>787500.00000000012</v>
      </c>
      <c r="S66" s="33">
        <f t="shared" si="14"/>
        <v>787500.00000000012</v>
      </c>
      <c r="T66" s="33">
        <f t="shared" si="14"/>
        <v>787500.00000000012</v>
      </c>
      <c r="U66" s="33">
        <f t="shared" si="14"/>
        <v>787500.00000000012</v>
      </c>
      <c r="V66" s="33">
        <f t="shared" si="14"/>
        <v>787500.00000000012</v>
      </c>
      <c r="W66" s="33">
        <f t="shared" si="14"/>
        <v>669375.00000000012</v>
      </c>
      <c r="X66" s="33">
        <f t="shared" si="14"/>
        <v>393750.00000000006</v>
      </c>
      <c r="Y66" s="33">
        <f t="shared" si="14"/>
        <v>118125.00000000001</v>
      </c>
      <c r="Z66" s="33">
        <f t="shared" si="14"/>
        <v>39375.000000000007</v>
      </c>
      <c r="AA66" s="33">
        <f t="shared" si="14"/>
        <v>0</v>
      </c>
    </row>
    <row r="67" spans="1:28" x14ac:dyDescent="0.25">
      <c r="A67" s="9" t="s">
        <v>48</v>
      </c>
      <c r="B67" s="33">
        <f t="shared" ref="B67:AA67" si="15">B12</f>
        <v>0</v>
      </c>
      <c r="C67" s="33">
        <f t="shared" si="15"/>
        <v>420000</v>
      </c>
      <c r="D67" s="33">
        <f t="shared" si="15"/>
        <v>1400000</v>
      </c>
      <c r="E67" s="33">
        <f t="shared" si="15"/>
        <v>2464014</v>
      </c>
      <c r="F67" s="33">
        <f t="shared" si="15"/>
        <v>2660000</v>
      </c>
      <c r="G67" s="33">
        <f t="shared" si="15"/>
        <v>2800000</v>
      </c>
      <c r="H67" s="33">
        <f t="shared" si="15"/>
        <v>2898840</v>
      </c>
      <c r="I67" s="33">
        <f t="shared" si="15"/>
        <v>2800000</v>
      </c>
      <c r="J67" s="33">
        <f t="shared" si="15"/>
        <v>2800000</v>
      </c>
      <c r="K67" s="33">
        <f t="shared" si="15"/>
        <v>2898840</v>
      </c>
      <c r="L67" s="33">
        <f t="shared" si="15"/>
        <v>2800000</v>
      </c>
      <c r="M67" s="33">
        <f t="shared" si="15"/>
        <v>2800000</v>
      </c>
      <c r="N67" s="33">
        <f t="shared" si="15"/>
        <v>2898840</v>
      </c>
      <c r="O67" s="33">
        <f t="shared" si="15"/>
        <v>2800000</v>
      </c>
      <c r="P67" s="33">
        <f t="shared" si="15"/>
        <v>2800000</v>
      </c>
      <c r="Q67" s="33">
        <f t="shared" si="15"/>
        <v>2898840</v>
      </c>
      <c r="R67" s="33">
        <f t="shared" si="15"/>
        <v>2800000</v>
      </c>
      <c r="S67" s="33">
        <f t="shared" si="15"/>
        <v>2800000</v>
      </c>
      <c r="T67" s="33">
        <f t="shared" si="15"/>
        <v>2898840</v>
      </c>
      <c r="U67" s="33">
        <f t="shared" si="15"/>
        <v>2800000</v>
      </c>
      <c r="V67" s="33">
        <f t="shared" si="15"/>
        <v>2800000</v>
      </c>
      <c r="W67" s="33">
        <f t="shared" si="15"/>
        <v>2464014</v>
      </c>
      <c r="X67" s="33">
        <f t="shared" si="15"/>
        <v>1400000</v>
      </c>
      <c r="Y67" s="33">
        <f t="shared" si="15"/>
        <v>420000</v>
      </c>
      <c r="Z67" s="33">
        <f t="shared" si="15"/>
        <v>144942</v>
      </c>
      <c r="AA67" s="33">
        <f t="shared" si="15"/>
        <v>0</v>
      </c>
    </row>
    <row r="68" spans="1:28" x14ac:dyDescent="0.25">
      <c r="A68" s="9" t="s">
        <v>50</v>
      </c>
      <c r="B68" s="33">
        <f t="shared" ref="B68:AA68" si="16">B13</f>
        <v>0</v>
      </c>
      <c r="C68" s="33">
        <f t="shared" si="16"/>
        <v>450000</v>
      </c>
      <c r="D68" s="33">
        <f t="shared" si="16"/>
        <v>1500000</v>
      </c>
      <c r="E68" s="33">
        <f t="shared" si="16"/>
        <v>2838150</v>
      </c>
      <c r="F68" s="33">
        <f t="shared" si="16"/>
        <v>2850000</v>
      </c>
      <c r="G68" s="33">
        <f t="shared" si="16"/>
        <v>3000000</v>
      </c>
      <c r="H68" s="33">
        <f t="shared" si="16"/>
        <v>3339000</v>
      </c>
      <c r="I68" s="33">
        <f t="shared" si="16"/>
        <v>3000000</v>
      </c>
      <c r="J68" s="33">
        <f t="shared" si="16"/>
        <v>3000000</v>
      </c>
      <c r="K68" s="33">
        <f t="shared" si="16"/>
        <v>3339000</v>
      </c>
      <c r="L68" s="33">
        <f t="shared" si="16"/>
        <v>3000000</v>
      </c>
      <c r="M68" s="33">
        <f t="shared" si="16"/>
        <v>3000000</v>
      </c>
      <c r="N68" s="33">
        <f t="shared" si="16"/>
        <v>3339000</v>
      </c>
      <c r="O68" s="33">
        <f t="shared" si="16"/>
        <v>3000000</v>
      </c>
      <c r="P68" s="33">
        <f t="shared" si="16"/>
        <v>3000000</v>
      </c>
      <c r="Q68" s="33">
        <f t="shared" si="16"/>
        <v>3339000</v>
      </c>
      <c r="R68" s="33">
        <f t="shared" si="16"/>
        <v>3000000</v>
      </c>
      <c r="S68" s="33">
        <f t="shared" si="16"/>
        <v>3000000</v>
      </c>
      <c r="T68" s="33">
        <f t="shared" si="16"/>
        <v>3339000</v>
      </c>
      <c r="U68" s="33">
        <f t="shared" si="16"/>
        <v>3000000</v>
      </c>
      <c r="V68" s="33">
        <f t="shared" si="16"/>
        <v>3000000</v>
      </c>
      <c r="W68" s="33">
        <f t="shared" si="16"/>
        <v>2838150</v>
      </c>
      <c r="X68" s="33">
        <f t="shared" si="16"/>
        <v>1500000</v>
      </c>
      <c r="Y68" s="33">
        <f t="shared" si="16"/>
        <v>450000</v>
      </c>
      <c r="Z68" s="33">
        <f t="shared" si="16"/>
        <v>166950</v>
      </c>
      <c r="AA68" s="33">
        <f t="shared" si="16"/>
        <v>0</v>
      </c>
    </row>
    <row r="69" spans="1:28" s="50" customFormat="1" x14ac:dyDescent="0.25">
      <c r="A69" s="52" t="s">
        <v>131</v>
      </c>
      <c r="B69" s="49">
        <f>B14*Assumption_Fattening!$C33</f>
        <v>0</v>
      </c>
      <c r="C69" s="49">
        <f>C14*Assumption_Fattening!$C33</f>
        <v>0</v>
      </c>
      <c r="D69" s="49">
        <f>D14*Assumption_Fattening!$C33</f>
        <v>0</v>
      </c>
      <c r="E69" s="49">
        <f>E14*Assumption_Fattening!$C33</f>
        <v>0</v>
      </c>
      <c r="F69" s="49">
        <f>F14*Assumption_Fattening!$C33</f>
        <v>0</v>
      </c>
      <c r="G69" s="49">
        <f>G14*Assumption_Fattening!$C33</f>
        <v>0</v>
      </c>
      <c r="H69" s="49">
        <f>H14*Assumption_Fattening!$C33</f>
        <v>0</v>
      </c>
      <c r="I69" s="49">
        <f>I14*Assumption_Fattening!$C33</f>
        <v>0</v>
      </c>
      <c r="J69" s="49">
        <f>J14*Assumption_Fattening!$C33</f>
        <v>0</v>
      </c>
      <c r="K69" s="49">
        <f>K14*Assumption_Fattening!$C33</f>
        <v>0</v>
      </c>
      <c r="L69" s="49">
        <f>L14*Assumption_Fattening!$C33</f>
        <v>0</v>
      </c>
      <c r="M69" s="49">
        <f>M14*Assumption_Fattening!$C33</f>
        <v>0</v>
      </c>
      <c r="N69" s="49">
        <f>N14*Assumption_Fattening!$C33</f>
        <v>0</v>
      </c>
      <c r="O69" s="49">
        <f>O14*Assumption_Fattening!$C33</f>
        <v>0</v>
      </c>
      <c r="P69" s="49">
        <f>P14*Assumption_Fattening!$C33</f>
        <v>0</v>
      </c>
      <c r="Q69" s="49">
        <f>Q14*Assumption_Fattening!$C33</f>
        <v>0</v>
      </c>
      <c r="R69" s="49">
        <f>R14*Assumption_Fattening!$C33</f>
        <v>0</v>
      </c>
      <c r="S69" s="49">
        <f>S14*Assumption_Fattening!$C33</f>
        <v>0</v>
      </c>
      <c r="T69" s="49">
        <f>T14*Assumption_Fattening!$C33</f>
        <v>0</v>
      </c>
      <c r="U69" s="49">
        <f>U14*Assumption_Fattening!$C33</f>
        <v>0</v>
      </c>
      <c r="V69" s="49">
        <f>V14*Assumption_Fattening!$C33</f>
        <v>0</v>
      </c>
      <c r="W69" s="49">
        <f>W14*Assumption_Fattening!$C33</f>
        <v>0</v>
      </c>
      <c r="X69" s="49">
        <f>X14*Assumption_Fattening!$C33</f>
        <v>0</v>
      </c>
      <c r="Y69" s="49">
        <f>Y14*Assumption_Fattening!$C33</f>
        <v>0</v>
      </c>
      <c r="Z69" s="49">
        <f>Z14*Assumption_Fattening!$C33</f>
        <v>0</v>
      </c>
      <c r="AA69" s="49">
        <f>AA14*Assumption_Fattening!$C33</f>
        <v>0</v>
      </c>
    </row>
    <row r="70" spans="1:28" x14ac:dyDescent="0.25">
      <c r="A70" s="117" t="s">
        <v>54</v>
      </c>
      <c r="B70" s="37">
        <f t="shared" ref="B70:AA70" si="17">SUM(B65:B69)</f>
        <v>0</v>
      </c>
      <c r="C70" s="37">
        <f t="shared" si="17"/>
        <v>1888125</v>
      </c>
      <c r="D70" s="37">
        <f t="shared" si="17"/>
        <v>5393750</v>
      </c>
      <c r="E70" s="37">
        <f t="shared" si="17"/>
        <v>8071539</v>
      </c>
      <c r="F70" s="37">
        <f t="shared" si="17"/>
        <v>6858125</v>
      </c>
      <c r="G70" s="37">
        <f t="shared" si="17"/>
        <v>6887500</v>
      </c>
      <c r="H70" s="37">
        <f t="shared" si="17"/>
        <v>7025340</v>
      </c>
      <c r="I70" s="37">
        <f t="shared" si="17"/>
        <v>6587500</v>
      </c>
      <c r="J70" s="37">
        <f t="shared" si="17"/>
        <v>6587500</v>
      </c>
      <c r="K70" s="37">
        <f t="shared" si="17"/>
        <v>7025340</v>
      </c>
      <c r="L70" s="37">
        <f t="shared" si="17"/>
        <v>6587500</v>
      </c>
      <c r="M70" s="37">
        <f t="shared" si="17"/>
        <v>6587500</v>
      </c>
      <c r="N70" s="37">
        <f t="shared" si="17"/>
        <v>7025340</v>
      </c>
      <c r="O70" s="37">
        <f t="shared" si="17"/>
        <v>6587500</v>
      </c>
      <c r="P70" s="37">
        <f t="shared" si="17"/>
        <v>6587500</v>
      </c>
      <c r="Q70" s="37">
        <f t="shared" si="17"/>
        <v>7025340</v>
      </c>
      <c r="R70" s="37">
        <f t="shared" si="17"/>
        <v>6587500</v>
      </c>
      <c r="S70" s="37">
        <f t="shared" si="17"/>
        <v>6587500</v>
      </c>
      <c r="T70" s="37">
        <f t="shared" si="17"/>
        <v>7025340</v>
      </c>
      <c r="U70" s="37">
        <f t="shared" si="17"/>
        <v>6587500</v>
      </c>
      <c r="V70" s="37">
        <f t="shared" si="17"/>
        <v>6587500</v>
      </c>
      <c r="W70" s="37">
        <f t="shared" si="17"/>
        <v>5971539</v>
      </c>
      <c r="X70" s="37">
        <f t="shared" si="17"/>
        <v>3293750</v>
      </c>
      <c r="Y70" s="37">
        <f t="shared" si="17"/>
        <v>988125</v>
      </c>
      <c r="Z70" s="37">
        <f t="shared" si="17"/>
        <v>351267</v>
      </c>
      <c r="AA70" s="37">
        <f t="shared" si="17"/>
        <v>0</v>
      </c>
    </row>
    <row r="71" spans="1:28" x14ac:dyDescent="0.25">
      <c r="B71" s="32"/>
      <c r="C71" s="32"/>
      <c r="D71" s="32"/>
      <c r="E71" s="32"/>
      <c r="F71" s="32"/>
      <c r="G71" s="32"/>
      <c r="H71" s="32"/>
      <c r="I71" s="32"/>
      <c r="J71" s="32"/>
      <c r="K71" s="32"/>
      <c r="L71" s="32"/>
    </row>
    <row r="72" spans="1:28" x14ac:dyDescent="0.25">
      <c r="A72" s="23" t="s">
        <v>55</v>
      </c>
      <c r="B72" s="34">
        <f t="shared" ref="B72:AA72" si="18">B62-B70</f>
        <v>0</v>
      </c>
      <c r="C72" s="34">
        <f t="shared" si="18"/>
        <v>-671201.25</v>
      </c>
      <c r="D72" s="34">
        <f t="shared" si="18"/>
        <v>-1296773.375</v>
      </c>
      <c r="E72" s="34">
        <f t="shared" si="18"/>
        <v>-3370728.4508802183</v>
      </c>
      <c r="F72" s="34">
        <f t="shared" si="18"/>
        <v>1082594.1248087501</v>
      </c>
      <c r="G72" s="34">
        <f t="shared" si="18"/>
        <v>1554738.22742825</v>
      </c>
      <c r="H72" s="34">
        <f t="shared" si="18"/>
        <v>-1327399.0475662816</v>
      </c>
      <c r="I72" s="34">
        <f t="shared" si="18"/>
        <v>2024427.215799557</v>
      </c>
      <c r="J72" s="34">
        <f t="shared" si="18"/>
        <v>2110546.4879575539</v>
      </c>
      <c r="K72" s="34">
        <f t="shared" si="18"/>
        <v>-1154745.7387665864</v>
      </c>
      <c r="L72" s="34">
        <f t="shared" si="18"/>
        <v>2285377.2223655023</v>
      </c>
      <c r="M72" s="34">
        <f t="shared" si="18"/>
        <v>2374105.9945891555</v>
      </c>
      <c r="N72" s="34">
        <f t="shared" si="18"/>
        <v>-976860.86205695476</v>
      </c>
      <c r="O72" s="34">
        <f t="shared" si="18"/>
        <v>2554234.2750803977</v>
      </c>
      <c r="P72" s="34">
        <f t="shared" si="18"/>
        <v>2645651.6178312041</v>
      </c>
      <c r="Q72" s="34">
        <f t="shared" si="18"/>
        <v>-793585.89569814224</v>
      </c>
      <c r="R72" s="34">
        <f t="shared" si="18"/>
        <v>2831237.9653496109</v>
      </c>
      <c r="S72" s="34">
        <f t="shared" si="18"/>
        <v>2925425.3450031076</v>
      </c>
      <c r="T72" s="34">
        <f t="shared" si="18"/>
        <v>-604757.51458369009</v>
      </c>
      <c r="U72" s="34">
        <f t="shared" si="18"/>
        <v>3116635.144437667</v>
      </c>
      <c r="V72" s="34">
        <f t="shared" si="18"/>
        <v>3213676.4958820455</v>
      </c>
      <c r="W72" s="34">
        <f t="shared" si="18"/>
        <v>-348676.32798912749</v>
      </c>
      <c r="X72" s="34">
        <f t="shared" si="18"/>
        <v>1705340.0717246383</v>
      </c>
      <c r="Y72" s="34">
        <f t="shared" si="18"/>
        <v>526599.29173256503</v>
      </c>
      <c r="Z72" s="34">
        <f t="shared" si="18"/>
        <v>-10488.115656736773</v>
      </c>
      <c r="AA72" s="34">
        <f t="shared" si="18"/>
        <v>0</v>
      </c>
    </row>
    <row r="73" spans="1:28" x14ac:dyDescent="0.25">
      <c r="B73" s="32"/>
      <c r="C73" s="32"/>
      <c r="D73" s="32"/>
      <c r="E73" s="32"/>
      <c r="F73" s="32"/>
      <c r="G73" s="32"/>
      <c r="H73" s="32"/>
      <c r="I73" s="32"/>
      <c r="J73" s="32"/>
      <c r="K73" s="32"/>
      <c r="L73" s="32"/>
    </row>
    <row r="74" spans="1:28" s="12" customFormat="1" x14ac:dyDescent="0.25">
      <c r="A74" s="10" t="s">
        <v>319</v>
      </c>
      <c r="B74" s="346">
        <f>B62/(1+Assumption_Fattening!$C76)^'RCP 4.5_Fattening'!B59</f>
        <v>0</v>
      </c>
      <c r="C74" s="346">
        <f>C62/(1+Assumption_Fattening!$C76)^'RCP 4.5_Fattening'!C59</f>
        <v>1148041.2735849055</v>
      </c>
      <c r="D74" s="346">
        <f>D62/(1+Assumption_Fattening!$C76)^'RCP 4.5_Fattening'!D59</f>
        <v>3646294.6110715554</v>
      </c>
      <c r="E74" s="346">
        <f>E62/(1+Assumption_Fattening!$C76)^'RCP 4.5_Fattening'!E59</f>
        <v>3946891.182922631</v>
      </c>
      <c r="F74" s="346">
        <f>F62/(1+Assumption_Fattening!$C76)^'RCP 4.5_Fattening'!F59</f>
        <v>6289793.3003139701</v>
      </c>
      <c r="G74" s="346">
        <f>G62/(1+Assumption_Fattening!$C76)^'RCP 4.5_Fattening'!G59</f>
        <v>6308531.5127280131</v>
      </c>
      <c r="H74" s="346">
        <f>H62/(1+Assumption_Fattening!$C76)^'RCP 4.5_Fattening'!H59</f>
        <v>4016823.5332210381</v>
      </c>
      <c r="I74" s="346">
        <f>I62/(1+Assumption_Fattening!$C76)^'RCP 4.5_Fattening'!I59</f>
        <v>5727423.4568652939</v>
      </c>
      <c r="J74" s="346">
        <f>J62/(1+Assumption_Fattening!$C76)^'RCP 4.5_Fattening'!J59</f>
        <v>5457261.9730508942</v>
      </c>
      <c r="K74" s="346">
        <f>K62/(1+Assumption_Fattening!$C76)^'RCP 4.5_Fattening'!K59</f>
        <v>3474795.72323224</v>
      </c>
      <c r="L74" s="346">
        <f>L62/(1+Assumption_Fattening!$C76)^'RCP 4.5_Fattening'!L59</f>
        <v>4954568.2971780151</v>
      </c>
      <c r="M74" s="346">
        <f>M62/(1+Assumption_Fattening!$C76)^'RCP 4.5_Fattening'!M59</f>
        <v>4720862.245424334</v>
      </c>
      <c r="N74" s="346">
        <f>N62/(1+Assumption_Fattening!$C76)^'RCP 4.5_Fattening'!N59</f>
        <v>3005908.8277923199</v>
      </c>
      <c r="O74" s="346">
        <f>O62/(1+Assumption_Fattening!$C76)^'RCP 4.5_Fattening'!O59</f>
        <v>4286001.7591290157</v>
      </c>
      <c r="P74" s="346">
        <f>P62/(1+Assumption_Fattening!$C76)^'RCP 4.5_Fattening'!P59</f>
        <v>4083831.8648304786</v>
      </c>
      <c r="Q74" s="346">
        <f>Q62/(1+Assumption_Fattening!$C76)^'RCP 4.5_Fattening'!Q59</f>
        <v>2600293.2548204674</v>
      </c>
      <c r="R74" s="346">
        <f>R62/(1+Assumption_Fattening!$C76)^'RCP 4.5_Fattening'!R59</f>
        <v>3707651.197324289</v>
      </c>
      <c r="S74" s="346">
        <f>S62/(1+Assumption_Fattening!$C76)^'RCP 4.5_Fattening'!S59</f>
        <v>3532761.9899033317</v>
      </c>
      <c r="T74" s="346">
        <f>T62/(1+Assumption_Fattening!$C76)^'RCP 4.5_Fattening'!T59</f>
        <v>2249411.2091985191</v>
      </c>
      <c r="U74" s="346">
        <f>U62/(1+Assumption_Fattening!$C76)^'RCP 4.5_Fattening'!U59</f>
        <v>3207342.9208796611</v>
      </c>
      <c r="V74" s="346">
        <f>V62/(1+Assumption_Fattening!$C76)^'RCP 4.5_Fattening'!V59</f>
        <v>3056053.1604608097</v>
      </c>
      <c r="W74" s="346">
        <f>W62/(1+Assumption_Fattening!$C76)^'RCP 4.5_Fattening'!W59</f>
        <v>1653995.4337399129</v>
      </c>
      <c r="X74" s="346">
        <f>X62/(1+Assumption_Fattening!$C76)^'RCP 4.5_Fattening'!X59</f>
        <v>1387272.9748069027</v>
      </c>
      <c r="Y74" s="346">
        <f>Y62/(1+Assumption_Fattening!$C76)^'RCP 4.5_Fattening'!Y59</f>
        <v>396550.67110046354</v>
      </c>
      <c r="Z74" s="346">
        <f>Z62/(1+Assumption_Fattening!$C76)^'RCP 4.5_Fattening'!Z59</f>
        <v>84165.074158023184</v>
      </c>
      <c r="AA74" s="346">
        <f>AA62/(1+Assumption_Fattening!$C76)^'RCP 4.5_Fattening'!AA59</f>
        <v>0</v>
      </c>
      <c r="AB74" s="343">
        <f>SUM(B74:AA74)</f>
        <v>82942527.447737098</v>
      </c>
    </row>
    <row r="75" spans="1:28" s="12" customFormat="1" x14ac:dyDescent="0.25">
      <c r="A75" s="10" t="s">
        <v>320</v>
      </c>
      <c r="B75" s="346">
        <f>B70/(1+Assumption_Fattening!$C76)^'RCP 4.5_Fattening'!B59</f>
        <v>0</v>
      </c>
      <c r="C75" s="346">
        <f>C70/(1+Assumption_Fattening!$C76)^'RCP 4.5_Fattening'!C59</f>
        <v>1781250</v>
      </c>
      <c r="D75" s="346">
        <f>D70/(1+Assumption_Fattening!$C76)^'RCP 4.5_Fattening'!D59</f>
        <v>4800418.2983268062</v>
      </c>
      <c r="E75" s="346">
        <f>E70/(1+Assumption_Fattening!$C76)^'RCP 4.5_Fattening'!E59</f>
        <v>6777019.7881472604</v>
      </c>
      <c r="F75" s="346">
        <f>F70/(1+Assumption_Fattening!$C76)^'RCP 4.5_Fattening'!F59</f>
        <v>5432277.354194249</v>
      </c>
      <c r="G75" s="346">
        <f>G70/(1+Assumption_Fattening!$C76)^'RCP 4.5_Fattening'!G59</f>
        <v>5146740.6656149672</v>
      </c>
      <c r="H75" s="346">
        <f>H70/(1+Assumption_Fattening!$C76)^'RCP 4.5_Fattening'!H59</f>
        <v>4952587.4831724754</v>
      </c>
      <c r="I75" s="346">
        <f>I70/(1+Assumption_Fattening!$C76)^'RCP 4.5_Fattening'!I59</f>
        <v>4381063.7359871389</v>
      </c>
      <c r="J75" s="346">
        <f>J70/(1+Assumption_Fattening!$C76)^'RCP 4.5_Fattening'!J59</f>
        <v>4133078.9962142822</v>
      </c>
      <c r="K75" s="346">
        <f>K70/(1+Assumption_Fattening!$C76)^'RCP 4.5_Fattening'!K59</f>
        <v>4158287.9517760258</v>
      </c>
      <c r="L75" s="346">
        <f>L70/(1+Assumption_Fattening!$C76)^'RCP 4.5_Fattening'!L59</f>
        <v>3678425.5929283388</v>
      </c>
      <c r="M75" s="346">
        <f>M70/(1+Assumption_Fattening!$C76)^'RCP 4.5_Fattening'!M59</f>
        <v>3470212.8235173002</v>
      </c>
      <c r="N75" s="346">
        <f>N70/(1+Assumption_Fattening!$C76)^'RCP 4.5_Fattening'!N59</f>
        <v>3491378.7487120447</v>
      </c>
      <c r="O75" s="346">
        <f>O70/(1+Assumption_Fattening!$C76)^'RCP 4.5_Fattening'!O59</f>
        <v>3088477.0590221607</v>
      </c>
      <c r="P75" s="346">
        <f>P70/(1+Assumption_Fattening!$C76)^'RCP 4.5_Fattening'!P59</f>
        <v>2913657.6028510951</v>
      </c>
      <c r="Q75" s="346">
        <f>Q70/(1+Assumption_Fattening!$C76)^'RCP 4.5_Fattening'!Q59</f>
        <v>2931428.9217878212</v>
      </c>
      <c r="R75" s="346">
        <f>R70/(1+Assumption_Fattening!$C76)^'RCP 4.5_Fattening'!R59</f>
        <v>2593144.893957899</v>
      </c>
      <c r="S75" s="346">
        <f>S70/(1+Assumption_Fattening!$C76)^'RCP 4.5_Fattening'!S59</f>
        <v>2446363.1075074514</v>
      </c>
      <c r="T75" s="346">
        <f>T70/(1+Assumption_Fattening!$C76)^'RCP 4.5_Fattening'!T59</f>
        <v>2461284.2495716442</v>
      </c>
      <c r="U75" s="346">
        <f>U70/(1+Assumption_Fattening!$C76)^'RCP 4.5_Fattening'!U59</f>
        <v>2177254.4566638051</v>
      </c>
      <c r="V75" s="346">
        <f>V70/(1+Assumption_Fattening!$C76)^'RCP 4.5_Fattening'!V59</f>
        <v>2054013.6383620801</v>
      </c>
      <c r="W75" s="346">
        <f>W70/(1+Assumption_Fattening!$C76)^'RCP 4.5_Fattening'!W59</f>
        <v>1756560.4594194344</v>
      </c>
      <c r="X75" s="346">
        <f>X70/(1+Assumption_Fattening!$C76)^'RCP 4.5_Fattening'!X59</f>
        <v>914032.41294147365</v>
      </c>
      <c r="Y75" s="346">
        <f>Y70/(1+Assumption_Fattening!$C76)^'RCP 4.5_Fattening'!Y59</f>
        <v>258688.41875702082</v>
      </c>
      <c r="Z75" s="346">
        <f>Z70/(1+Assumption_Fattening!$C76)^'RCP 4.5_Fattening'!Z59</f>
        <v>86755.413737684474</v>
      </c>
      <c r="AA75" s="346">
        <f>AA70/(1+Assumption_Fattening!$C76)^'RCP 4.5_Fattening'!AA59</f>
        <v>0</v>
      </c>
      <c r="AB75" s="343">
        <f>SUM(B75:AA75)</f>
        <v>75884402.073170453</v>
      </c>
    </row>
    <row r="76" spans="1:28" x14ac:dyDescent="0.25">
      <c r="B76" s="32"/>
      <c r="C76" s="32"/>
      <c r="D76" s="32"/>
      <c r="E76" s="32"/>
      <c r="F76" s="32"/>
      <c r="G76" s="32"/>
      <c r="H76" s="32"/>
      <c r="I76" s="32"/>
      <c r="J76" s="32"/>
      <c r="K76" s="32"/>
      <c r="L76" s="32"/>
    </row>
    <row r="77" spans="1:28" s="12" customFormat="1" x14ac:dyDescent="0.25">
      <c r="A77" s="25" t="s">
        <v>318</v>
      </c>
      <c r="B77" s="35">
        <f>NPV(Assumption_Hatchery!C76,C72:Z72)+B72</f>
        <v>7058125.3745666258</v>
      </c>
      <c r="C77" s="40"/>
      <c r="D77" s="40"/>
      <c r="E77" s="40"/>
      <c r="F77" s="40"/>
      <c r="G77" s="40"/>
      <c r="H77" s="40"/>
      <c r="I77" s="40"/>
      <c r="J77" s="40"/>
      <c r="K77" s="40"/>
      <c r="L77" s="40"/>
    </row>
    <row r="79" spans="1:28" s="12" customFormat="1" x14ac:dyDescent="0.25">
      <c r="A79" s="25" t="s">
        <v>238</v>
      </c>
      <c r="B79" s="36">
        <f>IRR(B72:Z72)</f>
        <v>0.17782784804133245</v>
      </c>
      <c r="C79" s="4"/>
      <c r="D79" s="4"/>
      <c r="E79" s="4"/>
      <c r="F79" s="4"/>
      <c r="G79" s="4"/>
      <c r="H79" s="4"/>
      <c r="I79" s="4"/>
      <c r="J79" s="4"/>
      <c r="K79" s="4"/>
      <c r="L79" s="4"/>
    </row>
  </sheetData>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7030A0"/>
  </sheetPr>
  <dimension ref="A2:AB79"/>
  <sheetViews>
    <sheetView showGridLines="0" topLeftCell="A46" zoomScale="85" zoomScaleNormal="85" workbookViewId="0">
      <selection activeCell="A77" sqref="A77:A79"/>
    </sheetView>
  </sheetViews>
  <sheetFormatPr defaultColWidth="9" defaultRowHeight="15" x14ac:dyDescent="0.25"/>
  <cols>
    <col min="1" max="1" width="40.7109375" style="10" customWidth="1"/>
    <col min="2" max="2" width="18.28515625" style="26" customWidth="1"/>
    <col min="3" max="3" width="13" style="26" customWidth="1"/>
    <col min="4" max="4" width="17" style="26" customWidth="1"/>
    <col min="5" max="5" width="14.7109375" style="26" customWidth="1"/>
    <col min="6" max="6" width="14.5703125" style="26" customWidth="1"/>
    <col min="7" max="7" width="14.28515625" style="26" customWidth="1"/>
    <col min="8" max="8" width="15.28515625" style="26" customWidth="1"/>
    <col min="9" max="9" width="14.28515625" style="26" customWidth="1"/>
    <col min="10" max="10" width="16.42578125" style="26" customWidth="1"/>
    <col min="11" max="11" width="15" style="26" customWidth="1"/>
    <col min="12" max="12" width="15.140625" style="26" customWidth="1"/>
    <col min="13" max="23" width="13.7109375" style="3" customWidth="1"/>
    <col min="24" max="24" width="15.7109375" style="3" customWidth="1"/>
    <col min="25" max="25" width="13.7109375" style="3" customWidth="1"/>
    <col min="26" max="26" width="15.42578125" style="3" customWidth="1"/>
    <col min="27" max="27" width="14.7109375" style="3" customWidth="1"/>
    <col min="28" max="28" width="13.85546875" style="3" customWidth="1"/>
    <col min="29" max="16384" width="9" style="3"/>
  </cols>
  <sheetData>
    <row r="2" spans="1:27" ht="38.25" customHeight="1" x14ac:dyDescent="0.25">
      <c r="A2" s="11" t="s">
        <v>332</v>
      </c>
      <c r="B2" s="30"/>
      <c r="C2" s="69"/>
      <c r="D2" s="70"/>
      <c r="E2" s="30"/>
      <c r="F2" s="116" t="s">
        <v>91</v>
      </c>
      <c r="G2" s="30"/>
      <c r="H2" s="30"/>
      <c r="I2" s="30"/>
      <c r="J2" s="30"/>
      <c r="K2" s="30"/>
      <c r="L2" s="30"/>
      <c r="M2" s="11"/>
    </row>
    <row r="3" spans="1:27" ht="15" customHeight="1" x14ac:dyDescent="0.25">
      <c r="A3" s="22"/>
      <c r="B3" s="30"/>
      <c r="C3" s="30"/>
      <c r="D3" s="30"/>
      <c r="E3" s="30"/>
      <c r="F3" s="30"/>
      <c r="G3" s="30"/>
      <c r="H3" s="30"/>
      <c r="I3" s="30"/>
      <c r="J3" s="30"/>
      <c r="K3" s="30"/>
      <c r="L3" s="30"/>
      <c r="M3" s="11"/>
    </row>
    <row r="4" spans="1:27"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c r="Q4" s="26">
        <v>15</v>
      </c>
      <c r="R4" s="26">
        <v>16</v>
      </c>
      <c r="S4" s="26">
        <v>17</v>
      </c>
      <c r="T4" s="26">
        <v>18</v>
      </c>
      <c r="U4" s="26">
        <v>19</v>
      </c>
      <c r="V4" s="26">
        <v>20</v>
      </c>
      <c r="W4" s="26">
        <v>21</v>
      </c>
      <c r="X4" s="26">
        <v>22</v>
      </c>
      <c r="Y4" s="26">
        <v>23</v>
      </c>
      <c r="Z4" s="26">
        <v>24</v>
      </c>
      <c r="AA4" s="26">
        <v>25</v>
      </c>
    </row>
    <row r="5" spans="1:27" x14ac:dyDescent="0.25">
      <c r="A5" s="23" t="s">
        <v>3</v>
      </c>
    </row>
    <row r="6" spans="1:27" x14ac:dyDescent="0.25">
      <c r="A6" s="10" t="s">
        <v>162</v>
      </c>
      <c r="B6" s="31">
        <f>Assumption_Fattening!D18*Assumption_Fattening!D175*Assumption_Fattening!D176*(1+Assumption_Fattening!D177)^Assumption_Fattening!D174</f>
        <v>0</v>
      </c>
      <c r="C6" s="31">
        <f>Assumption_Fattening!E18*Assumption_Fattening!E175*Assumption_Fattening!E176*(1+Assumption_Fattening!E177)^Assumption_Fattening!E174</f>
        <v>1216923.75</v>
      </c>
      <c r="D6" s="31">
        <f>Assumption_Fattening!F18*Assumption_Fattening!F175*Assumption_Fattening!F176*(1+Assumption_Fattening!F177)^Assumption_Fattening!F174</f>
        <v>4096976.625</v>
      </c>
      <c r="E6" s="162">
        <f>Assumption_Fattening!G18*Assumption_Fattening!G175*Assumption_Fattening!G176*(1+Assumption_Fattening!G177)^Assumption_Fattening!G174*(1+Assumption_Fattening!$X149)</f>
        <v>4497689.1056392966</v>
      </c>
      <c r="F6" s="31">
        <f>Assumption_Fattening!H18*Assumption_Fattening!H175*Assumption_Fattening!H176*(1+Assumption_Fattening!H177)^Assumption_Fattening!H174</f>
        <v>7940719.1248087501</v>
      </c>
      <c r="G6" s="31">
        <f>Assumption_Fattening!I18*Assumption_Fattening!I175*Assumption_Fattening!I176*(1+Assumption_Fattening!I177)^Assumption_Fattening!I174</f>
        <v>8442238.22742825</v>
      </c>
      <c r="H6" s="162">
        <f>Assumption_Fattening!J18*Assumption_Fattening!J175*Assumption_Fattening!J176*(1+Assumption_Fattening!J177)^Assumption_Fattening!J174*(1+Assumption_Fattening!$X149)</f>
        <v>5451733.6273285579</v>
      </c>
      <c r="I6" s="31">
        <f>Assumption_Fattening!K18*Assumption_Fattening!K175*Assumption_Fattening!K176*(1+Assumption_Fattening!K177)^Assumption_Fattening!K174</f>
        <v>8611927.215799557</v>
      </c>
      <c r="J6" s="31">
        <f>Assumption_Fattening!L18*Assumption_Fattening!L175*Assumption_Fattening!L176*(1+Assumption_Fattening!L177)^Assumption_Fattening!L174</f>
        <v>8698046.4879575539</v>
      </c>
      <c r="K6" s="162">
        <f>Assumption_Fattening!M18*Assumption_Fattening!M175*Assumption_Fattening!M176*(1+Assumption_Fattening!M177)^Assumption_Fattening!M174*(1+Assumption_Fattening!$X149)</f>
        <v>5616926.6079702405</v>
      </c>
      <c r="L6" s="31">
        <f>Assumption_Fattening!N18*Assumption_Fattening!N175*Assumption_Fattening!N176*(1+Assumption_Fattening!N177)^Assumption_Fattening!N174</f>
        <v>8872877.2223655023</v>
      </c>
      <c r="M6" s="31">
        <f>Assumption_Fattening!O18*Assumption_Fattening!O175*Assumption_Fattening!O176*(1+Assumption_Fattening!O177)^Assumption_Fattening!O174</f>
        <v>8961605.9945891555</v>
      </c>
      <c r="N6" s="162">
        <f>Assumption_Fattening!P18*Assumption_Fattening!P175*Assumption_Fattening!P176*(1+Assumption_Fattening!P177)^Assumption_Fattening!P174*(1+Assumption_Fattening!$X149)</f>
        <v>5787125.1011183457</v>
      </c>
      <c r="O6" s="31">
        <f>Assumption_Fattening!Q18*Assumption_Fattening!Q175*Assumption_Fattening!Q176*(1+Assumption_Fattening!Q177)^Assumption_Fattening!Q174</f>
        <v>9141734.2750803977</v>
      </c>
      <c r="P6" s="31">
        <f>Assumption_Fattening!R18*Assumption_Fattening!R175*Assumption_Fattening!R176*(1+Assumption_Fattening!R177)^Assumption_Fattening!R174</f>
        <v>9233151.6178312041</v>
      </c>
      <c r="Q6" s="162">
        <f>Assumption_Fattening!S18*Assumption_Fattening!S175*Assumption_Fattening!S176*(1+Assumption_Fattening!S177)^Assumption_Fattening!S174*(1+Assumption_Fattening!$X149)</f>
        <v>5962480.7788073327</v>
      </c>
      <c r="R6" s="31">
        <f>Assumption_Fattening!T18*Assumption_Fattening!T175*Assumption_Fattening!T176*(1+Assumption_Fattening!T177)^Assumption_Fattening!T174</f>
        <v>9418737.9653496109</v>
      </c>
      <c r="S6" s="31">
        <f>Assumption_Fattening!U18*Assumption_Fattening!U175*Assumption_Fattening!U176*(1+Assumption_Fattening!U177)^Assumption_Fattening!U174</f>
        <v>9512925.3450031076</v>
      </c>
      <c r="T6" s="162">
        <f>Assumption_Fattening!V18*Assumption_Fattening!V175*Assumption_Fattening!V176*(1+Assumption_Fattening!V177)^Assumption_Fattening!V174*(1+Assumption_Fattening!$X149)</f>
        <v>6143149.9088859754</v>
      </c>
      <c r="U6" s="31">
        <f>Assumption_Fattening!W18*Assumption_Fattening!W175*Assumption_Fattening!W176*(1+Assumption_Fattening!W177)^Assumption_Fattening!W174</f>
        <v>9704135.144437667</v>
      </c>
      <c r="V6" s="31">
        <f>Assumption_Fattening!X18*Assumption_Fattening!X175*Assumption_Fattening!X176*(1+Assumption_Fattening!X177)^Assumption_Fattening!X174</f>
        <v>9801176.4958820455</v>
      </c>
      <c r="W6" s="162">
        <f>Assumption_Fattening!Y18*Assumption_Fattening!Y175*Assumption_Fattening!Y176*(1+Assumption_Fattening!Y177)^Assumption_Fattening!Y174*(1+Assumption_Fattening!$X149)</f>
        <v>5379899.4701338587</v>
      </c>
      <c r="X6" s="31">
        <f>Assumption_Fattening!Z18*Assumption_Fattening!Z175*Assumption_Fattening!Z176*(1+Assumption_Fattening!Z177)^Assumption_Fattening!Z174</f>
        <v>4999090.0717246383</v>
      </c>
      <c r="Y6" s="31">
        <f>Assumption_Fattening!AA18*Assumption_Fattening!AA175*Assumption_Fattening!AA176*(1+Assumption_Fattening!AA177)^Assumption_Fattening!AA174</f>
        <v>1514724.291732565</v>
      </c>
      <c r="Z6" s="162">
        <f>Assumption_Fattening!AB18*Assumption_Fattening!AB175*Assumption_Fattening!AB176*(1+Assumption_Fattening!AB177)^Assumption_Fattening!AB174*(1+Assumption_Fattening!$X149)</f>
        <v>326053.87082225806</v>
      </c>
      <c r="AA6" s="31">
        <f>Assumption_Fattening!AC18*Assumption_Fattening!AC175*Assumption_Fattening!AC176*(1+Assumption_Fattening!AC177)^Assumption_Fattening!AC174</f>
        <v>0</v>
      </c>
    </row>
    <row r="7" spans="1:27" s="12" customFormat="1" x14ac:dyDescent="0.25">
      <c r="A7" s="23" t="s">
        <v>53</v>
      </c>
      <c r="B7" s="38">
        <f>B6</f>
        <v>0</v>
      </c>
      <c r="C7" s="38">
        <f t="shared" ref="C7:AA7" si="0">C6</f>
        <v>1216923.75</v>
      </c>
      <c r="D7" s="38">
        <f t="shared" si="0"/>
        <v>4096976.625</v>
      </c>
      <c r="E7" s="38">
        <f t="shared" si="0"/>
        <v>4497689.1056392966</v>
      </c>
      <c r="F7" s="38">
        <f t="shared" si="0"/>
        <v>7940719.1248087501</v>
      </c>
      <c r="G7" s="38">
        <f t="shared" si="0"/>
        <v>8442238.22742825</v>
      </c>
      <c r="H7" s="38">
        <f t="shared" si="0"/>
        <v>5451733.6273285579</v>
      </c>
      <c r="I7" s="38">
        <f t="shared" si="0"/>
        <v>8611927.215799557</v>
      </c>
      <c r="J7" s="38">
        <f t="shared" si="0"/>
        <v>8698046.4879575539</v>
      </c>
      <c r="K7" s="38">
        <f t="shared" si="0"/>
        <v>5616926.6079702405</v>
      </c>
      <c r="L7" s="38">
        <f t="shared" si="0"/>
        <v>8872877.2223655023</v>
      </c>
      <c r="M7" s="38">
        <f t="shared" si="0"/>
        <v>8961605.9945891555</v>
      </c>
      <c r="N7" s="38">
        <f t="shared" si="0"/>
        <v>5787125.1011183457</v>
      </c>
      <c r="O7" s="38">
        <f t="shared" si="0"/>
        <v>9141734.2750803977</v>
      </c>
      <c r="P7" s="38">
        <f t="shared" si="0"/>
        <v>9233151.6178312041</v>
      </c>
      <c r="Q7" s="38">
        <f t="shared" si="0"/>
        <v>5962480.7788073327</v>
      </c>
      <c r="R7" s="38">
        <f t="shared" si="0"/>
        <v>9418737.9653496109</v>
      </c>
      <c r="S7" s="38">
        <f t="shared" si="0"/>
        <v>9512925.3450031076</v>
      </c>
      <c r="T7" s="38">
        <f t="shared" si="0"/>
        <v>6143149.9088859754</v>
      </c>
      <c r="U7" s="38">
        <f t="shared" si="0"/>
        <v>9704135.144437667</v>
      </c>
      <c r="V7" s="38">
        <f t="shared" si="0"/>
        <v>9801176.4958820455</v>
      </c>
      <c r="W7" s="38">
        <f t="shared" si="0"/>
        <v>5379899.4701338587</v>
      </c>
      <c r="X7" s="38">
        <f t="shared" si="0"/>
        <v>4999090.0717246383</v>
      </c>
      <c r="Y7" s="38">
        <f t="shared" si="0"/>
        <v>1514724.291732565</v>
      </c>
      <c r="Z7" s="38">
        <f t="shared" si="0"/>
        <v>326053.87082225806</v>
      </c>
      <c r="AA7" s="38">
        <f t="shared" si="0"/>
        <v>0</v>
      </c>
    </row>
    <row r="8" spans="1:27" x14ac:dyDescent="0.25">
      <c r="A8" s="23"/>
      <c r="B8" s="41"/>
      <c r="C8" s="41"/>
      <c r="D8" s="41"/>
      <c r="E8" s="41"/>
      <c r="F8" s="41"/>
      <c r="G8" s="41"/>
      <c r="H8" s="41"/>
      <c r="I8" s="41"/>
      <c r="J8" s="41"/>
      <c r="K8" s="41"/>
    </row>
    <row r="9" spans="1:27" x14ac:dyDescent="0.25">
      <c r="A9" s="23" t="s">
        <v>20</v>
      </c>
    </row>
    <row r="10" spans="1:27" x14ac:dyDescent="0.25">
      <c r="A10" s="9" t="str">
        <f>Assumption_Fattening!B181</f>
        <v>Crab Farm Establishment</v>
      </c>
      <c r="B10" s="33">
        <f>Assumption_Fattening!D181*Assumption_Fattening!D16</f>
        <v>0</v>
      </c>
      <c r="C10" s="33">
        <f>Assumption_Fattening!E181*Assumption_Fattening!E16</f>
        <v>900000</v>
      </c>
      <c r="D10" s="33">
        <f>Assumption_Fattening!F181*Assumption_Fattening!F16</f>
        <v>2100000</v>
      </c>
      <c r="E10" s="33">
        <f>Assumption_Fattening!G181*Assumption_Fattening!G16</f>
        <v>2100000</v>
      </c>
      <c r="F10" s="33">
        <f>Assumption_Fattening!H181*Assumption_Fattening!H16</f>
        <v>600000</v>
      </c>
      <c r="G10" s="33">
        <f>Assumption_Fattening!I181*Assumption_Fattening!I16</f>
        <v>300000</v>
      </c>
      <c r="H10" s="33">
        <f>Assumption_Fattening!J181*Assumption_Fattening!J16</f>
        <v>0</v>
      </c>
      <c r="I10" s="33">
        <f>Assumption_Fattening!K181*Assumption_Fattening!K16</f>
        <v>0</v>
      </c>
      <c r="J10" s="33">
        <f>Assumption_Fattening!L181*Assumption_Fattening!L16</f>
        <v>0</v>
      </c>
      <c r="K10" s="33">
        <f>Assumption_Fattening!M181*Assumption_Fattening!M16</f>
        <v>0</v>
      </c>
      <c r="L10" s="33">
        <f>Assumption_Fattening!N181*Assumption_Fattening!N16</f>
        <v>0</v>
      </c>
      <c r="M10" s="33">
        <f>Assumption_Fattening!O181*Assumption_Fattening!O16</f>
        <v>0</v>
      </c>
      <c r="N10" s="33">
        <f>Assumption_Fattening!P181*Assumption_Fattening!P16</f>
        <v>0</v>
      </c>
      <c r="O10" s="33">
        <f>Assumption_Fattening!Q181*Assumption_Fattening!Q16</f>
        <v>0</v>
      </c>
      <c r="P10" s="33">
        <f>Assumption_Fattening!R181*Assumption_Fattening!R16</f>
        <v>0</v>
      </c>
      <c r="Q10" s="33">
        <f>Assumption_Fattening!S181*Assumption_Fattening!S16</f>
        <v>0</v>
      </c>
      <c r="R10" s="33">
        <f>Assumption_Fattening!T181*Assumption_Fattening!T16</f>
        <v>0</v>
      </c>
      <c r="S10" s="33">
        <f>Assumption_Fattening!U181*Assumption_Fattening!U16</f>
        <v>0</v>
      </c>
      <c r="T10" s="33">
        <f>Assumption_Fattening!V181*Assumption_Fattening!V16</f>
        <v>0</v>
      </c>
      <c r="U10" s="33">
        <f>Assumption_Fattening!W181*Assumption_Fattening!W16</f>
        <v>0</v>
      </c>
      <c r="V10" s="33">
        <f>Assumption_Fattening!X181*Assumption_Fattening!X16</f>
        <v>0</v>
      </c>
      <c r="W10" s="33">
        <f>Assumption_Fattening!Y181*Assumption_Fattening!Y16</f>
        <v>0</v>
      </c>
      <c r="X10" s="33">
        <f>Assumption_Fattening!Z181*Assumption_Fattening!Z16</f>
        <v>0</v>
      </c>
      <c r="Y10" s="33">
        <f>Assumption_Fattening!AA181*Assumption_Fattening!AA16</f>
        <v>0</v>
      </c>
      <c r="Z10" s="33">
        <f>Assumption_Fattening!AB181*Assumption_Fattening!AB16</f>
        <v>0</v>
      </c>
      <c r="AA10" s="33">
        <f>Assumption_Fattening!AC181*Assumption_Fattening!AC16</f>
        <v>0</v>
      </c>
    </row>
    <row r="11" spans="1:27" x14ac:dyDescent="0.25">
      <c r="A11" s="9" t="str">
        <f>Assumption_Fattening!B182</f>
        <v>Operation Cost (Small crab purchase)</v>
      </c>
      <c r="B11" s="33">
        <f>Assumption_Fattening!D18*Assumption_Fattening!D182</f>
        <v>0</v>
      </c>
      <c r="C11" s="33">
        <f>Assumption_Fattening!E18*Assumption_Fattening!E182</f>
        <v>118125.00000000001</v>
      </c>
      <c r="D11" s="33">
        <f>Assumption_Fattening!F18*Assumption_Fattening!F182</f>
        <v>393750.00000000006</v>
      </c>
      <c r="E11" s="33">
        <f>Assumption_Fattening!G18*Assumption_Fattening!G182</f>
        <v>669375.00000000012</v>
      </c>
      <c r="F11" s="33">
        <f>Assumption_Fattening!H18*Assumption_Fattening!H182</f>
        <v>748125.00000000012</v>
      </c>
      <c r="G11" s="33">
        <f>Assumption_Fattening!I18*Assumption_Fattening!I182</f>
        <v>787500.00000000012</v>
      </c>
      <c r="H11" s="33">
        <f>Assumption_Fattening!J18*Assumption_Fattening!J182</f>
        <v>787500.00000000012</v>
      </c>
      <c r="I11" s="33">
        <f>Assumption_Fattening!K18*Assumption_Fattening!K182</f>
        <v>787500.00000000012</v>
      </c>
      <c r="J11" s="33">
        <f>Assumption_Fattening!L18*Assumption_Fattening!L182</f>
        <v>787500.00000000012</v>
      </c>
      <c r="K11" s="33">
        <f>Assumption_Fattening!M18*Assumption_Fattening!M182</f>
        <v>787500.00000000012</v>
      </c>
      <c r="L11" s="33">
        <f>Assumption_Fattening!N18*Assumption_Fattening!N182</f>
        <v>787500.00000000012</v>
      </c>
      <c r="M11" s="33">
        <f>Assumption_Fattening!O18*Assumption_Fattening!O182</f>
        <v>787500.00000000012</v>
      </c>
      <c r="N11" s="33">
        <f>Assumption_Fattening!P18*Assumption_Fattening!P182</f>
        <v>787500.00000000012</v>
      </c>
      <c r="O11" s="33">
        <f>Assumption_Fattening!Q18*Assumption_Fattening!Q182</f>
        <v>787500.00000000012</v>
      </c>
      <c r="P11" s="33">
        <f>Assumption_Fattening!R18*Assumption_Fattening!R182</f>
        <v>787500.00000000012</v>
      </c>
      <c r="Q11" s="33">
        <f>Assumption_Fattening!S18*Assumption_Fattening!S182</f>
        <v>787500.00000000012</v>
      </c>
      <c r="R11" s="33">
        <f>Assumption_Fattening!T18*Assumption_Fattening!T182</f>
        <v>787500.00000000012</v>
      </c>
      <c r="S11" s="33">
        <f>Assumption_Fattening!U18*Assumption_Fattening!U182</f>
        <v>787500.00000000012</v>
      </c>
      <c r="T11" s="33">
        <f>Assumption_Fattening!V18*Assumption_Fattening!V182</f>
        <v>787500.00000000012</v>
      </c>
      <c r="U11" s="33">
        <f>Assumption_Fattening!W18*Assumption_Fattening!W182</f>
        <v>787500.00000000012</v>
      </c>
      <c r="V11" s="33">
        <f>Assumption_Fattening!X18*Assumption_Fattening!X182</f>
        <v>787500.00000000012</v>
      </c>
      <c r="W11" s="33">
        <f>Assumption_Fattening!Y18*Assumption_Fattening!Y182</f>
        <v>669375.00000000012</v>
      </c>
      <c r="X11" s="33">
        <f>Assumption_Fattening!Z18*Assumption_Fattening!Z182</f>
        <v>393750.00000000006</v>
      </c>
      <c r="Y11" s="33">
        <f>Assumption_Fattening!AA18*Assumption_Fattening!AA182</f>
        <v>118125.00000000001</v>
      </c>
      <c r="Z11" s="33">
        <f>Assumption_Fattening!AB18*Assumption_Fattening!AB182</f>
        <v>39375.000000000007</v>
      </c>
      <c r="AA11" s="33">
        <f>Assumption_Fattening!AC18*Assumption_Fattening!AC182</f>
        <v>0</v>
      </c>
    </row>
    <row r="12" spans="1:27" x14ac:dyDescent="0.25">
      <c r="A12" s="9" t="str">
        <f>Assumption_Fattening!B183</f>
        <v>Maintenance</v>
      </c>
      <c r="B12" s="33">
        <f>Assumption_Fattening!D18*Assumption_Fattening!D183</f>
        <v>0</v>
      </c>
      <c r="C12" s="33">
        <f>Assumption_Fattening!E18*Assumption_Fattening!E183</f>
        <v>420000</v>
      </c>
      <c r="D12" s="33">
        <f>Assumption_Fattening!F18*Assumption_Fattening!F183</f>
        <v>1400000</v>
      </c>
      <c r="E12" s="163">
        <f>Assumption_Fattening!G18*Assumption_Fattening!G183*(1+Assumption_Fattening!$X157)</f>
        <v>2512328</v>
      </c>
      <c r="F12" s="33">
        <f>Assumption_Fattening!H18*Assumption_Fattening!H183</f>
        <v>2660000</v>
      </c>
      <c r="G12" s="33">
        <f>Assumption_Fattening!I18*Assumption_Fattening!I183</f>
        <v>2800000</v>
      </c>
      <c r="H12" s="163">
        <f>Assumption_Fattening!J18*Assumption_Fattening!J183*(1+Assumption_Fattening!$X157)</f>
        <v>2955680</v>
      </c>
      <c r="I12" s="33">
        <f>Assumption_Fattening!K18*Assumption_Fattening!K183</f>
        <v>2800000</v>
      </c>
      <c r="J12" s="33">
        <f>Assumption_Fattening!L18*Assumption_Fattening!L183</f>
        <v>2800000</v>
      </c>
      <c r="K12" s="163">
        <f>Assumption_Fattening!M18*Assumption_Fattening!M183*(1+Assumption_Fattening!$X157)</f>
        <v>2955680</v>
      </c>
      <c r="L12" s="33">
        <f>Assumption_Fattening!N18*Assumption_Fattening!N183</f>
        <v>2800000</v>
      </c>
      <c r="M12" s="33">
        <f>Assumption_Fattening!O18*Assumption_Fattening!O183</f>
        <v>2800000</v>
      </c>
      <c r="N12" s="163">
        <f>Assumption_Fattening!P18*Assumption_Fattening!P183*(1+Assumption_Fattening!$X157)</f>
        <v>2955680</v>
      </c>
      <c r="O12" s="33">
        <f>Assumption_Fattening!Q18*Assumption_Fattening!Q183</f>
        <v>2800000</v>
      </c>
      <c r="P12" s="33">
        <f>Assumption_Fattening!R18*Assumption_Fattening!R183</f>
        <v>2800000</v>
      </c>
      <c r="Q12" s="163">
        <f>Assumption_Fattening!S18*Assumption_Fattening!S183*(1+Assumption_Fattening!$X157)</f>
        <v>2955680</v>
      </c>
      <c r="R12" s="33">
        <f>Assumption_Fattening!T18*Assumption_Fattening!T183</f>
        <v>2800000</v>
      </c>
      <c r="S12" s="33">
        <f>Assumption_Fattening!U18*Assumption_Fattening!U183</f>
        <v>2800000</v>
      </c>
      <c r="T12" s="163">
        <f>Assumption_Fattening!V18*Assumption_Fattening!V183*(1+Assumption_Fattening!$X157)</f>
        <v>2955680</v>
      </c>
      <c r="U12" s="33">
        <f>Assumption_Fattening!W18*Assumption_Fattening!W183</f>
        <v>2800000</v>
      </c>
      <c r="V12" s="33">
        <f>Assumption_Fattening!X18*Assumption_Fattening!X183</f>
        <v>2800000</v>
      </c>
      <c r="W12" s="163">
        <f>Assumption_Fattening!Y18*Assumption_Fattening!Y183*(1+Assumption_Fattening!$X157)</f>
        <v>2512328</v>
      </c>
      <c r="X12" s="33">
        <f>Assumption_Fattening!Z18*Assumption_Fattening!Z183</f>
        <v>1400000</v>
      </c>
      <c r="Y12" s="33">
        <f>Assumption_Fattening!AA18*Assumption_Fattening!AA183</f>
        <v>420000</v>
      </c>
      <c r="Z12" s="163">
        <f>Assumption_Fattening!AB18*Assumption_Fattening!AB183*(1+Assumption_Fattening!$X157)</f>
        <v>147784</v>
      </c>
      <c r="AA12" s="33">
        <f>Assumption_Fattening!AC18*Assumption_Fattening!AC183</f>
        <v>0</v>
      </c>
    </row>
    <row r="13" spans="1:27" x14ac:dyDescent="0.25">
      <c r="A13" s="9" t="str">
        <f>Assumption_Fattening!B184</f>
        <v>Feed</v>
      </c>
      <c r="B13" s="33">
        <f>Assumption_Fattening!D18*Assumption_Fattening!D184</f>
        <v>0</v>
      </c>
      <c r="C13" s="33">
        <f>Assumption_Fattening!E18*Assumption_Fattening!E184</f>
        <v>450000</v>
      </c>
      <c r="D13" s="33">
        <f>Assumption_Fattening!F18*Assumption_Fattening!F184</f>
        <v>1500000</v>
      </c>
      <c r="E13" s="163">
        <f>Assumption_Fattening!G18*Assumption_Fattening!G184*(1+Assumption_Fattening!$X158)</f>
        <v>2878312.5</v>
      </c>
      <c r="F13" s="33">
        <f>Assumption_Fattening!H18*Assumption_Fattening!H184</f>
        <v>2850000</v>
      </c>
      <c r="G13" s="33">
        <f>Assumption_Fattening!I18*Assumption_Fattening!I184</f>
        <v>3000000</v>
      </c>
      <c r="H13" s="163">
        <f>Assumption_Fattening!J18*Assumption_Fattening!J184*(1+Assumption_Fattening!$X158)</f>
        <v>3386250</v>
      </c>
      <c r="I13" s="33">
        <f>Assumption_Fattening!K18*Assumption_Fattening!K184</f>
        <v>3000000</v>
      </c>
      <c r="J13" s="33">
        <f>Assumption_Fattening!L18*Assumption_Fattening!L184</f>
        <v>3000000</v>
      </c>
      <c r="K13" s="163">
        <f>Assumption_Fattening!M18*Assumption_Fattening!M184*(1+Assumption_Fattening!$X158)</f>
        <v>3386250</v>
      </c>
      <c r="L13" s="33">
        <f>Assumption_Fattening!N18*Assumption_Fattening!N184</f>
        <v>3000000</v>
      </c>
      <c r="M13" s="33">
        <f>Assumption_Fattening!O18*Assumption_Fattening!O184</f>
        <v>3000000</v>
      </c>
      <c r="N13" s="163">
        <f>Assumption_Fattening!P18*Assumption_Fattening!P184*(1+Assumption_Fattening!$X158)</f>
        <v>3386250</v>
      </c>
      <c r="O13" s="33">
        <f>Assumption_Fattening!Q18*Assumption_Fattening!Q184</f>
        <v>3000000</v>
      </c>
      <c r="P13" s="33">
        <f>Assumption_Fattening!R18*Assumption_Fattening!R184</f>
        <v>3000000</v>
      </c>
      <c r="Q13" s="163">
        <f>Assumption_Fattening!S18*Assumption_Fattening!S184*(1+Assumption_Fattening!$X158)</f>
        <v>3386250</v>
      </c>
      <c r="R13" s="33">
        <f>Assumption_Fattening!T18*Assumption_Fattening!T184</f>
        <v>3000000</v>
      </c>
      <c r="S13" s="33">
        <f>Assumption_Fattening!U18*Assumption_Fattening!U184</f>
        <v>3000000</v>
      </c>
      <c r="T13" s="163">
        <f>Assumption_Fattening!V18*Assumption_Fattening!V184*(1+Assumption_Fattening!$X158)</f>
        <v>3386250</v>
      </c>
      <c r="U13" s="33">
        <f>Assumption_Fattening!W18*Assumption_Fattening!W184</f>
        <v>3000000</v>
      </c>
      <c r="V13" s="33">
        <f>Assumption_Fattening!X18*Assumption_Fattening!X184</f>
        <v>3000000</v>
      </c>
      <c r="W13" s="163">
        <f>Assumption_Fattening!Y18*Assumption_Fattening!Y184*(1+Assumption_Fattening!$X158)</f>
        <v>2878312.5</v>
      </c>
      <c r="X13" s="33">
        <f>Assumption_Fattening!Z18*Assumption_Fattening!Z184</f>
        <v>1500000</v>
      </c>
      <c r="Y13" s="33">
        <f>Assumption_Fattening!AA18*Assumption_Fattening!AA184</f>
        <v>450000</v>
      </c>
      <c r="Z13" s="163">
        <f>Assumption_Fattening!AB18*Assumption_Fattening!AB184*(1+Assumption_Fattening!$X158)</f>
        <v>169312.5</v>
      </c>
      <c r="AA13" s="33">
        <f>Assumption_Fattening!AC18*Assumption_Fattening!AC184</f>
        <v>0</v>
      </c>
    </row>
    <row r="14" spans="1:27" s="50" customFormat="1" x14ac:dyDescent="0.25">
      <c r="A14" s="52" t="s">
        <v>131</v>
      </c>
      <c r="B14" s="49">
        <f>Assumption_Fattening!D43</f>
        <v>0</v>
      </c>
      <c r="C14" s="49">
        <f>Assumption_Fattening!E43</f>
        <v>1692600</v>
      </c>
      <c r="D14" s="49">
        <f>Assumption_Fattening!F43</f>
        <v>3949400</v>
      </c>
      <c r="E14" s="49">
        <f>Assumption_Fattening!G43</f>
        <v>3949400</v>
      </c>
      <c r="F14" s="49">
        <f>Assumption_Fattening!H43</f>
        <v>1128400</v>
      </c>
      <c r="G14" s="49">
        <f>Assumption_Fattening!I43</f>
        <v>564200</v>
      </c>
      <c r="H14" s="49">
        <f>Assumption_Fattening!J43</f>
        <v>0</v>
      </c>
      <c r="I14" s="49">
        <f>Assumption_Fattening!K43</f>
        <v>0</v>
      </c>
      <c r="J14" s="49">
        <f>Assumption_Fattening!L43</f>
        <v>0</v>
      </c>
      <c r="K14" s="49">
        <f>Assumption_Fattening!M43</f>
        <v>0</v>
      </c>
      <c r="L14" s="49">
        <f>Assumption_Fattening!N43</f>
        <v>0</v>
      </c>
      <c r="M14" s="49">
        <f>Assumption_Fattening!O43</f>
        <v>0</v>
      </c>
      <c r="N14" s="49">
        <f>Assumption_Fattening!P43</f>
        <v>0</v>
      </c>
      <c r="O14" s="49">
        <f>Assumption_Fattening!Q43</f>
        <v>0</v>
      </c>
      <c r="P14" s="49">
        <f>Assumption_Fattening!R43</f>
        <v>0</v>
      </c>
      <c r="Q14" s="49">
        <f>Assumption_Fattening!S43</f>
        <v>0</v>
      </c>
      <c r="R14" s="49">
        <f>Assumption_Fattening!T43</f>
        <v>0</v>
      </c>
      <c r="S14" s="49">
        <f>Assumption_Fattening!U43</f>
        <v>0</v>
      </c>
      <c r="T14" s="49">
        <f>Assumption_Fattening!V43</f>
        <v>0</v>
      </c>
      <c r="U14" s="49">
        <f>Assumption_Fattening!W43</f>
        <v>0</v>
      </c>
      <c r="V14" s="49">
        <f>Assumption_Fattening!X43</f>
        <v>0</v>
      </c>
      <c r="W14" s="49">
        <f>Assumption_Fattening!Y43</f>
        <v>0</v>
      </c>
      <c r="X14" s="49">
        <f>Assumption_Fattening!Z43</f>
        <v>0</v>
      </c>
      <c r="Y14" s="49">
        <f>Assumption_Fattening!AA43</f>
        <v>0</v>
      </c>
      <c r="Z14" s="49">
        <f>Assumption_Fattening!AB43</f>
        <v>0</v>
      </c>
      <c r="AA14" s="49">
        <f>Assumption_Fattening!AC43</f>
        <v>0</v>
      </c>
    </row>
    <row r="15" spans="1:27" x14ac:dyDescent="0.25">
      <c r="A15" s="117" t="s">
        <v>54</v>
      </c>
      <c r="B15" s="37">
        <f t="shared" ref="B15:AA15" si="1">SUM(B10:B14)</f>
        <v>0</v>
      </c>
      <c r="C15" s="37">
        <f t="shared" si="1"/>
        <v>3580725</v>
      </c>
      <c r="D15" s="37">
        <f t="shared" si="1"/>
        <v>9343150</v>
      </c>
      <c r="E15" s="37">
        <f t="shared" si="1"/>
        <v>12109415.5</v>
      </c>
      <c r="F15" s="37">
        <f t="shared" si="1"/>
        <v>7986525</v>
      </c>
      <c r="G15" s="37">
        <f t="shared" si="1"/>
        <v>7451700</v>
      </c>
      <c r="H15" s="37">
        <f t="shared" si="1"/>
        <v>7129430</v>
      </c>
      <c r="I15" s="37">
        <f t="shared" si="1"/>
        <v>6587500</v>
      </c>
      <c r="J15" s="37">
        <f t="shared" si="1"/>
        <v>6587500</v>
      </c>
      <c r="K15" s="37">
        <f t="shared" si="1"/>
        <v>7129430</v>
      </c>
      <c r="L15" s="37">
        <f t="shared" si="1"/>
        <v>6587500</v>
      </c>
      <c r="M15" s="37">
        <f t="shared" si="1"/>
        <v>6587500</v>
      </c>
      <c r="N15" s="37">
        <f t="shared" si="1"/>
        <v>7129430</v>
      </c>
      <c r="O15" s="37">
        <f t="shared" si="1"/>
        <v>6587500</v>
      </c>
      <c r="P15" s="37">
        <f t="shared" si="1"/>
        <v>6587500</v>
      </c>
      <c r="Q15" s="37">
        <f t="shared" si="1"/>
        <v>7129430</v>
      </c>
      <c r="R15" s="37">
        <f t="shared" si="1"/>
        <v>6587500</v>
      </c>
      <c r="S15" s="37">
        <f t="shared" si="1"/>
        <v>6587500</v>
      </c>
      <c r="T15" s="37">
        <f t="shared" si="1"/>
        <v>7129430</v>
      </c>
      <c r="U15" s="37">
        <f t="shared" si="1"/>
        <v>6587500</v>
      </c>
      <c r="V15" s="37">
        <f t="shared" si="1"/>
        <v>6587500</v>
      </c>
      <c r="W15" s="37">
        <f t="shared" si="1"/>
        <v>6060015.5</v>
      </c>
      <c r="X15" s="37">
        <f t="shared" si="1"/>
        <v>3293750</v>
      </c>
      <c r="Y15" s="37">
        <f t="shared" si="1"/>
        <v>988125</v>
      </c>
      <c r="Z15" s="37">
        <f t="shared" si="1"/>
        <v>356471.5</v>
      </c>
      <c r="AA15" s="37">
        <f t="shared" si="1"/>
        <v>0</v>
      </c>
    </row>
    <row r="16" spans="1:27" x14ac:dyDescent="0.25">
      <c r="B16" s="32"/>
      <c r="C16" s="32"/>
      <c r="D16" s="32"/>
      <c r="E16" s="32"/>
      <c r="F16" s="32"/>
      <c r="G16" s="32"/>
      <c r="H16" s="32"/>
      <c r="I16" s="32"/>
      <c r="J16" s="32"/>
      <c r="K16" s="32"/>
      <c r="L16" s="32"/>
    </row>
    <row r="17" spans="1:28" x14ac:dyDescent="0.25">
      <c r="A17" s="23" t="s">
        <v>55</v>
      </c>
      <c r="B17" s="34">
        <f t="shared" ref="B17:AA17" si="2">B7-B15</f>
        <v>0</v>
      </c>
      <c r="C17" s="34">
        <f t="shared" si="2"/>
        <v>-2363801.25</v>
      </c>
      <c r="D17" s="34">
        <f t="shared" si="2"/>
        <v>-5246173.375</v>
      </c>
      <c r="E17" s="34">
        <f t="shared" si="2"/>
        <v>-7611726.3943607034</v>
      </c>
      <c r="F17" s="34">
        <f t="shared" si="2"/>
        <v>-45805.875191249885</v>
      </c>
      <c r="G17" s="34">
        <f t="shared" si="2"/>
        <v>990538.22742825001</v>
      </c>
      <c r="H17" s="34">
        <f t="shared" si="2"/>
        <v>-1677696.3726714421</v>
      </c>
      <c r="I17" s="34">
        <f t="shared" si="2"/>
        <v>2024427.215799557</v>
      </c>
      <c r="J17" s="34">
        <f t="shared" si="2"/>
        <v>2110546.4879575539</v>
      </c>
      <c r="K17" s="34">
        <f t="shared" si="2"/>
        <v>-1512503.3920297595</v>
      </c>
      <c r="L17" s="34">
        <f t="shared" si="2"/>
        <v>2285377.2223655023</v>
      </c>
      <c r="M17" s="34">
        <f t="shared" si="2"/>
        <v>2374105.9945891555</v>
      </c>
      <c r="N17" s="34">
        <f t="shared" si="2"/>
        <v>-1342304.8988816543</v>
      </c>
      <c r="O17" s="34">
        <f t="shared" si="2"/>
        <v>2554234.2750803977</v>
      </c>
      <c r="P17" s="34">
        <f t="shared" si="2"/>
        <v>2645651.6178312041</v>
      </c>
      <c r="Q17" s="34">
        <f t="shared" si="2"/>
        <v>-1166949.2211926673</v>
      </c>
      <c r="R17" s="34">
        <f t="shared" si="2"/>
        <v>2831237.9653496109</v>
      </c>
      <c r="S17" s="34">
        <f t="shared" si="2"/>
        <v>2925425.3450031076</v>
      </c>
      <c r="T17" s="34">
        <f t="shared" si="2"/>
        <v>-986280.09111402463</v>
      </c>
      <c r="U17" s="34">
        <f t="shared" si="2"/>
        <v>3116635.144437667</v>
      </c>
      <c r="V17" s="34">
        <f t="shared" si="2"/>
        <v>3213676.4958820455</v>
      </c>
      <c r="W17" s="34">
        <f t="shared" si="2"/>
        <v>-680116.02986614127</v>
      </c>
      <c r="X17" s="34">
        <f t="shared" si="2"/>
        <v>1705340.0717246383</v>
      </c>
      <c r="Y17" s="34">
        <f t="shared" si="2"/>
        <v>526599.29173256503</v>
      </c>
      <c r="Z17" s="34">
        <f t="shared" si="2"/>
        <v>-30417.629177741939</v>
      </c>
      <c r="AA17" s="34">
        <f t="shared" si="2"/>
        <v>0</v>
      </c>
    </row>
    <row r="18" spans="1:28" x14ac:dyDescent="0.25">
      <c r="B18" s="32"/>
      <c r="C18" s="32"/>
      <c r="D18" s="32"/>
      <c r="E18" s="32"/>
      <c r="F18" s="32"/>
      <c r="G18" s="32"/>
      <c r="H18" s="32"/>
      <c r="I18" s="32"/>
      <c r="J18" s="32"/>
      <c r="K18" s="32"/>
      <c r="L18" s="32"/>
    </row>
    <row r="19" spans="1:28" s="12" customFormat="1" x14ac:dyDescent="0.25">
      <c r="A19" s="10" t="s">
        <v>319</v>
      </c>
      <c r="B19" s="346">
        <f>B7/(1+Assumption_Fattening!$C76)^'RCP 8.5_Fattening'!B4</f>
        <v>0</v>
      </c>
      <c r="C19" s="346">
        <f>C7/(1+Assumption_Fattening!$C76)^'RCP 8.5_Fattening'!C4</f>
        <v>1148041.2735849055</v>
      </c>
      <c r="D19" s="346">
        <f>D7/(1+Assumption_Fattening!$C76)^'RCP 8.5_Fattening'!D4</f>
        <v>3646294.6110715554</v>
      </c>
      <c r="E19" s="346">
        <f>E7/(1+Assumption_Fattening!$C76)^'RCP 8.5_Fattening'!E4</f>
        <v>3776346.5021790601</v>
      </c>
      <c r="F19" s="346">
        <f>F7/(1+Assumption_Fattening!$C76)^'RCP 8.5_Fattening'!F4</f>
        <v>6289793.3003139701</v>
      </c>
      <c r="G19" s="346">
        <f>G7/(1+Assumption_Fattening!$C76)^'RCP 8.5_Fattening'!G4</f>
        <v>6308531.5127280131</v>
      </c>
      <c r="H19" s="346">
        <f>H7/(1+Assumption_Fattening!$C76)^'RCP 8.5_Fattening'!H4</f>
        <v>3843257.084254697</v>
      </c>
      <c r="I19" s="346">
        <f>I7/(1+Assumption_Fattening!$C76)^'RCP 8.5_Fattening'!I4</f>
        <v>5727423.4568652939</v>
      </c>
      <c r="J19" s="346">
        <f>J7/(1+Assumption_Fattening!$C76)^'RCP 8.5_Fattening'!J4</f>
        <v>5457261.9730508942</v>
      </c>
      <c r="K19" s="346">
        <f>K7/(1+Assumption_Fattening!$C76)^'RCP 8.5_Fattening'!K4</f>
        <v>3324650.2290185005</v>
      </c>
      <c r="L19" s="346">
        <f>L7/(1+Assumption_Fattening!$C76)^'RCP 8.5_Fattening'!L4</f>
        <v>4954568.2971780151</v>
      </c>
      <c r="M19" s="346">
        <f>M7/(1+Assumption_Fattening!$C76)^'RCP 8.5_Fattening'!M4</f>
        <v>4720862.245424334</v>
      </c>
      <c r="N19" s="346">
        <f>N7/(1+Assumption_Fattening!$C76)^'RCP 8.5_Fattening'!N4</f>
        <v>2876023.8784432691</v>
      </c>
      <c r="O19" s="346">
        <f>O7/(1+Assumption_Fattening!$C76)^'RCP 8.5_Fattening'!O4</f>
        <v>4286001.7591290157</v>
      </c>
      <c r="P19" s="346">
        <f>P7/(1+Assumption_Fattening!$C76)^'RCP 8.5_Fattening'!P4</f>
        <v>4083831.8648304786</v>
      </c>
      <c r="Q19" s="346">
        <f>Q7/(1+Assumption_Fattening!$C76)^'RCP 8.5_Fattening'!Q4</f>
        <v>2487934.9043035335</v>
      </c>
      <c r="R19" s="346">
        <f>R7/(1+Assumption_Fattening!$C76)^'RCP 8.5_Fattening'!R4</f>
        <v>3707651.197324289</v>
      </c>
      <c r="S19" s="346">
        <f>S7/(1+Assumption_Fattening!$C76)^'RCP 8.5_Fattening'!S4</f>
        <v>3532761.9899033317</v>
      </c>
      <c r="T19" s="346">
        <f>T7/(1+Assumption_Fattening!$C76)^'RCP 8.5_Fattening'!T4</f>
        <v>2152214.4285541386</v>
      </c>
      <c r="U19" s="346">
        <f>U7/(1+Assumption_Fattening!$C76)^'RCP 8.5_Fattening'!U4</f>
        <v>3207342.9208796611</v>
      </c>
      <c r="V19" s="346">
        <f>V7/(1+Assumption_Fattening!$C76)^'RCP 8.5_Fattening'!V4</f>
        <v>3056053.1604608097</v>
      </c>
      <c r="W19" s="346">
        <f>W7/(1+Assumption_Fattening!$C76)^'RCP 8.5_Fattening'!W4</f>
        <v>1582526.4952449782</v>
      </c>
      <c r="X19" s="346">
        <f>X7/(1+Assumption_Fattening!$C76)^'RCP 8.5_Fattening'!X4</f>
        <v>1387272.9748069027</v>
      </c>
      <c r="Y19" s="346">
        <f>Y7/(1+Assumption_Fattening!$C76)^'RCP 8.5_Fattening'!Y4</f>
        <v>396550.67110046354</v>
      </c>
      <c r="Z19" s="346">
        <f>Z7/(1+Assumption_Fattening!$C76)^'RCP 8.5_Fattening'!Z4</f>
        <v>80528.311694404911</v>
      </c>
      <c r="AA19" s="346">
        <f>AA7/(1+Assumption_Fattening!$C76)^'RCP 8.5_Fattening'!AA4</f>
        <v>0</v>
      </c>
      <c r="AB19" s="343">
        <f>SUM(B19:AA19)</f>
        <v>82033725.042344525</v>
      </c>
    </row>
    <row r="20" spans="1:28" s="12" customFormat="1" x14ac:dyDescent="0.25">
      <c r="A20" s="10" t="s">
        <v>320</v>
      </c>
      <c r="B20" s="346">
        <f>B15/(1+Assumption_Fattening!$C76)^'RCP 8.5_Fattening'!B4</f>
        <v>0</v>
      </c>
      <c r="C20" s="346">
        <f>C15/(1+Assumption_Fattening!$C76)^'RCP 8.5_Fattening'!C4</f>
        <v>3378042.4528301884</v>
      </c>
      <c r="D20" s="346">
        <f>D15/(1+Assumption_Fattening!$C76)^'RCP 8.5_Fattening'!D4</f>
        <v>8315370.2385190446</v>
      </c>
      <c r="E20" s="346">
        <f>E15/(1+Assumption_Fattening!$C76)^'RCP 8.5_Fattening'!E4</f>
        <v>10167298.760050241</v>
      </c>
      <c r="F20" s="346">
        <f>F15/(1+Assumption_Fattening!$C76)^'RCP 8.5_Fattening'!F4</f>
        <v>6326075.8437920306</v>
      </c>
      <c r="G20" s="346">
        <f>G15/(1+Assumption_Fattening!$C76)^'RCP 8.5_Fattening'!G4</f>
        <v>5568343.7267459957</v>
      </c>
      <c r="H20" s="346">
        <f>H15/(1+Assumption_Fattening!$C76)^'RCP 8.5_Fattening'!H4</f>
        <v>5025966.8258268414</v>
      </c>
      <c r="I20" s="346">
        <f>I15/(1+Assumption_Fattening!$C76)^'RCP 8.5_Fattening'!I4</f>
        <v>4381063.7359871389</v>
      </c>
      <c r="J20" s="346">
        <f>J15/(1+Assumption_Fattening!$C76)^'RCP 8.5_Fattening'!J4</f>
        <v>4133078.9962142822</v>
      </c>
      <c r="K20" s="346">
        <f>K15/(1+Assumption_Fattening!$C76)^'RCP 8.5_Fattening'!K4</f>
        <v>4219898.6628448665</v>
      </c>
      <c r="L20" s="346">
        <f>L15/(1+Assumption_Fattening!$C76)^'RCP 8.5_Fattening'!L4</f>
        <v>3678425.5929283388</v>
      </c>
      <c r="M20" s="346">
        <f>M15/(1+Assumption_Fattening!$C76)^'RCP 8.5_Fattening'!M4</f>
        <v>3470212.8235173002</v>
      </c>
      <c r="N20" s="346">
        <f>N15/(1+Assumption_Fattening!$C76)^'RCP 8.5_Fattening'!N4</f>
        <v>3543108.2897667745</v>
      </c>
      <c r="O20" s="346">
        <f>O15/(1+Assumption_Fattening!$C76)^'RCP 8.5_Fattening'!O4</f>
        <v>3088477.0590221607</v>
      </c>
      <c r="P20" s="346">
        <f>P15/(1+Assumption_Fattening!$C76)^'RCP 8.5_Fattening'!P4</f>
        <v>2913657.6028510951</v>
      </c>
      <c r="Q20" s="346">
        <f>Q15/(1+Assumption_Fattening!$C76)^'RCP 8.5_Fattening'!Q4</f>
        <v>2974862.0419597835</v>
      </c>
      <c r="R20" s="346">
        <f>R15/(1+Assumption_Fattening!$C76)^'RCP 8.5_Fattening'!R4</f>
        <v>2593144.893957899</v>
      </c>
      <c r="S20" s="346">
        <f>S15/(1+Assumption_Fattening!$C76)^'RCP 8.5_Fattening'!S4</f>
        <v>2446363.1075074514</v>
      </c>
      <c r="T20" s="346">
        <f>T15/(1+Assumption_Fattening!$C76)^'RCP 8.5_Fattening'!T4</f>
        <v>2497751.5347902831</v>
      </c>
      <c r="U20" s="346">
        <f>U15/(1+Assumption_Fattening!$C76)^'RCP 8.5_Fattening'!U4</f>
        <v>2177254.4566638051</v>
      </c>
      <c r="V20" s="346">
        <f>V15/(1+Assumption_Fattening!$C76)^'RCP 8.5_Fattening'!V4</f>
        <v>2054013.6383620801</v>
      </c>
      <c r="W20" s="346">
        <f>W15/(1+Assumption_Fattening!$C76)^'RCP 8.5_Fattening'!W4</f>
        <v>1782586.2999084312</v>
      </c>
      <c r="X20" s="346">
        <f>X15/(1+Assumption_Fattening!$C76)^'RCP 8.5_Fattening'!X4</f>
        <v>914032.41294147365</v>
      </c>
      <c r="Y20" s="346">
        <f>Y15/(1+Assumption_Fattening!$C76)^'RCP 8.5_Fattening'!Y4</f>
        <v>258688.41875702082</v>
      </c>
      <c r="Z20" s="346">
        <f>Z15/(1+Assumption_Fattening!$C76)^'RCP 8.5_Fattening'!Z4</f>
        <v>88040.81359248946</v>
      </c>
      <c r="AA20" s="346">
        <f>AA15/(1+Assumption_Fattening!$C76)^'RCP 8.5_Fattening'!AA4</f>
        <v>0</v>
      </c>
      <c r="AB20" s="343">
        <f>SUM(B20:AA20)</f>
        <v>85995758.229337007</v>
      </c>
    </row>
    <row r="21" spans="1:28" x14ac:dyDescent="0.25">
      <c r="B21" s="32"/>
      <c r="C21" s="32"/>
      <c r="D21" s="32"/>
      <c r="E21" s="32"/>
      <c r="F21" s="32"/>
      <c r="G21" s="32"/>
      <c r="H21" s="32"/>
      <c r="I21" s="32"/>
      <c r="J21" s="32"/>
      <c r="K21" s="32"/>
      <c r="L21" s="32"/>
    </row>
    <row r="22" spans="1:28" s="12" customFormat="1" x14ac:dyDescent="0.25">
      <c r="A22" s="25" t="s">
        <v>318</v>
      </c>
      <c r="B22" s="35">
        <f>NPV(Assumption_Hatchery!C76,C17:Z17)+B17</f>
        <v>-3962033.1869925009</v>
      </c>
      <c r="C22" s="40"/>
      <c r="D22" s="40"/>
      <c r="E22" s="40"/>
      <c r="F22" s="40"/>
      <c r="G22" s="40"/>
      <c r="H22" s="40"/>
      <c r="I22" s="40"/>
      <c r="J22" s="40"/>
      <c r="K22" s="40"/>
      <c r="L22" s="40"/>
    </row>
    <row r="24" spans="1:28" s="12" customFormat="1" x14ac:dyDescent="0.25">
      <c r="A24" s="25" t="s">
        <v>238</v>
      </c>
      <c r="B24" s="36">
        <f>IRR(B17:Z17)</f>
        <v>2.9154210083468746E-2</v>
      </c>
      <c r="C24" s="4"/>
      <c r="D24" s="4"/>
      <c r="E24" s="4"/>
      <c r="F24" s="4"/>
      <c r="G24" s="4"/>
      <c r="H24" s="4"/>
      <c r="I24" s="4"/>
      <c r="J24" s="4"/>
      <c r="K24" s="4"/>
      <c r="L24" s="4"/>
    </row>
    <row r="27" spans="1:28" s="1" customFormat="1" x14ac:dyDescent="0.25">
      <c r="A27" s="24"/>
      <c r="B27" s="42"/>
      <c r="C27" s="42"/>
      <c r="D27" s="42"/>
      <c r="E27" s="42"/>
      <c r="F27" s="42"/>
      <c r="G27" s="42"/>
      <c r="H27" s="42"/>
      <c r="I27" s="42"/>
      <c r="J27" s="42"/>
      <c r="K27" s="42"/>
      <c r="L27" s="42"/>
    </row>
    <row r="29" spans="1:28" ht="38.25" customHeight="1" x14ac:dyDescent="0.25">
      <c r="A29" s="11" t="str">
        <f>A2</f>
        <v>Aggregate Economic Analysis</v>
      </c>
      <c r="B29" s="30"/>
      <c r="C29" s="69"/>
      <c r="D29" s="70"/>
      <c r="E29" s="30"/>
      <c r="F29" s="116" t="s">
        <v>90</v>
      </c>
      <c r="G29" s="30"/>
      <c r="H29" s="30"/>
      <c r="I29" s="30"/>
      <c r="J29" s="30"/>
      <c r="K29" s="30"/>
      <c r="L29" s="30"/>
      <c r="M29" s="11"/>
    </row>
    <row r="30" spans="1:28" ht="38.25" customHeight="1" x14ac:dyDescent="0.25">
      <c r="A30" s="11"/>
      <c r="B30" s="30"/>
      <c r="C30" s="69"/>
      <c r="D30" s="70"/>
      <c r="E30" s="30"/>
      <c r="F30" s="116"/>
      <c r="G30" s="30"/>
      <c r="H30" s="30"/>
      <c r="I30" s="30"/>
      <c r="J30" s="30"/>
      <c r="K30" s="30"/>
      <c r="L30" s="30"/>
      <c r="M30" s="11"/>
    </row>
    <row r="31" spans="1:28" x14ac:dyDescent="0.25">
      <c r="A31" s="10" t="s">
        <v>19</v>
      </c>
      <c r="B31" s="26">
        <v>0</v>
      </c>
      <c r="C31" s="26">
        <v>1</v>
      </c>
      <c r="D31" s="26">
        <v>2</v>
      </c>
      <c r="E31" s="26">
        <v>3</v>
      </c>
      <c r="F31" s="26">
        <v>4</v>
      </c>
      <c r="G31" s="26">
        <v>5</v>
      </c>
      <c r="H31" s="26">
        <v>6</v>
      </c>
      <c r="I31" s="26">
        <v>7</v>
      </c>
      <c r="J31" s="26">
        <v>8</v>
      </c>
      <c r="K31" s="26">
        <v>9</v>
      </c>
      <c r="L31" s="26">
        <v>10</v>
      </c>
      <c r="M31" s="26">
        <v>11</v>
      </c>
      <c r="N31" s="26">
        <v>12</v>
      </c>
      <c r="O31" s="26">
        <v>13</v>
      </c>
      <c r="P31" s="26">
        <v>14</v>
      </c>
      <c r="Q31" s="26">
        <v>15</v>
      </c>
      <c r="R31" s="26">
        <v>16</v>
      </c>
      <c r="S31" s="26">
        <v>17</v>
      </c>
      <c r="T31" s="26">
        <v>18</v>
      </c>
      <c r="U31" s="26">
        <v>19</v>
      </c>
      <c r="V31" s="26">
        <v>20</v>
      </c>
      <c r="W31" s="26">
        <v>21</v>
      </c>
      <c r="X31" s="26">
        <v>22</v>
      </c>
      <c r="Y31" s="26">
        <v>23</v>
      </c>
      <c r="Z31" s="26">
        <v>24</v>
      </c>
      <c r="AA31" s="26">
        <v>25</v>
      </c>
    </row>
    <row r="32" spans="1:28" x14ac:dyDescent="0.25">
      <c r="A32" s="23" t="s">
        <v>3</v>
      </c>
    </row>
    <row r="33" spans="1:28" x14ac:dyDescent="0.25">
      <c r="A33" s="10" t="str">
        <f t="shared" ref="A33:AA33" si="3">A6</f>
        <v>Crab Sale ($)</v>
      </c>
      <c r="B33" s="31">
        <f t="shared" si="3"/>
        <v>0</v>
      </c>
      <c r="C33" s="31">
        <f t="shared" si="3"/>
        <v>1216923.75</v>
      </c>
      <c r="D33" s="31">
        <f t="shared" si="3"/>
        <v>4096976.625</v>
      </c>
      <c r="E33" s="31">
        <f t="shared" si="3"/>
        <v>4497689.1056392966</v>
      </c>
      <c r="F33" s="31">
        <f t="shared" si="3"/>
        <v>7940719.1248087501</v>
      </c>
      <c r="G33" s="31">
        <f t="shared" si="3"/>
        <v>8442238.22742825</v>
      </c>
      <c r="H33" s="31">
        <f t="shared" si="3"/>
        <v>5451733.6273285579</v>
      </c>
      <c r="I33" s="31">
        <f t="shared" si="3"/>
        <v>8611927.215799557</v>
      </c>
      <c r="J33" s="31">
        <f t="shared" si="3"/>
        <v>8698046.4879575539</v>
      </c>
      <c r="K33" s="31">
        <f t="shared" si="3"/>
        <v>5616926.6079702405</v>
      </c>
      <c r="L33" s="31">
        <f t="shared" si="3"/>
        <v>8872877.2223655023</v>
      </c>
      <c r="M33" s="31">
        <f t="shared" si="3"/>
        <v>8961605.9945891555</v>
      </c>
      <c r="N33" s="31">
        <f t="shared" si="3"/>
        <v>5787125.1011183457</v>
      </c>
      <c r="O33" s="31">
        <f t="shared" si="3"/>
        <v>9141734.2750803977</v>
      </c>
      <c r="P33" s="31">
        <f t="shared" si="3"/>
        <v>9233151.6178312041</v>
      </c>
      <c r="Q33" s="31">
        <f t="shared" si="3"/>
        <v>5962480.7788073327</v>
      </c>
      <c r="R33" s="31">
        <f t="shared" si="3"/>
        <v>9418737.9653496109</v>
      </c>
      <c r="S33" s="31">
        <f t="shared" si="3"/>
        <v>9512925.3450031076</v>
      </c>
      <c r="T33" s="31">
        <f t="shared" si="3"/>
        <v>6143149.9088859754</v>
      </c>
      <c r="U33" s="31">
        <f t="shared" si="3"/>
        <v>9704135.144437667</v>
      </c>
      <c r="V33" s="31">
        <f t="shared" si="3"/>
        <v>9801176.4958820455</v>
      </c>
      <c r="W33" s="31">
        <f t="shared" si="3"/>
        <v>5379899.4701338587</v>
      </c>
      <c r="X33" s="31">
        <f t="shared" si="3"/>
        <v>4999090.0717246383</v>
      </c>
      <c r="Y33" s="31">
        <f t="shared" si="3"/>
        <v>1514724.291732565</v>
      </c>
      <c r="Z33" s="31">
        <f t="shared" si="3"/>
        <v>326053.87082225806</v>
      </c>
      <c r="AA33" s="31">
        <f t="shared" si="3"/>
        <v>0</v>
      </c>
    </row>
    <row r="34" spans="1:28" s="12" customFormat="1" x14ac:dyDescent="0.25">
      <c r="A34" s="23" t="s">
        <v>53</v>
      </c>
      <c r="B34" s="38">
        <f t="shared" ref="B34:AA34" si="4">B7</f>
        <v>0</v>
      </c>
      <c r="C34" s="38">
        <f t="shared" si="4"/>
        <v>1216923.75</v>
      </c>
      <c r="D34" s="38">
        <f t="shared" si="4"/>
        <v>4096976.625</v>
      </c>
      <c r="E34" s="38">
        <f t="shared" si="4"/>
        <v>4497689.1056392966</v>
      </c>
      <c r="F34" s="38">
        <f t="shared" si="4"/>
        <v>7940719.1248087501</v>
      </c>
      <c r="G34" s="38">
        <f t="shared" si="4"/>
        <v>8442238.22742825</v>
      </c>
      <c r="H34" s="38">
        <f t="shared" si="4"/>
        <v>5451733.6273285579</v>
      </c>
      <c r="I34" s="38">
        <f t="shared" si="4"/>
        <v>8611927.215799557</v>
      </c>
      <c r="J34" s="38">
        <f t="shared" si="4"/>
        <v>8698046.4879575539</v>
      </c>
      <c r="K34" s="38">
        <f t="shared" si="4"/>
        <v>5616926.6079702405</v>
      </c>
      <c r="L34" s="38">
        <f t="shared" si="4"/>
        <v>8872877.2223655023</v>
      </c>
      <c r="M34" s="38">
        <f t="shared" si="4"/>
        <v>8961605.9945891555</v>
      </c>
      <c r="N34" s="38">
        <f t="shared" si="4"/>
        <v>5787125.1011183457</v>
      </c>
      <c r="O34" s="38">
        <f t="shared" si="4"/>
        <v>9141734.2750803977</v>
      </c>
      <c r="P34" s="38">
        <f t="shared" si="4"/>
        <v>9233151.6178312041</v>
      </c>
      <c r="Q34" s="38">
        <f t="shared" si="4"/>
        <v>5962480.7788073327</v>
      </c>
      <c r="R34" s="38">
        <f t="shared" si="4"/>
        <v>9418737.9653496109</v>
      </c>
      <c r="S34" s="38">
        <f t="shared" si="4"/>
        <v>9512925.3450031076</v>
      </c>
      <c r="T34" s="38">
        <f t="shared" si="4"/>
        <v>6143149.9088859754</v>
      </c>
      <c r="U34" s="38">
        <f t="shared" si="4"/>
        <v>9704135.144437667</v>
      </c>
      <c r="V34" s="38">
        <f t="shared" si="4"/>
        <v>9801176.4958820455</v>
      </c>
      <c r="W34" s="38">
        <f t="shared" si="4"/>
        <v>5379899.4701338587</v>
      </c>
      <c r="X34" s="38">
        <f t="shared" si="4"/>
        <v>4999090.0717246383</v>
      </c>
      <c r="Y34" s="38">
        <f t="shared" si="4"/>
        <v>1514724.291732565</v>
      </c>
      <c r="Z34" s="38">
        <f t="shared" si="4"/>
        <v>326053.87082225806</v>
      </c>
      <c r="AA34" s="38">
        <f t="shared" si="4"/>
        <v>0</v>
      </c>
    </row>
    <row r="35" spans="1:28" x14ac:dyDescent="0.25">
      <c r="A35" s="23"/>
      <c r="B35" s="41"/>
      <c r="C35" s="41"/>
      <c r="D35" s="41"/>
      <c r="E35" s="41"/>
      <c r="F35" s="41"/>
      <c r="G35" s="41"/>
      <c r="H35" s="41"/>
      <c r="I35" s="41"/>
      <c r="J35" s="41"/>
      <c r="K35" s="41"/>
    </row>
    <row r="36" spans="1:28" x14ac:dyDescent="0.25">
      <c r="A36" s="23" t="s">
        <v>20</v>
      </c>
    </row>
    <row r="37" spans="1:28" x14ac:dyDescent="0.25">
      <c r="A37" s="9" t="str">
        <f t="shared" ref="A37:AA37" si="5">A10</f>
        <v>Crab Farm Establishment</v>
      </c>
      <c r="B37" s="33">
        <f t="shared" si="5"/>
        <v>0</v>
      </c>
      <c r="C37" s="33">
        <f t="shared" si="5"/>
        <v>900000</v>
      </c>
      <c r="D37" s="33">
        <f t="shared" si="5"/>
        <v>2100000</v>
      </c>
      <c r="E37" s="33">
        <f t="shared" si="5"/>
        <v>2100000</v>
      </c>
      <c r="F37" s="33">
        <f t="shared" si="5"/>
        <v>600000</v>
      </c>
      <c r="G37" s="33">
        <f t="shared" si="5"/>
        <v>300000</v>
      </c>
      <c r="H37" s="33">
        <f t="shared" si="5"/>
        <v>0</v>
      </c>
      <c r="I37" s="33">
        <f t="shared" si="5"/>
        <v>0</v>
      </c>
      <c r="J37" s="33">
        <f t="shared" si="5"/>
        <v>0</v>
      </c>
      <c r="K37" s="33">
        <f t="shared" si="5"/>
        <v>0</v>
      </c>
      <c r="L37" s="33">
        <f t="shared" si="5"/>
        <v>0</v>
      </c>
      <c r="M37" s="33">
        <f t="shared" si="5"/>
        <v>0</v>
      </c>
      <c r="N37" s="33">
        <f t="shared" si="5"/>
        <v>0</v>
      </c>
      <c r="O37" s="33">
        <f t="shared" si="5"/>
        <v>0</v>
      </c>
      <c r="P37" s="33">
        <f t="shared" si="5"/>
        <v>0</v>
      </c>
      <c r="Q37" s="33">
        <f t="shared" si="5"/>
        <v>0</v>
      </c>
      <c r="R37" s="33">
        <f t="shared" si="5"/>
        <v>0</v>
      </c>
      <c r="S37" s="33">
        <f t="shared" si="5"/>
        <v>0</v>
      </c>
      <c r="T37" s="33">
        <f t="shared" si="5"/>
        <v>0</v>
      </c>
      <c r="U37" s="33">
        <f t="shared" si="5"/>
        <v>0</v>
      </c>
      <c r="V37" s="33">
        <f t="shared" si="5"/>
        <v>0</v>
      </c>
      <c r="W37" s="33">
        <f t="shared" si="5"/>
        <v>0</v>
      </c>
      <c r="X37" s="33">
        <f t="shared" si="5"/>
        <v>0</v>
      </c>
      <c r="Y37" s="33">
        <f t="shared" si="5"/>
        <v>0</v>
      </c>
      <c r="Z37" s="33">
        <f t="shared" si="5"/>
        <v>0</v>
      </c>
      <c r="AA37" s="33">
        <f t="shared" si="5"/>
        <v>0</v>
      </c>
    </row>
    <row r="38" spans="1:28" x14ac:dyDescent="0.25">
      <c r="A38" s="9" t="str">
        <f t="shared" ref="A38:AA38" si="6">A11</f>
        <v>Operation Cost (Small crab purchase)</v>
      </c>
      <c r="B38" s="33">
        <f t="shared" si="6"/>
        <v>0</v>
      </c>
      <c r="C38" s="33">
        <f t="shared" si="6"/>
        <v>118125.00000000001</v>
      </c>
      <c r="D38" s="33">
        <f t="shared" si="6"/>
        <v>393750.00000000006</v>
      </c>
      <c r="E38" s="33">
        <f t="shared" si="6"/>
        <v>669375.00000000012</v>
      </c>
      <c r="F38" s="33">
        <f t="shared" si="6"/>
        <v>748125.00000000012</v>
      </c>
      <c r="G38" s="33">
        <f t="shared" si="6"/>
        <v>787500.00000000012</v>
      </c>
      <c r="H38" s="33">
        <f t="shared" si="6"/>
        <v>787500.00000000012</v>
      </c>
      <c r="I38" s="33">
        <f t="shared" si="6"/>
        <v>787500.00000000012</v>
      </c>
      <c r="J38" s="33">
        <f t="shared" si="6"/>
        <v>787500.00000000012</v>
      </c>
      <c r="K38" s="33">
        <f t="shared" si="6"/>
        <v>787500.00000000012</v>
      </c>
      <c r="L38" s="33">
        <f t="shared" si="6"/>
        <v>787500.00000000012</v>
      </c>
      <c r="M38" s="33">
        <f t="shared" si="6"/>
        <v>787500.00000000012</v>
      </c>
      <c r="N38" s="33">
        <f t="shared" si="6"/>
        <v>787500.00000000012</v>
      </c>
      <c r="O38" s="33">
        <f t="shared" si="6"/>
        <v>787500.00000000012</v>
      </c>
      <c r="P38" s="33">
        <f t="shared" si="6"/>
        <v>787500.00000000012</v>
      </c>
      <c r="Q38" s="33">
        <f t="shared" si="6"/>
        <v>787500.00000000012</v>
      </c>
      <c r="R38" s="33">
        <f t="shared" si="6"/>
        <v>787500.00000000012</v>
      </c>
      <c r="S38" s="33">
        <f t="shared" si="6"/>
        <v>787500.00000000012</v>
      </c>
      <c r="T38" s="33">
        <f t="shared" si="6"/>
        <v>787500.00000000012</v>
      </c>
      <c r="U38" s="33">
        <f t="shared" si="6"/>
        <v>787500.00000000012</v>
      </c>
      <c r="V38" s="33">
        <f t="shared" si="6"/>
        <v>787500.00000000012</v>
      </c>
      <c r="W38" s="33">
        <f t="shared" si="6"/>
        <v>669375.00000000012</v>
      </c>
      <c r="X38" s="33">
        <f t="shared" si="6"/>
        <v>393750.00000000006</v>
      </c>
      <c r="Y38" s="33">
        <f t="shared" si="6"/>
        <v>118125.00000000001</v>
      </c>
      <c r="Z38" s="33">
        <f t="shared" si="6"/>
        <v>39375.000000000007</v>
      </c>
      <c r="AA38" s="33">
        <f t="shared" si="6"/>
        <v>0</v>
      </c>
    </row>
    <row r="39" spans="1:28" x14ac:dyDescent="0.25">
      <c r="A39" s="9" t="str">
        <f t="shared" ref="A39:AA39" si="7">A12</f>
        <v>Maintenance</v>
      </c>
      <c r="B39" s="33">
        <f t="shared" si="7"/>
        <v>0</v>
      </c>
      <c r="C39" s="33">
        <f t="shared" si="7"/>
        <v>420000</v>
      </c>
      <c r="D39" s="33">
        <f t="shared" si="7"/>
        <v>1400000</v>
      </c>
      <c r="E39" s="33">
        <f t="shared" si="7"/>
        <v>2512328</v>
      </c>
      <c r="F39" s="33">
        <f t="shared" si="7"/>
        <v>2660000</v>
      </c>
      <c r="G39" s="33">
        <f t="shared" si="7"/>
        <v>2800000</v>
      </c>
      <c r="H39" s="33">
        <f t="shared" si="7"/>
        <v>2955680</v>
      </c>
      <c r="I39" s="33">
        <f t="shared" si="7"/>
        <v>2800000</v>
      </c>
      <c r="J39" s="33">
        <f t="shared" si="7"/>
        <v>2800000</v>
      </c>
      <c r="K39" s="33">
        <f t="shared" si="7"/>
        <v>2955680</v>
      </c>
      <c r="L39" s="33">
        <f t="shared" si="7"/>
        <v>2800000</v>
      </c>
      <c r="M39" s="33">
        <f t="shared" si="7"/>
        <v>2800000</v>
      </c>
      <c r="N39" s="33">
        <f t="shared" si="7"/>
        <v>2955680</v>
      </c>
      <c r="O39" s="33">
        <f t="shared" si="7"/>
        <v>2800000</v>
      </c>
      <c r="P39" s="33">
        <f t="shared" si="7"/>
        <v>2800000</v>
      </c>
      <c r="Q39" s="33">
        <f t="shared" si="7"/>
        <v>2955680</v>
      </c>
      <c r="R39" s="33">
        <f t="shared" si="7"/>
        <v>2800000</v>
      </c>
      <c r="S39" s="33">
        <f t="shared" si="7"/>
        <v>2800000</v>
      </c>
      <c r="T39" s="33">
        <f t="shared" si="7"/>
        <v>2955680</v>
      </c>
      <c r="U39" s="33">
        <f t="shared" si="7"/>
        <v>2800000</v>
      </c>
      <c r="V39" s="33">
        <f t="shared" si="7"/>
        <v>2800000</v>
      </c>
      <c r="W39" s="33">
        <f t="shared" si="7"/>
        <v>2512328</v>
      </c>
      <c r="X39" s="33">
        <f t="shared" si="7"/>
        <v>1400000</v>
      </c>
      <c r="Y39" s="33">
        <f t="shared" si="7"/>
        <v>420000</v>
      </c>
      <c r="Z39" s="33">
        <f t="shared" si="7"/>
        <v>147784</v>
      </c>
      <c r="AA39" s="33">
        <f t="shared" si="7"/>
        <v>0</v>
      </c>
    </row>
    <row r="40" spans="1:28" x14ac:dyDescent="0.25">
      <c r="A40" s="9" t="str">
        <f t="shared" ref="A40:AA40" si="8">A13</f>
        <v>Feed</v>
      </c>
      <c r="B40" s="33">
        <f t="shared" si="8"/>
        <v>0</v>
      </c>
      <c r="C40" s="33">
        <f t="shared" si="8"/>
        <v>450000</v>
      </c>
      <c r="D40" s="33">
        <f t="shared" si="8"/>
        <v>1500000</v>
      </c>
      <c r="E40" s="33">
        <f t="shared" si="8"/>
        <v>2878312.5</v>
      </c>
      <c r="F40" s="33">
        <f t="shared" si="8"/>
        <v>2850000</v>
      </c>
      <c r="G40" s="33">
        <f t="shared" si="8"/>
        <v>3000000</v>
      </c>
      <c r="H40" s="33">
        <f t="shared" si="8"/>
        <v>3386250</v>
      </c>
      <c r="I40" s="33">
        <f t="shared" si="8"/>
        <v>3000000</v>
      </c>
      <c r="J40" s="33">
        <f t="shared" si="8"/>
        <v>3000000</v>
      </c>
      <c r="K40" s="33">
        <f t="shared" si="8"/>
        <v>3386250</v>
      </c>
      <c r="L40" s="33">
        <f t="shared" si="8"/>
        <v>3000000</v>
      </c>
      <c r="M40" s="33">
        <f t="shared" si="8"/>
        <v>3000000</v>
      </c>
      <c r="N40" s="33">
        <f t="shared" si="8"/>
        <v>3386250</v>
      </c>
      <c r="O40" s="33">
        <f t="shared" si="8"/>
        <v>3000000</v>
      </c>
      <c r="P40" s="33">
        <f t="shared" si="8"/>
        <v>3000000</v>
      </c>
      <c r="Q40" s="33">
        <f t="shared" si="8"/>
        <v>3386250</v>
      </c>
      <c r="R40" s="33">
        <f t="shared" si="8"/>
        <v>3000000</v>
      </c>
      <c r="S40" s="33">
        <f t="shared" si="8"/>
        <v>3000000</v>
      </c>
      <c r="T40" s="33">
        <f t="shared" si="8"/>
        <v>3386250</v>
      </c>
      <c r="U40" s="33">
        <f t="shared" si="8"/>
        <v>3000000</v>
      </c>
      <c r="V40" s="33">
        <f t="shared" si="8"/>
        <v>3000000</v>
      </c>
      <c r="W40" s="33">
        <f t="shared" si="8"/>
        <v>2878312.5</v>
      </c>
      <c r="X40" s="33">
        <f t="shared" si="8"/>
        <v>1500000</v>
      </c>
      <c r="Y40" s="33">
        <f t="shared" si="8"/>
        <v>450000</v>
      </c>
      <c r="Z40" s="33">
        <f t="shared" si="8"/>
        <v>169312.5</v>
      </c>
      <c r="AA40" s="33">
        <f t="shared" si="8"/>
        <v>0</v>
      </c>
    </row>
    <row r="41" spans="1:28" s="50" customFormat="1" x14ac:dyDescent="0.25">
      <c r="A41" s="52" t="str">
        <f>A14</f>
        <v>Debt Service</v>
      </c>
      <c r="B41" s="49">
        <f>Assumption_Fattening!D53</f>
        <v>0</v>
      </c>
      <c r="C41" s="49">
        <f>Assumption_Fattening!E53</f>
        <v>576600</v>
      </c>
      <c r="D41" s="49">
        <f>Assumption_Fattening!F53</f>
        <v>1345400</v>
      </c>
      <c r="E41" s="49">
        <f>Assumption_Fattening!G53</f>
        <v>1345400</v>
      </c>
      <c r="F41" s="49">
        <f>Assumption_Fattening!H53</f>
        <v>384400</v>
      </c>
      <c r="G41" s="49">
        <f>Assumption_Fattening!I53</f>
        <v>192200</v>
      </c>
      <c r="H41" s="49">
        <f>Assumption_Fattening!J53</f>
        <v>0</v>
      </c>
      <c r="I41" s="49">
        <f>Assumption_Fattening!K53</f>
        <v>0</v>
      </c>
      <c r="J41" s="49">
        <f>Assumption_Fattening!L53</f>
        <v>0</v>
      </c>
      <c r="K41" s="49">
        <f>Assumption_Fattening!M53</f>
        <v>0</v>
      </c>
      <c r="L41" s="49">
        <f>Assumption_Fattening!N53</f>
        <v>0</v>
      </c>
      <c r="M41" s="49">
        <f>Assumption_Fattening!O53</f>
        <v>0</v>
      </c>
      <c r="N41" s="49">
        <f>Assumption_Fattening!P53</f>
        <v>0</v>
      </c>
      <c r="O41" s="49">
        <f>Assumption_Fattening!Q53</f>
        <v>0</v>
      </c>
      <c r="P41" s="49">
        <f>Assumption_Fattening!R53</f>
        <v>0</v>
      </c>
      <c r="Q41" s="49">
        <f>Assumption_Fattening!S53</f>
        <v>0</v>
      </c>
      <c r="R41" s="49">
        <f>Assumption_Fattening!T53</f>
        <v>0</v>
      </c>
      <c r="S41" s="49">
        <f>Assumption_Fattening!U53</f>
        <v>0</v>
      </c>
      <c r="T41" s="49">
        <f>Assumption_Fattening!V53</f>
        <v>0</v>
      </c>
      <c r="U41" s="49">
        <f>Assumption_Fattening!W53</f>
        <v>0</v>
      </c>
      <c r="V41" s="49">
        <f>Assumption_Fattening!X53</f>
        <v>0</v>
      </c>
      <c r="W41" s="49">
        <f>Assumption_Fattening!Y53</f>
        <v>0</v>
      </c>
      <c r="X41" s="49">
        <f>Assumption_Fattening!Z53</f>
        <v>0</v>
      </c>
      <c r="Y41" s="49">
        <f>Assumption_Fattening!AA53</f>
        <v>0</v>
      </c>
      <c r="Z41" s="49">
        <f>Assumption_Fattening!AB53</f>
        <v>0</v>
      </c>
      <c r="AA41" s="49">
        <f>Assumption_Fattening!AC53</f>
        <v>0</v>
      </c>
    </row>
    <row r="42" spans="1:28" x14ac:dyDescent="0.25">
      <c r="A42" s="117" t="s">
        <v>54</v>
      </c>
      <c r="B42" s="37">
        <f t="shared" ref="B42:AA42" si="9">SUM(B37:B41)</f>
        <v>0</v>
      </c>
      <c r="C42" s="37">
        <f t="shared" si="9"/>
        <v>2464725</v>
      </c>
      <c r="D42" s="37">
        <f t="shared" si="9"/>
        <v>6739150</v>
      </c>
      <c r="E42" s="37">
        <f t="shared" si="9"/>
        <v>9505415.5</v>
      </c>
      <c r="F42" s="37">
        <f t="shared" si="9"/>
        <v>7242525</v>
      </c>
      <c r="G42" s="37">
        <f t="shared" si="9"/>
        <v>7079700</v>
      </c>
      <c r="H42" s="37">
        <f t="shared" si="9"/>
        <v>7129430</v>
      </c>
      <c r="I42" s="37">
        <f t="shared" si="9"/>
        <v>6587500</v>
      </c>
      <c r="J42" s="37">
        <f t="shared" si="9"/>
        <v>6587500</v>
      </c>
      <c r="K42" s="37">
        <f t="shared" si="9"/>
        <v>7129430</v>
      </c>
      <c r="L42" s="37">
        <f t="shared" si="9"/>
        <v>6587500</v>
      </c>
      <c r="M42" s="37">
        <f t="shared" si="9"/>
        <v>6587500</v>
      </c>
      <c r="N42" s="37">
        <f t="shared" si="9"/>
        <v>7129430</v>
      </c>
      <c r="O42" s="37">
        <f t="shared" si="9"/>
        <v>6587500</v>
      </c>
      <c r="P42" s="37">
        <f t="shared" si="9"/>
        <v>6587500</v>
      </c>
      <c r="Q42" s="37">
        <f t="shared" si="9"/>
        <v>7129430</v>
      </c>
      <c r="R42" s="37">
        <f t="shared" si="9"/>
        <v>6587500</v>
      </c>
      <c r="S42" s="37">
        <f t="shared" si="9"/>
        <v>6587500</v>
      </c>
      <c r="T42" s="37">
        <f t="shared" si="9"/>
        <v>7129430</v>
      </c>
      <c r="U42" s="37">
        <f t="shared" si="9"/>
        <v>6587500</v>
      </c>
      <c r="V42" s="37">
        <f t="shared" si="9"/>
        <v>6587500</v>
      </c>
      <c r="W42" s="37">
        <f t="shared" si="9"/>
        <v>6060015.5</v>
      </c>
      <c r="X42" s="37">
        <f t="shared" si="9"/>
        <v>3293750</v>
      </c>
      <c r="Y42" s="37">
        <f t="shared" si="9"/>
        <v>988125</v>
      </c>
      <c r="Z42" s="37">
        <f t="shared" si="9"/>
        <v>356471.5</v>
      </c>
      <c r="AA42" s="37">
        <f t="shared" si="9"/>
        <v>0</v>
      </c>
    </row>
    <row r="43" spans="1:28" x14ac:dyDescent="0.25">
      <c r="B43" s="32"/>
      <c r="C43" s="32"/>
      <c r="D43" s="32"/>
      <c r="E43" s="32"/>
      <c r="F43" s="32"/>
      <c r="G43" s="32"/>
      <c r="H43" s="32"/>
      <c r="I43" s="32"/>
      <c r="J43" s="32"/>
      <c r="K43" s="32"/>
      <c r="L43" s="32"/>
    </row>
    <row r="44" spans="1:28" x14ac:dyDescent="0.25">
      <c r="A44" s="23" t="s">
        <v>55</v>
      </c>
      <c r="B44" s="34">
        <f t="shared" ref="B44:AA44" si="10">B34-B42</f>
        <v>0</v>
      </c>
      <c r="C44" s="34">
        <f t="shared" si="10"/>
        <v>-1247801.25</v>
      </c>
      <c r="D44" s="34">
        <f t="shared" si="10"/>
        <v>-2642173.375</v>
      </c>
      <c r="E44" s="34">
        <f t="shared" si="10"/>
        <v>-5007726.3943607034</v>
      </c>
      <c r="F44" s="34">
        <f t="shared" si="10"/>
        <v>698194.12480875012</v>
      </c>
      <c r="G44" s="34">
        <f t="shared" si="10"/>
        <v>1362538.22742825</v>
      </c>
      <c r="H44" s="34">
        <f t="shared" si="10"/>
        <v>-1677696.3726714421</v>
      </c>
      <c r="I44" s="34">
        <f t="shared" si="10"/>
        <v>2024427.215799557</v>
      </c>
      <c r="J44" s="34">
        <f t="shared" si="10"/>
        <v>2110546.4879575539</v>
      </c>
      <c r="K44" s="34">
        <f t="shared" si="10"/>
        <v>-1512503.3920297595</v>
      </c>
      <c r="L44" s="34">
        <f t="shared" si="10"/>
        <v>2285377.2223655023</v>
      </c>
      <c r="M44" s="34">
        <f t="shared" si="10"/>
        <v>2374105.9945891555</v>
      </c>
      <c r="N44" s="34">
        <f t="shared" si="10"/>
        <v>-1342304.8988816543</v>
      </c>
      <c r="O44" s="34">
        <f t="shared" si="10"/>
        <v>2554234.2750803977</v>
      </c>
      <c r="P44" s="34">
        <f t="shared" si="10"/>
        <v>2645651.6178312041</v>
      </c>
      <c r="Q44" s="34">
        <f t="shared" si="10"/>
        <v>-1166949.2211926673</v>
      </c>
      <c r="R44" s="34">
        <f t="shared" si="10"/>
        <v>2831237.9653496109</v>
      </c>
      <c r="S44" s="34">
        <f t="shared" si="10"/>
        <v>2925425.3450031076</v>
      </c>
      <c r="T44" s="34">
        <f t="shared" si="10"/>
        <v>-986280.09111402463</v>
      </c>
      <c r="U44" s="34">
        <f t="shared" si="10"/>
        <v>3116635.144437667</v>
      </c>
      <c r="V44" s="34">
        <f t="shared" si="10"/>
        <v>3213676.4958820455</v>
      </c>
      <c r="W44" s="34">
        <f t="shared" si="10"/>
        <v>-680116.02986614127</v>
      </c>
      <c r="X44" s="34">
        <f t="shared" si="10"/>
        <v>1705340.0717246383</v>
      </c>
      <c r="Y44" s="34">
        <f t="shared" si="10"/>
        <v>526599.29173256503</v>
      </c>
      <c r="Z44" s="34">
        <f t="shared" si="10"/>
        <v>-30417.629177741939</v>
      </c>
      <c r="AA44" s="34">
        <f t="shared" si="10"/>
        <v>0</v>
      </c>
    </row>
    <row r="45" spans="1:28" x14ac:dyDescent="0.25">
      <c r="B45" s="32"/>
      <c r="C45" s="32"/>
      <c r="D45" s="32"/>
      <c r="E45" s="32"/>
      <c r="F45" s="32"/>
      <c r="G45" s="32"/>
      <c r="H45" s="32"/>
      <c r="I45" s="32"/>
      <c r="J45" s="32"/>
      <c r="K45" s="32"/>
      <c r="L45" s="32"/>
    </row>
    <row r="46" spans="1:28" s="12" customFormat="1" x14ac:dyDescent="0.25">
      <c r="A46" s="10" t="s">
        <v>319</v>
      </c>
      <c r="B46" s="346">
        <f>B34/(1+Assumption_Fattening!$C76)^'RCP 8.5_Fattening'!B31</f>
        <v>0</v>
      </c>
      <c r="C46" s="346">
        <f>C34/(1+Assumption_Fattening!$C76)^'RCP 8.5_Fattening'!C31</f>
        <v>1148041.2735849055</v>
      </c>
      <c r="D46" s="346">
        <f>D34/(1+Assumption_Fattening!$C76)^'RCP 8.5_Fattening'!D31</f>
        <v>3646294.6110715554</v>
      </c>
      <c r="E46" s="346">
        <f>E34/(1+Assumption_Fattening!$C76)^'RCP 8.5_Fattening'!E31</f>
        <v>3776346.5021790601</v>
      </c>
      <c r="F46" s="346">
        <f>F34/(1+Assumption_Fattening!$C76)^'RCP 8.5_Fattening'!F31</f>
        <v>6289793.3003139701</v>
      </c>
      <c r="G46" s="346">
        <f>G34/(1+Assumption_Fattening!$C76)^'RCP 8.5_Fattening'!G31</f>
        <v>6308531.5127280131</v>
      </c>
      <c r="H46" s="346">
        <f>H34/(1+Assumption_Fattening!$C76)^'RCP 8.5_Fattening'!H31</f>
        <v>3843257.084254697</v>
      </c>
      <c r="I46" s="346">
        <f>I34/(1+Assumption_Fattening!$C76)^'RCP 8.5_Fattening'!I31</f>
        <v>5727423.4568652939</v>
      </c>
      <c r="J46" s="346">
        <f>J34/(1+Assumption_Fattening!$C76)^'RCP 8.5_Fattening'!J31</f>
        <v>5457261.9730508942</v>
      </c>
      <c r="K46" s="346">
        <f>K34/(1+Assumption_Fattening!$C76)^'RCP 8.5_Fattening'!K31</f>
        <v>3324650.2290185005</v>
      </c>
      <c r="L46" s="346">
        <f>L34/(1+Assumption_Fattening!$C76)^'RCP 8.5_Fattening'!L31</f>
        <v>4954568.2971780151</v>
      </c>
      <c r="M46" s="346">
        <f>M34/(1+Assumption_Fattening!$C76)^'RCP 8.5_Fattening'!M31</f>
        <v>4720862.245424334</v>
      </c>
      <c r="N46" s="346">
        <f>N34/(1+Assumption_Fattening!$C76)^'RCP 8.5_Fattening'!N31</f>
        <v>2876023.8784432691</v>
      </c>
      <c r="O46" s="346">
        <f>O34/(1+Assumption_Fattening!$C76)^'RCP 8.5_Fattening'!O31</f>
        <v>4286001.7591290157</v>
      </c>
      <c r="P46" s="346">
        <f>P34/(1+Assumption_Fattening!$C76)^'RCP 8.5_Fattening'!P31</f>
        <v>4083831.8648304786</v>
      </c>
      <c r="Q46" s="346">
        <f>Q34/(1+Assumption_Fattening!$C76)^'RCP 8.5_Fattening'!Q31</f>
        <v>2487934.9043035335</v>
      </c>
      <c r="R46" s="346">
        <f>R34/(1+Assumption_Fattening!$C76)^'RCP 8.5_Fattening'!R31</f>
        <v>3707651.197324289</v>
      </c>
      <c r="S46" s="346">
        <f>S34/(1+Assumption_Fattening!$C76)^'RCP 8.5_Fattening'!S31</f>
        <v>3532761.9899033317</v>
      </c>
      <c r="T46" s="346">
        <f>T34/(1+Assumption_Fattening!$C76)^'RCP 8.5_Fattening'!T31</f>
        <v>2152214.4285541386</v>
      </c>
      <c r="U46" s="346">
        <f>U34/(1+Assumption_Fattening!$C76)^'RCP 8.5_Fattening'!U31</f>
        <v>3207342.9208796611</v>
      </c>
      <c r="V46" s="346">
        <f>V34/(1+Assumption_Fattening!$C76)^'RCP 8.5_Fattening'!V31</f>
        <v>3056053.1604608097</v>
      </c>
      <c r="W46" s="346">
        <f>W34/(1+Assumption_Fattening!$C76)^'RCP 8.5_Fattening'!W31</f>
        <v>1582526.4952449782</v>
      </c>
      <c r="X46" s="346">
        <f>X34/(1+Assumption_Fattening!$C76)^'RCP 8.5_Fattening'!X31</f>
        <v>1387272.9748069027</v>
      </c>
      <c r="Y46" s="346">
        <f>Y34/(1+Assumption_Fattening!$C76)^'RCP 8.5_Fattening'!Y31</f>
        <v>396550.67110046354</v>
      </c>
      <c r="Z46" s="346">
        <f>Z34/(1+Assumption_Fattening!$C76)^'RCP 8.5_Fattening'!Z31</f>
        <v>80528.311694404911</v>
      </c>
      <c r="AA46" s="346">
        <f>AA34/(1+Assumption_Fattening!$C76)^'RCP 8.5_Fattening'!AA31</f>
        <v>0</v>
      </c>
      <c r="AB46" s="343">
        <f>SUM(B46:AA46)</f>
        <v>82033725.042344525</v>
      </c>
    </row>
    <row r="47" spans="1:28" s="12" customFormat="1" x14ac:dyDescent="0.25">
      <c r="A47" s="10" t="s">
        <v>320</v>
      </c>
      <c r="B47" s="346">
        <f>B42/(1+Assumption_Fattening!$C76)^'RCP 8.5_Fattening'!B31</f>
        <v>0</v>
      </c>
      <c r="C47" s="346">
        <f>C42/(1+Assumption_Fattening!$C76)^'RCP 8.5_Fattening'!C31</f>
        <v>2325212.2641509431</v>
      </c>
      <c r="D47" s="346">
        <f>D42/(1+Assumption_Fattening!$C76)^'RCP 8.5_Fattening'!D31</f>
        <v>5997819.5087219644</v>
      </c>
      <c r="E47" s="346">
        <f>E42/(1+Assumption_Fattening!$C76)^'RCP 8.5_Fattening'!E31</f>
        <v>7980930.1470341273</v>
      </c>
      <c r="F47" s="346">
        <f>F42/(1+Assumption_Fattening!$C76)^'RCP 8.5_Fattening'!F31</f>
        <v>5736758.1583429435</v>
      </c>
      <c r="G47" s="346">
        <f>G42/(1+Assumption_Fattening!$C76)^'RCP 8.5_Fattening'!G31</f>
        <v>5290363.6864398234</v>
      </c>
      <c r="H47" s="346">
        <f>H42/(1+Assumption_Fattening!$C76)^'RCP 8.5_Fattening'!H31</f>
        <v>5025966.8258268414</v>
      </c>
      <c r="I47" s="346">
        <f>I42/(1+Assumption_Fattening!$C76)^'RCP 8.5_Fattening'!I31</f>
        <v>4381063.7359871389</v>
      </c>
      <c r="J47" s="346">
        <f>J42/(1+Assumption_Fattening!$C76)^'RCP 8.5_Fattening'!J31</f>
        <v>4133078.9962142822</v>
      </c>
      <c r="K47" s="346">
        <f>K42/(1+Assumption_Fattening!$C76)^'RCP 8.5_Fattening'!K31</f>
        <v>4219898.6628448665</v>
      </c>
      <c r="L47" s="346">
        <f>L42/(1+Assumption_Fattening!$C76)^'RCP 8.5_Fattening'!L31</f>
        <v>3678425.5929283388</v>
      </c>
      <c r="M47" s="346">
        <f>M42/(1+Assumption_Fattening!$C76)^'RCP 8.5_Fattening'!M31</f>
        <v>3470212.8235173002</v>
      </c>
      <c r="N47" s="346">
        <f>N42/(1+Assumption_Fattening!$C76)^'RCP 8.5_Fattening'!N31</f>
        <v>3543108.2897667745</v>
      </c>
      <c r="O47" s="346">
        <f>O42/(1+Assumption_Fattening!$C76)^'RCP 8.5_Fattening'!O31</f>
        <v>3088477.0590221607</v>
      </c>
      <c r="P47" s="346">
        <f>P42/(1+Assumption_Fattening!$C76)^'RCP 8.5_Fattening'!P31</f>
        <v>2913657.6028510951</v>
      </c>
      <c r="Q47" s="346">
        <f>Q42/(1+Assumption_Fattening!$C76)^'RCP 8.5_Fattening'!Q31</f>
        <v>2974862.0419597835</v>
      </c>
      <c r="R47" s="346">
        <f>R42/(1+Assumption_Fattening!$C76)^'RCP 8.5_Fattening'!R31</f>
        <v>2593144.893957899</v>
      </c>
      <c r="S47" s="346">
        <f>S42/(1+Assumption_Fattening!$C76)^'RCP 8.5_Fattening'!S31</f>
        <v>2446363.1075074514</v>
      </c>
      <c r="T47" s="346">
        <f>T42/(1+Assumption_Fattening!$C76)^'RCP 8.5_Fattening'!T31</f>
        <v>2497751.5347902831</v>
      </c>
      <c r="U47" s="346">
        <f>U42/(1+Assumption_Fattening!$C76)^'RCP 8.5_Fattening'!U31</f>
        <v>2177254.4566638051</v>
      </c>
      <c r="V47" s="346">
        <f>V42/(1+Assumption_Fattening!$C76)^'RCP 8.5_Fattening'!V31</f>
        <v>2054013.6383620801</v>
      </c>
      <c r="W47" s="346">
        <f>W42/(1+Assumption_Fattening!$C76)^'RCP 8.5_Fattening'!W31</f>
        <v>1782586.2999084312</v>
      </c>
      <c r="X47" s="346">
        <f>X42/(1+Assumption_Fattening!$C76)^'RCP 8.5_Fattening'!X31</f>
        <v>914032.41294147365</v>
      </c>
      <c r="Y47" s="346">
        <f>Y42/(1+Assumption_Fattening!$C76)^'RCP 8.5_Fattening'!Y31</f>
        <v>258688.41875702082</v>
      </c>
      <c r="Z47" s="346">
        <f>Z42/(1+Assumption_Fattening!$C76)^'RCP 8.5_Fattening'!Z31</f>
        <v>88040.81359248946</v>
      </c>
      <c r="AA47" s="346">
        <f>AA42/(1+Assumption_Fattening!$C76)^'RCP 8.5_Fattening'!AA31</f>
        <v>0</v>
      </c>
      <c r="AB47" s="343">
        <f>SUM(B47:AA47)</f>
        <v>79571710.972089306</v>
      </c>
    </row>
    <row r="48" spans="1:28" x14ac:dyDescent="0.25">
      <c r="B48" s="32"/>
      <c r="C48" s="32"/>
      <c r="D48" s="32"/>
      <c r="E48" s="32"/>
      <c r="F48" s="32"/>
      <c r="G48" s="32"/>
      <c r="H48" s="32"/>
      <c r="I48" s="32"/>
      <c r="J48" s="32"/>
      <c r="K48" s="32"/>
      <c r="L48" s="32"/>
    </row>
    <row r="49" spans="1:27" s="12" customFormat="1" x14ac:dyDescent="0.25">
      <c r="A49" s="25" t="s">
        <v>318</v>
      </c>
      <c r="B49" s="35">
        <f>NPV(Assumption_Hatchery!C76,C44:Z44)+B44</f>
        <v>2462014.0702552008</v>
      </c>
      <c r="C49" s="40"/>
      <c r="D49" s="40"/>
      <c r="E49" s="40"/>
      <c r="F49" s="40"/>
      <c r="G49" s="40"/>
      <c r="H49" s="40"/>
      <c r="I49" s="40"/>
      <c r="J49" s="40"/>
      <c r="K49" s="40"/>
      <c r="L49" s="40"/>
    </row>
    <row r="51" spans="1:27" s="12" customFormat="1" x14ac:dyDescent="0.25">
      <c r="A51" s="25" t="s">
        <v>238</v>
      </c>
      <c r="B51" s="36">
        <f>IRR(B44:Z44)</f>
        <v>8.8494943334344711E-2</v>
      </c>
      <c r="C51" s="4"/>
      <c r="D51" s="4"/>
      <c r="E51" s="4"/>
      <c r="F51" s="4"/>
      <c r="G51" s="4"/>
      <c r="H51" s="4"/>
      <c r="I51" s="4"/>
      <c r="J51" s="4"/>
      <c r="K51" s="4"/>
      <c r="L51" s="4"/>
    </row>
    <row r="53" spans="1:27" ht="38.25" customHeight="1" x14ac:dyDescent="0.25">
      <c r="A53" s="11"/>
      <c r="B53" s="30"/>
      <c r="C53" s="69"/>
      <c r="D53" s="70"/>
      <c r="E53" s="30"/>
      <c r="F53" s="116"/>
      <c r="G53" s="30"/>
      <c r="H53" s="30"/>
      <c r="I53" s="30"/>
      <c r="J53" s="30"/>
      <c r="K53" s="30"/>
      <c r="L53" s="30"/>
      <c r="M53" s="11"/>
    </row>
    <row r="54" spans="1:27" s="1" customFormat="1" x14ac:dyDescent="0.25">
      <c r="A54" s="24"/>
      <c r="B54" s="42"/>
      <c r="C54" s="42"/>
      <c r="D54" s="42"/>
      <c r="E54" s="42"/>
      <c r="F54" s="42"/>
      <c r="G54" s="42"/>
      <c r="H54" s="42"/>
      <c r="I54" s="42"/>
      <c r="J54" s="42"/>
      <c r="K54" s="42"/>
      <c r="L54" s="42"/>
    </row>
    <row r="56" spans="1:27" ht="26.25" x14ac:dyDescent="0.25">
      <c r="F56" s="19" t="s">
        <v>92</v>
      </c>
    </row>
    <row r="57" spans="1:27" ht="38.25" customHeight="1" x14ac:dyDescent="0.25">
      <c r="A57" s="11" t="str">
        <f>A2</f>
        <v>Aggregate Economic Analysis</v>
      </c>
      <c r="B57" s="30"/>
      <c r="C57" s="69"/>
      <c r="D57" s="70"/>
      <c r="E57" s="30"/>
      <c r="F57" s="30"/>
      <c r="G57" s="30"/>
      <c r="H57" s="30"/>
      <c r="I57" s="30"/>
      <c r="J57" s="30"/>
      <c r="K57" s="30"/>
      <c r="L57" s="30"/>
      <c r="M57" s="11"/>
    </row>
    <row r="59" spans="1:27" x14ac:dyDescent="0.25">
      <c r="A59" s="10" t="s">
        <v>19</v>
      </c>
      <c r="B59" s="26">
        <v>0</v>
      </c>
      <c r="C59" s="26">
        <v>1</v>
      </c>
      <c r="D59" s="26">
        <v>2</v>
      </c>
      <c r="E59" s="26">
        <v>3</v>
      </c>
      <c r="F59" s="26">
        <v>4</v>
      </c>
      <c r="G59" s="26">
        <v>5</v>
      </c>
      <c r="H59" s="26">
        <v>6</v>
      </c>
      <c r="I59" s="26">
        <v>7</v>
      </c>
      <c r="J59" s="26">
        <v>8</v>
      </c>
      <c r="K59" s="26">
        <v>9</v>
      </c>
      <c r="L59" s="26">
        <v>10</v>
      </c>
      <c r="M59" s="26">
        <v>11</v>
      </c>
      <c r="N59" s="26">
        <v>12</v>
      </c>
      <c r="O59" s="26">
        <v>13</v>
      </c>
      <c r="P59" s="26">
        <v>14</v>
      </c>
      <c r="Q59" s="26">
        <v>15</v>
      </c>
      <c r="R59" s="26">
        <v>16</v>
      </c>
      <c r="S59" s="26">
        <v>17</v>
      </c>
      <c r="T59" s="26">
        <v>18</v>
      </c>
      <c r="U59" s="26">
        <v>19</v>
      </c>
      <c r="V59" s="26">
        <v>20</v>
      </c>
      <c r="W59" s="26">
        <v>21</v>
      </c>
      <c r="X59" s="26">
        <v>22</v>
      </c>
      <c r="Y59" s="26">
        <v>23</v>
      </c>
      <c r="Z59" s="26">
        <v>24</v>
      </c>
      <c r="AA59" s="26">
        <v>25</v>
      </c>
    </row>
    <row r="60" spans="1:27" x14ac:dyDescent="0.25">
      <c r="A60" s="23" t="s">
        <v>3</v>
      </c>
    </row>
    <row r="61" spans="1:27" x14ac:dyDescent="0.25">
      <c r="A61" s="10" t="str">
        <f>A33</f>
        <v>Crab Sale ($)</v>
      </c>
      <c r="B61" s="31">
        <f t="shared" ref="B61:AA61" si="11">B6</f>
        <v>0</v>
      </c>
      <c r="C61" s="31">
        <f t="shared" si="11"/>
        <v>1216923.75</v>
      </c>
      <c r="D61" s="31">
        <f t="shared" si="11"/>
        <v>4096976.625</v>
      </c>
      <c r="E61" s="31">
        <f t="shared" si="11"/>
        <v>4497689.1056392966</v>
      </c>
      <c r="F61" s="31">
        <f t="shared" si="11"/>
        <v>7940719.1248087501</v>
      </c>
      <c r="G61" s="31">
        <f t="shared" si="11"/>
        <v>8442238.22742825</v>
      </c>
      <c r="H61" s="31">
        <f t="shared" si="11"/>
        <v>5451733.6273285579</v>
      </c>
      <c r="I61" s="31">
        <f t="shared" si="11"/>
        <v>8611927.215799557</v>
      </c>
      <c r="J61" s="31">
        <f t="shared" si="11"/>
        <v>8698046.4879575539</v>
      </c>
      <c r="K61" s="31">
        <f t="shared" si="11"/>
        <v>5616926.6079702405</v>
      </c>
      <c r="L61" s="31">
        <f t="shared" si="11"/>
        <v>8872877.2223655023</v>
      </c>
      <c r="M61" s="31">
        <f t="shared" si="11"/>
        <v>8961605.9945891555</v>
      </c>
      <c r="N61" s="31">
        <f t="shared" si="11"/>
        <v>5787125.1011183457</v>
      </c>
      <c r="O61" s="31">
        <f t="shared" si="11"/>
        <v>9141734.2750803977</v>
      </c>
      <c r="P61" s="31">
        <f t="shared" si="11"/>
        <v>9233151.6178312041</v>
      </c>
      <c r="Q61" s="31">
        <f t="shared" si="11"/>
        <v>5962480.7788073327</v>
      </c>
      <c r="R61" s="31">
        <f t="shared" si="11"/>
        <v>9418737.9653496109</v>
      </c>
      <c r="S61" s="31">
        <f t="shared" si="11"/>
        <v>9512925.3450031076</v>
      </c>
      <c r="T61" s="31">
        <f t="shared" si="11"/>
        <v>6143149.9088859754</v>
      </c>
      <c r="U61" s="31">
        <f t="shared" si="11"/>
        <v>9704135.144437667</v>
      </c>
      <c r="V61" s="31">
        <f t="shared" si="11"/>
        <v>9801176.4958820455</v>
      </c>
      <c r="W61" s="31">
        <f t="shared" si="11"/>
        <v>5379899.4701338587</v>
      </c>
      <c r="X61" s="31">
        <f t="shared" si="11"/>
        <v>4999090.0717246383</v>
      </c>
      <c r="Y61" s="31">
        <f t="shared" si="11"/>
        <v>1514724.291732565</v>
      </c>
      <c r="Z61" s="31">
        <f t="shared" si="11"/>
        <v>326053.87082225806</v>
      </c>
      <c r="AA61" s="31">
        <f t="shared" si="11"/>
        <v>0</v>
      </c>
    </row>
    <row r="62" spans="1:27" s="12" customFormat="1" x14ac:dyDescent="0.25">
      <c r="A62" s="23" t="s">
        <v>53</v>
      </c>
      <c r="B62" s="38">
        <f t="shared" ref="B62:AA62" si="12">B7</f>
        <v>0</v>
      </c>
      <c r="C62" s="38">
        <f t="shared" si="12"/>
        <v>1216923.75</v>
      </c>
      <c r="D62" s="38">
        <f t="shared" si="12"/>
        <v>4096976.625</v>
      </c>
      <c r="E62" s="38">
        <f t="shared" si="12"/>
        <v>4497689.1056392966</v>
      </c>
      <c r="F62" s="38">
        <f t="shared" si="12"/>
        <v>7940719.1248087501</v>
      </c>
      <c r="G62" s="38">
        <f t="shared" si="12"/>
        <v>8442238.22742825</v>
      </c>
      <c r="H62" s="38">
        <f t="shared" si="12"/>
        <v>5451733.6273285579</v>
      </c>
      <c r="I62" s="38">
        <f t="shared" si="12"/>
        <v>8611927.215799557</v>
      </c>
      <c r="J62" s="38">
        <f t="shared" si="12"/>
        <v>8698046.4879575539</v>
      </c>
      <c r="K62" s="38">
        <f t="shared" si="12"/>
        <v>5616926.6079702405</v>
      </c>
      <c r="L62" s="38">
        <f t="shared" si="12"/>
        <v>8872877.2223655023</v>
      </c>
      <c r="M62" s="38">
        <f t="shared" si="12"/>
        <v>8961605.9945891555</v>
      </c>
      <c r="N62" s="38">
        <f t="shared" si="12"/>
        <v>5787125.1011183457</v>
      </c>
      <c r="O62" s="38">
        <f t="shared" si="12"/>
        <v>9141734.2750803977</v>
      </c>
      <c r="P62" s="38">
        <f t="shared" si="12"/>
        <v>9233151.6178312041</v>
      </c>
      <c r="Q62" s="38">
        <f t="shared" si="12"/>
        <v>5962480.7788073327</v>
      </c>
      <c r="R62" s="38">
        <f t="shared" si="12"/>
        <v>9418737.9653496109</v>
      </c>
      <c r="S62" s="38">
        <f t="shared" si="12"/>
        <v>9512925.3450031076</v>
      </c>
      <c r="T62" s="38">
        <f t="shared" si="12"/>
        <v>6143149.9088859754</v>
      </c>
      <c r="U62" s="38">
        <f t="shared" si="12"/>
        <v>9704135.144437667</v>
      </c>
      <c r="V62" s="38">
        <f t="shared" si="12"/>
        <v>9801176.4958820455</v>
      </c>
      <c r="W62" s="38">
        <f t="shared" si="12"/>
        <v>5379899.4701338587</v>
      </c>
      <c r="X62" s="38">
        <f t="shared" si="12"/>
        <v>4999090.0717246383</v>
      </c>
      <c r="Y62" s="38">
        <f t="shared" si="12"/>
        <v>1514724.291732565</v>
      </c>
      <c r="Z62" s="38">
        <f t="shared" si="12"/>
        <v>326053.87082225806</v>
      </c>
      <c r="AA62" s="38">
        <f t="shared" si="12"/>
        <v>0</v>
      </c>
    </row>
    <row r="63" spans="1:27" x14ac:dyDescent="0.25">
      <c r="A63" s="23"/>
      <c r="B63" s="41"/>
      <c r="C63" s="41"/>
      <c r="D63" s="41"/>
      <c r="E63" s="41"/>
      <c r="F63" s="41"/>
      <c r="G63" s="41"/>
      <c r="H63" s="41"/>
      <c r="I63" s="41"/>
      <c r="J63" s="41"/>
      <c r="K63" s="41"/>
    </row>
    <row r="64" spans="1:27" x14ac:dyDescent="0.25">
      <c r="A64" s="23" t="s">
        <v>20</v>
      </c>
    </row>
    <row r="65" spans="1:28" x14ac:dyDescent="0.25">
      <c r="A65" s="9" t="s">
        <v>44</v>
      </c>
      <c r="B65" s="33">
        <f t="shared" ref="B65:AA65" si="13">B10</f>
        <v>0</v>
      </c>
      <c r="C65" s="33">
        <f t="shared" si="13"/>
        <v>900000</v>
      </c>
      <c r="D65" s="33">
        <f t="shared" si="13"/>
        <v>2100000</v>
      </c>
      <c r="E65" s="33">
        <f t="shared" si="13"/>
        <v>2100000</v>
      </c>
      <c r="F65" s="33">
        <f t="shared" si="13"/>
        <v>600000</v>
      </c>
      <c r="G65" s="33">
        <f t="shared" si="13"/>
        <v>300000</v>
      </c>
      <c r="H65" s="33">
        <f t="shared" si="13"/>
        <v>0</v>
      </c>
      <c r="I65" s="33">
        <f t="shared" si="13"/>
        <v>0</v>
      </c>
      <c r="J65" s="33">
        <f t="shared" si="13"/>
        <v>0</v>
      </c>
      <c r="K65" s="33">
        <f t="shared" si="13"/>
        <v>0</v>
      </c>
      <c r="L65" s="33">
        <f t="shared" si="13"/>
        <v>0</v>
      </c>
      <c r="M65" s="33">
        <f t="shared" si="13"/>
        <v>0</v>
      </c>
      <c r="N65" s="33">
        <f t="shared" si="13"/>
        <v>0</v>
      </c>
      <c r="O65" s="33">
        <f t="shared" si="13"/>
        <v>0</v>
      </c>
      <c r="P65" s="33">
        <f t="shared" si="13"/>
        <v>0</v>
      </c>
      <c r="Q65" s="33">
        <f t="shared" si="13"/>
        <v>0</v>
      </c>
      <c r="R65" s="33">
        <f t="shared" si="13"/>
        <v>0</v>
      </c>
      <c r="S65" s="33">
        <f t="shared" si="13"/>
        <v>0</v>
      </c>
      <c r="T65" s="33">
        <f t="shared" si="13"/>
        <v>0</v>
      </c>
      <c r="U65" s="33">
        <f t="shared" si="13"/>
        <v>0</v>
      </c>
      <c r="V65" s="33">
        <f t="shared" si="13"/>
        <v>0</v>
      </c>
      <c r="W65" s="33">
        <f t="shared" si="13"/>
        <v>0</v>
      </c>
      <c r="X65" s="33">
        <f t="shared" si="13"/>
        <v>0</v>
      </c>
      <c r="Y65" s="33">
        <f t="shared" si="13"/>
        <v>0</v>
      </c>
      <c r="Z65" s="33">
        <f t="shared" si="13"/>
        <v>0</v>
      </c>
      <c r="AA65" s="33">
        <f t="shared" si="13"/>
        <v>0</v>
      </c>
    </row>
    <row r="66" spans="1:28" x14ac:dyDescent="0.25">
      <c r="A66" s="9" t="s">
        <v>104</v>
      </c>
      <c r="B66" s="33">
        <f t="shared" ref="B66:AA66" si="14">B11</f>
        <v>0</v>
      </c>
      <c r="C66" s="33">
        <f t="shared" si="14"/>
        <v>118125.00000000001</v>
      </c>
      <c r="D66" s="33">
        <f t="shared" si="14"/>
        <v>393750.00000000006</v>
      </c>
      <c r="E66" s="33">
        <f t="shared" si="14"/>
        <v>669375.00000000012</v>
      </c>
      <c r="F66" s="33">
        <f t="shared" si="14"/>
        <v>748125.00000000012</v>
      </c>
      <c r="G66" s="33">
        <f t="shared" si="14"/>
        <v>787500.00000000012</v>
      </c>
      <c r="H66" s="33">
        <f t="shared" si="14"/>
        <v>787500.00000000012</v>
      </c>
      <c r="I66" s="33">
        <f t="shared" si="14"/>
        <v>787500.00000000012</v>
      </c>
      <c r="J66" s="33">
        <f t="shared" si="14"/>
        <v>787500.00000000012</v>
      </c>
      <c r="K66" s="33">
        <f t="shared" si="14"/>
        <v>787500.00000000012</v>
      </c>
      <c r="L66" s="33">
        <f t="shared" si="14"/>
        <v>787500.00000000012</v>
      </c>
      <c r="M66" s="33">
        <f t="shared" si="14"/>
        <v>787500.00000000012</v>
      </c>
      <c r="N66" s="33">
        <f t="shared" si="14"/>
        <v>787500.00000000012</v>
      </c>
      <c r="O66" s="33">
        <f t="shared" si="14"/>
        <v>787500.00000000012</v>
      </c>
      <c r="P66" s="33">
        <f t="shared" si="14"/>
        <v>787500.00000000012</v>
      </c>
      <c r="Q66" s="33">
        <f t="shared" si="14"/>
        <v>787500.00000000012</v>
      </c>
      <c r="R66" s="33">
        <f t="shared" si="14"/>
        <v>787500.00000000012</v>
      </c>
      <c r="S66" s="33">
        <f t="shared" si="14"/>
        <v>787500.00000000012</v>
      </c>
      <c r="T66" s="33">
        <f t="shared" si="14"/>
        <v>787500.00000000012</v>
      </c>
      <c r="U66" s="33">
        <f t="shared" si="14"/>
        <v>787500.00000000012</v>
      </c>
      <c r="V66" s="33">
        <f t="shared" si="14"/>
        <v>787500.00000000012</v>
      </c>
      <c r="W66" s="33">
        <f t="shared" si="14"/>
        <v>669375.00000000012</v>
      </c>
      <c r="X66" s="33">
        <f t="shared" si="14"/>
        <v>393750.00000000006</v>
      </c>
      <c r="Y66" s="33">
        <f t="shared" si="14"/>
        <v>118125.00000000001</v>
      </c>
      <c r="Z66" s="33">
        <f t="shared" si="14"/>
        <v>39375.000000000007</v>
      </c>
      <c r="AA66" s="33">
        <f t="shared" si="14"/>
        <v>0</v>
      </c>
    </row>
    <row r="67" spans="1:28" x14ac:dyDescent="0.25">
      <c r="A67" s="9" t="s">
        <v>48</v>
      </c>
      <c r="B67" s="33">
        <f t="shared" ref="B67:AA67" si="15">B12</f>
        <v>0</v>
      </c>
      <c r="C67" s="33">
        <f t="shared" si="15"/>
        <v>420000</v>
      </c>
      <c r="D67" s="33">
        <f t="shared" si="15"/>
        <v>1400000</v>
      </c>
      <c r="E67" s="33">
        <f t="shared" si="15"/>
        <v>2512328</v>
      </c>
      <c r="F67" s="33">
        <f t="shared" si="15"/>
        <v>2660000</v>
      </c>
      <c r="G67" s="33">
        <f t="shared" si="15"/>
        <v>2800000</v>
      </c>
      <c r="H67" s="33">
        <f t="shared" si="15"/>
        <v>2955680</v>
      </c>
      <c r="I67" s="33">
        <f t="shared" si="15"/>
        <v>2800000</v>
      </c>
      <c r="J67" s="33">
        <f t="shared" si="15"/>
        <v>2800000</v>
      </c>
      <c r="K67" s="33">
        <f t="shared" si="15"/>
        <v>2955680</v>
      </c>
      <c r="L67" s="33">
        <f t="shared" si="15"/>
        <v>2800000</v>
      </c>
      <c r="M67" s="33">
        <f t="shared" si="15"/>
        <v>2800000</v>
      </c>
      <c r="N67" s="33">
        <f t="shared" si="15"/>
        <v>2955680</v>
      </c>
      <c r="O67" s="33">
        <f t="shared" si="15"/>
        <v>2800000</v>
      </c>
      <c r="P67" s="33">
        <f t="shared" si="15"/>
        <v>2800000</v>
      </c>
      <c r="Q67" s="33">
        <f t="shared" si="15"/>
        <v>2955680</v>
      </c>
      <c r="R67" s="33">
        <f t="shared" si="15"/>
        <v>2800000</v>
      </c>
      <c r="S67" s="33">
        <f t="shared" si="15"/>
        <v>2800000</v>
      </c>
      <c r="T67" s="33">
        <f t="shared" si="15"/>
        <v>2955680</v>
      </c>
      <c r="U67" s="33">
        <f t="shared" si="15"/>
        <v>2800000</v>
      </c>
      <c r="V67" s="33">
        <f t="shared" si="15"/>
        <v>2800000</v>
      </c>
      <c r="W67" s="33">
        <f t="shared" si="15"/>
        <v>2512328</v>
      </c>
      <c r="X67" s="33">
        <f t="shared" si="15"/>
        <v>1400000</v>
      </c>
      <c r="Y67" s="33">
        <f t="shared" si="15"/>
        <v>420000</v>
      </c>
      <c r="Z67" s="33">
        <f t="shared" si="15"/>
        <v>147784</v>
      </c>
      <c r="AA67" s="33">
        <f t="shared" si="15"/>
        <v>0</v>
      </c>
    </row>
    <row r="68" spans="1:28" x14ac:dyDescent="0.25">
      <c r="A68" s="9" t="s">
        <v>50</v>
      </c>
      <c r="B68" s="33">
        <f t="shared" ref="B68:AA68" si="16">B13</f>
        <v>0</v>
      </c>
      <c r="C68" s="33">
        <f t="shared" si="16"/>
        <v>450000</v>
      </c>
      <c r="D68" s="33">
        <f t="shared" si="16"/>
        <v>1500000</v>
      </c>
      <c r="E68" s="33">
        <f t="shared" si="16"/>
        <v>2878312.5</v>
      </c>
      <c r="F68" s="33">
        <f t="shared" si="16"/>
        <v>2850000</v>
      </c>
      <c r="G68" s="33">
        <f t="shared" si="16"/>
        <v>3000000</v>
      </c>
      <c r="H68" s="33">
        <f t="shared" si="16"/>
        <v>3386250</v>
      </c>
      <c r="I68" s="33">
        <f t="shared" si="16"/>
        <v>3000000</v>
      </c>
      <c r="J68" s="33">
        <f t="shared" si="16"/>
        <v>3000000</v>
      </c>
      <c r="K68" s="33">
        <f t="shared" si="16"/>
        <v>3386250</v>
      </c>
      <c r="L68" s="33">
        <f t="shared" si="16"/>
        <v>3000000</v>
      </c>
      <c r="M68" s="33">
        <f t="shared" si="16"/>
        <v>3000000</v>
      </c>
      <c r="N68" s="33">
        <f t="shared" si="16"/>
        <v>3386250</v>
      </c>
      <c r="O68" s="33">
        <f t="shared" si="16"/>
        <v>3000000</v>
      </c>
      <c r="P68" s="33">
        <f t="shared" si="16"/>
        <v>3000000</v>
      </c>
      <c r="Q68" s="33">
        <f t="shared" si="16"/>
        <v>3386250</v>
      </c>
      <c r="R68" s="33">
        <f t="shared" si="16"/>
        <v>3000000</v>
      </c>
      <c r="S68" s="33">
        <f t="shared" si="16"/>
        <v>3000000</v>
      </c>
      <c r="T68" s="33">
        <f t="shared" si="16"/>
        <v>3386250</v>
      </c>
      <c r="U68" s="33">
        <f t="shared" si="16"/>
        <v>3000000</v>
      </c>
      <c r="V68" s="33">
        <f t="shared" si="16"/>
        <v>3000000</v>
      </c>
      <c r="W68" s="33">
        <f t="shared" si="16"/>
        <v>2878312.5</v>
      </c>
      <c r="X68" s="33">
        <f t="shared" si="16"/>
        <v>1500000</v>
      </c>
      <c r="Y68" s="33">
        <f t="shared" si="16"/>
        <v>450000</v>
      </c>
      <c r="Z68" s="33">
        <f t="shared" si="16"/>
        <v>169312.5</v>
      </c>
      <c r="AA68" s="33">
        <f t="shared" si="16"/>
        <v>0</v>
      </c>
    </row>
    <row r="69" spans="1:28" s="50" customFormat="1" x14ac:dyDescent="0.25">
      <c r="A69" s="52" t="s">
        <v>131</v>
      </c>
      <c r="B69" s="49">
        <f>B14*Assumption_Fattening!$C33</f>
        <v>0</v>
      </c>
      <c r="C69" s="49">
        <f>C14*Assumption_Fattening!$C33</f>
        <v>0</v>
      </c>
      <c r="D69" s="49">
        <f>D14*Assumption_Fattening!$C33</f>
        <v>0</v>
      </c>
      <c r="E69" s="49">
        <f>E14*Assumption_Fattening!$C33</f>
        <v>0</v>
      </c>
      <c r="F69" s="49">
        <f>F14*Assumption_Fattening!$C33</f>
        <v>0</v>
      </c>
      <c r="G69" s="49">
        <f>G14*Assumption_Fattening!$C33</f>
        <v>0</v>
      </c>
      <c r="H69" s="49">
        <f>H14*Assumption_Fattening!$C33</f>
        <v>0</v>
      </c>
      <c r="I69" s="49">
        <f>I14*Assumption_Fattening!$C33</f>
        <v>0</v>
      </c>
      <c r="J69" s="49">
        <f>J14*Assumption_Fattening!$C33</f>
        <v>0</v>
      </c>
      <c r="K69" s="49">
        <f>K14*Assumption_Fattening!$C33</f>
        <v>0</v>
      </c>
      <c r="L69" s="49">
        <f>L14*Assumption_Fattening!$C33</f>
        <v>0</v>
      </c>
      <c r="M69" s="49">
        <f>M14*Assumption_Fattening!$C33</f>
        <v>0</v>
      </c>
      <c r="N69" s="49">
        <f>N14*Assumption_Fattening!$C33</f>
        <v>0</v>
      </c>
      <c r="O69" s="49">
        <f>O14*Assumption_Fattening!$C33</f>
        <v>0</v>
      </c>
      <c r="P69" s="49">
        <f>P14*Assumption_Fattening!$C33</f>
        <v>0</v>
      </c>
      <c r="Q69" s="49">
        <f>Q14*Assumption_Fattening!$C33</f>
        <v>0</v>
      </c>
      <c r="R69" s="49">
        <f>R14*Assumption_Fattening!$C33</f>
        <v>0</v>
      </c>
      <c r="S69" s="49">
        <f>S14*Assumption_Fattening!$C33</f>
        <v>0</v>
      </c>
      <c r="T69" s="49">
        <f>T14*Assumption_Fattening!$C33</f>
        <v>0</v>
      </c>
      <c r="U69" s="49">
        <f>U14*Assumption_Fattening!$C33</f>
        <v>0</v>
      </c>
      <c r="V69" s="49">
        <f>V14*Assumption_Fattening!$C33</f>
        <v>0</v>
      </c>
      <c r="W69" s="49">
        <f>W14*Assumption_Fattening!$C33</f>
        <v>0</v>
      </c>
      <c r="X69" s="49">
        <f>X14*Assumption_Fattening!$C33</f>
        <v>0</v>
      </c>
      <c r="Y69" s="49">
        <f>Y14*Assumption_Fattening!$C33</f>
        <v>0</v>
      </c>
      <c r="Z69" s="49">
        <f>Z14*Assumption_Fattening!$C33</f>
        <v>0</v>
      </c>
      <c r="AA69" s="49">
        <f>AA14*Assumption_Fattening!$C33</f>
        <v>0</v>
      </c>
    </row>
    <row r="70" spans="1:28" x14ac:dyDescent="0.25">
      <c r="A70" s="117" t="s">
        <v>54</v>
      </c>
      <c r="B70" s="37">
        <f t="shared" ref="B70:AA70" si="17">SUM(B65:B69)</f>
        <v>0</v>
      </c>
      <c r="C70" s="37">
        <f t="shared" si="17"/>
        <v>1888125</v>
      </c>
      <c r="D70" s="37">
        <f t="shared" si="17"/>
        <v>5393750</v>
      </c>
      <c r="E70" s="37">
        <f t="shared" si="17"/>
        <v>8160015.5</v>
      </c>
      <c r="F70" s="37">
        <f t="shared" si="17"/>
        <v>6858125</v>
      </c>
      <c r="G70" s="37">
        <f t="shared" si="17"/>
        <v>6887500</v>
      </c>
      <c r="H70" s="37">
        <f t="shared" si="17"/>
        <v>7129430</v>
      </c>
      <c r="I70" s="37">
        <f t="shared" si="17"/>
        <v>6587500</v>
      </c>
      <c r="J70" s="37">
        <f t="shared" si="17"/>
        <v>6587500</v>
      </c>
      <c r="K70" s="37">
        <f t="shared" si="17"/>
        <v>7129430</v>
      </c>
      <c r="L70" s="37">
        <f t="shared" si="17"/>
        <v>6587500</v>
      </c>
      <c r="M70" s="37">
        <f t="shared" si="17"/>
        <v>6587500</v>
      </c>
      <c r="N70" s="37">
        <f t="shared" si="17"/>
        <v>7129430</v>
      </c>
      <c r="O70" s="37">
        <f t="shared" si="17"/>
        <v>6587500</v>
      </c>
      <c r="P70" s="37">
        <f t="shared" si="17"/>
        <v>6587500</v>
      </c>
      <c r="Q70" s="37">
        <f t="shared" si="17"/>
        <v>7129430</v>
      </c>
      <c r="R70" s="37">
        <f t="shared" si="17"/>
        <v>6587500</v>
      </c>
      <c r="S70" s="37">
        <f t="shared" si="17"/>
        <v>6587500</v>
      </c>
      <c r="T70" s="37">
        <f t="shared" si="17"/>
        <v>7129430</v>
      </c>
      <c r="U70" s="37">
        <f t="shared" si="17"/>
        <v>6587500</v>
      </c>
      <c r="V70" s="37">
        <f t="shared" si="17"/>
        <v>6587500</v>
      </c>
      <c r="W70" s="37">
        <f t="shared" si="17"/>
        <v>6060015.5</v>
      </c>
      <c r="X70" s="37">
        <f t="shared" si="17"/>
        <v>3293750</v>
      </c>
      <c r="Y70" s="37">
        <f t="shared" si="17"/>
        <v>988125</v>
      </c>
      <c r="Z70" s="37">
        <f t="shared" si="17"/>
        <v>356471.5</v>
      </c>
      <c r="AA70" s="37">
        <f t="shared" si="17"/>
        <v>0</v>
      </c>
    </row>
    <row r="71" spans="1:28" x14ac:dyDescent="0.25">
      <c r="B71" s="32"/>
      <c r="C71" s="32"/>
      <c r="D71" s="32"/>
      <c r="E71" s="32"/>
      <c r="F71" s="32"/>
      <c r="G71" s="32"/>
      <c r="H71" s="32"/>
      <c r="I71" s="32"/>
      <c r="J71" s="32"/>
      <c r="K71" s="32"/>
      <c r="L71" s="32"/>
    </row>
    <row r="72" spans="1:28" x14ac:dyDescent="0.25">
      <c r="A72" s="23" t="s">
        <v>55</v>
      </c>
      <c r="B72" s="34">
        <f t="shared" ref="B72:AA72" si="18">B62-B70</f>
        <v>0</v>
      </c>
      <c r="C72" s="34">
        <f t="shared" si="18"/>
        <v>-671201.25</v>
      </c>
      <c r="D72" s="34">
        <f t="shared" si="18"/>
        <v>-1296773.375</v>
      </c>
      <c r="E72" s="34">
        <f t="shared" si="18"/>
        <v>-3662326.3943607034</v>
      </c>
      <c r="F72" s="34">
        <f t="shared" si="18"/>
        <v>1082594.1248087501</v>
      </c>
      <c r="G72" s="34">
        <f t="shared" si="18"/>
        <v>1554738.22742825</v>
      </c>
      <c r="H72" s="34">
        <f t="shared" si="18"/>
        <v>-1677696.3726714421</v>
      </c>
      <c r="I72" s="34">
        <f t="shared" si="18"/>
        <v>2024427.215799557</v>
      </c>
      <c r="J72" s="34">
        <f t="shared" si="18"/>
        <v>2110546.4879575539</v>
      </c>
      <c r="K72" s="34">
        <f t="shared" si="18"/>
        <v>-1512503.3920297595</v>
      </c>
      <c r="L72" s="34">
        <f t="shared" si="18"/>
        <v>2285377.2223655023</v>
      </c>
      <c r="M72" s="34">
        <f t="shared" si="18"/>
        <v>2374105.9945891555</v>
      </c>
      <c r="N72" s="34">
        <f t="shared" si="18"/>
        <v>-1342304.8988816543</v>
      </c>
      <c r="O72" s="34">
        <f t="shared" si="18"/>
        <v>2554234.2750803977</v>
      </c>
      <c r="P72" s="34">
        <f t="shared" si="18"/>
        <v>2645651.6178312041</v>
      </c>
      <c r="Q72" s="34">
        <f t="shared" si="18"/>
        <v>-1166949.2211926673</v>
      </c>
      <c r="R72" s="34">
        <f t="shared" si="18"/>
        <v>2831237.9653496109</v>
      </c>
      <c r="S72" s="34">
        <f t="shared" si="18"/>
        <v>2925425.3450031076</v>
      </c>
      <c r="T72" s="34">
        <f t="shared" si="18"/>
        <v>-986280.09111402463</v>
      </c>
      <c r="U72" s="34">
        <f t="shared" si="18"/>
        <v>3116635.144437667</v>
      </c>
      <c r="V72" s="34">
        <f t="shared" si="18"/>
        <v>3213676.4958820455</v>
      </c>
      <c r="W72" s="34">
        <f t="shared" si="18"/>
        <v>-680116.02986614127</v>
      </c>
      <c r="X72" s="34">
        <f t="shared" si="18"/>
        <v>1705340.0717246383</v>
      </c>
      <c r="Y72" s="34">
        <f t="shared" si="18"/>
        <v>526599.29173256503</v>
      </c>
      <c r="Z72" s="34">
        <f t="shared" si="18"/>
        <v>-30417.629177741939</v>
      </c>
      <c r="AA72" s="34">
        <f t="shared" si="18"/>
        <v>0</v>
      </c>
    </row>
    <row r="73" spans="1:28" x14ac:dyDescent="0.25">
      <c r="B73" s="32"/>
      <c r="C73" s="32"/>
      <c r="D73" s="32"/>
      <c r="E73" s="32"/>
      <c r="F73" s="32"/>
      <c r="G73" s="32"/>
      <c r="H73" s="32"/>
      <c r="I73" s="32"/>
      <c r="J73" s="32"/>
      <c r="K73" s="32"/>
      <c r="L73" s="32"/>
    </row>
    <row r="74" spans="1:28" s="12" customFormat="1" x14ac:dyDescent="0.25">
      <c r="A74" s="10" t="s">
        <v>319</v>
      </c>
      <c r="B74" s="346">
        <f>B62/(1+Assumption_Fattening!$C76)^'RCP 8.5_Fattening'!B59</f>
        <v>0</v>
      </c>
      <c r="C74" s="346">
        <f>C62/(1+Assumption_Fattening!$C76)^'RCP 8.5_Fattening'!C59</f>
        <v>1148041.2735849055</v>
      </c>
      <c r="D74" s="346">
        <f>D62/(1+Assumption_Fattening!$C76)^'RCP 8.5_Fattening'!D59</f>
        <v>3646294.6110715554</v>
      </c>
      <c r="E74" s="346">
        <f>E62/(1+Assumption_Fattening!$C76)^'RCP 8.5_Fattening'!E59</f>
        <v>3776346.5021790601</v>
      </c>
      <c r="F74" s="346">
        <f>F62/(1+Assumption_Fattening!$C76)^'RCP 8.5_Fattening'!F59</f>
        <v>6289793.3003139701</v>
      </c>
      <c r="G74" s="346">
        <f>G62/(1+Assumption_Fattening!$C76)^'RCP 8.5_Fattening'!G59</f>
        <v>6308531.5127280131</v>
      </c>
      <c r="H74" s="346">
        <f>H62/(1+Assumption_Fattening!$C76)^'RCP 8.5_Fattening'!H59</f>
        <v>3843257.084254697</v>
      </c>
      <c r="I74" s="346">
        <f>I62/(1+Assumption_Fattening!$C76)^'RCP 8.5_Fattening'!I59</f>
        <v>5727423.4568652939</v>
      </c>
      <c r="J74" s="346">
        <f>J62/(1+Assumption_Fattening!$C76)^'RCP 8.5_Fattening'!J59</f>
        <v>5457261.9730508942</v>
      </c>
      <c r="K74" s="346">
        <f>K62/(1+Assumption_Fattening!$C76)^'RCP 8.5_Fattening'!K59</f>
        <v>3324650.2290185005</v>
      </c>
      <c r="L74" s="346">
        <f>L62/(1+Assumption_Fattening!$C76)^'RCP 8.5_Fattening'!L59</f>
        <v>4954568.2971780151</v>
      </c>
      <c r="M74" s="346">
        <f>M62/(1+Assumption_Fattening!$C76)^'RCP 8.5_Fattening'!M59</f>
        <v>4720862.245424334</v>
      </c>
      <c r="N74" s="346">
        <f>N62/(1+Assumption_Fattening!$C76)^'RCP 8.5_Fattening'!N59</f>
        <v>2876023.8784432691</v>
      </c>
      <c r="O74" s="346">
        <f>O62/(1+Assumption_Fattening!$C76)^'RCP 8.5_Fattening'!O59</f>
        <v>4286001.7591290157</v>
      </c>
      <c r="P74" s="346">
        <f>P62/(1+Assumption_Fattening!$C76)^'RCP 8.5_Fattening'!P59</f>
        <v>4083831.8648304786</v>
      </c>
      <c r="Q74" s="346">
        <f>Q62/(1+Assumption_Fattening!$C76)^'RCP 8.5_Fattening'!Q59</f>
        <v>2487934.9043035335</v>
      </c>
      <c r="R74" s="346">
        <f>R62/(1+Assumption_Fattening!$C76)^'RCP 8.5_Fattening'!R59</f>
        <v>3707651.197324289</v>
      </c>
      <c r="S74" s="346">
        <f>S62/(1+Assumption_Fattening!$C76)^'RCP 8.5_Fattening'!S59</f>
        <v>3532761.9899033317</v>
      </c>
      <c r="T74" s="346">
        <f>T62/(1+Assumption_Fattening!$C76)^'RCP 8.5_Fattening'!T59</f>
        <v>2152214.4285541386</v>
      </c>
      <c r="U74" s="346">
        <f>U62/(1+Assumption_Fattening!$C76)^'RCP 8.5_Fattening'!U59</f>
        <v>3207342.9208796611</v>
      </c>
      <c r="V74" s="346">
        <f>V62/(1+Assumption_Fattening!$C76)^'RCP 8.5_Fattening'!V59</f>
        <v>3056053.1604608097</v>
      </c>
      <c r="W74" s="346">
        <f>W62/(1+Assumption_Fattening!$C76)^'RCP 8.5_Fattening'!W59</f>
        <v>1582526.4952449782</v>
      </c>
      <c r="X74" s="346">
        <f>X62/(1+Assumption_Fattening!$C76)^'RCP 8.5_Fattening'!X59</f>
        <v>1387272.9748069027</v>
      </c>
      <c r="Y74" s="346">
        <f>Y62/(1+Assumption_Fattening!$C76)^'RCP 8.5_Fattening'!Y59</f>
        <v>396550.67110046354</v>
      </c>
      <c r="Z74" s="346">
        <f>Z62/(1+Assumption_Fattening!$C76)^'RCP 8.5_Fattening'!Z59</f>
        <v>80528.311694404911</v>
      </c>
      <c r="AA74" s="346">
        <f>AA62/(1+Assumption_Fattening!$C76)^'RCP 8.5_Fattening'!AA59</f>
        <v>0</v>
      </c>
      <c r="AB74" s="343">
        <f>SUM(B74:AA74)</f>
        <v>82033725.042344525</v>
      </c>
    </row>
    <row r="75" spans="1:28" s="12" customFormat="1" x14ac:dyDescent="0.25">
      <c r="A75" s="10" t="s">
        <v>320</v>
      </c>
      <c r="B75" s="346">
        <f>B70/(1+Assumption_Fattening!$C76)^'RCP 8.5_Fattening'!B59</f>
        <v>0</v>
      </c>
      <c r="C75" s="346">
        <f>C70/(1+Assumption_Fattening!$C76)^'RCP 8.5_Fattening'!C59</f>
        <v>1781250</v>
      </c>
      <c r="D75" s="346">
        <f>D70/(1+Assumption_Fattening!$C76)^'RCP 8.5_Fattening'!D59</f>
        <v>4800418.2983268062</v>
      </c>
      <c r="E75" s="346">
        <f>E70/(1+Assumption_Fattening!$C76)^'RCP 8.5_Fattening'!E59</f>
        <v>6851306.3636424681</v>
      </c>
      <c r="F75" s="346">
        <f>F70/(1+Assumption_Fattening!$C76)^'RCP 8.5_Fattening'!F59</f>
        <v>5432277.354194249</v>
      </c>
      <c r="G75" s="346">
        <f>G70/(1+Assumption_Fattening!$C76)^'RCP 8.5_Fattening'!G59</f>
        <v>5146740.6656149672</v>
      </c>
      <c r="H75" s="346">
        <f>H70/(1+Assumption_Fattening!$C76)^'RCP 8.5_Fattening'!H59</f>
        <v>5025966.8258268414</v>
      </c>
      <c r="I75" s="346">
        <f>I70/(1+Assumption_Fattening!$C76)^'RCP 8.5_Fattening'!I59</f>
        <v>4381063.7359871389</v>
      </c>
      <c r="J75" s="346">
        <f>J70/(1+Assumption_Fattening!$C76)^'RCP 8.5_Fattening'!J59</f>
        <v>4133078.9962142822</v>
      </c>
      <c r="K75" s="346">
        <f>K70/(1+Assumption_Fattening!$C76)^'RCP 8.5_Fattening'!K59</f>
        <v>4219898.6628448665</v>
      </c>
      <c r="L75" s="346">
        <f>L70/(1+Assumption_Fattening!$C76)^'RCP 8.5_Fattening'!L59</f>
        <v>3678425.5929283388</v>
      </c>
      <c r="M75" s="346">
        <f>M70/(1+Assumption_Fattening!$C76)^'RCP 8.5_Fattening'!M59</f>
        <v>3470212.8235173002</v>
      </c>
      <c r="N75" s="346">
        <f>N70/(1+Assumption_Fattening!$C76)^'RCP 8.5_Fattening'!N59</f>
        <v>3543108.2897667745</v>
      </c>
      <c r="O75" s="346">
        <f>O70/(1+Assumption_Fattening!$C76)^'RCP 8.5_Fattening'!O59</f>
        <v>3088477.0590221607</v>
      </c>
      <c r="P75" s="346">
        <f>P70/(1+Assumption_Fattening!$C76)^'RCP 8.5_Fattening'!P59</f>
        <v>2913657.6028510951</v>
      </c>
      <c r="Q75" s="346">
        <f>Q70/(1+Assumption_Fattening!$C76)^'RCP 8.5_Fattening'!Q59</f>
        <v>2974862.0419597835</v>
      </c>
      <c r="R75" s="346">
        <f>R70/(1+Assumption_Fattening!$C76)^'RCP 8.5_Fattening'!R59</f>
        <v>2593144.893957899</v>
      </c>
      <c r="S75" s="346">
        <f>S70/(1+Assumption_Fattening!$C76)^'RCP 8.5_Fattening'!S59</f>
        <v>2446363.1075074514</v>
      </c>
      <c r="T75" s="346">
        <f>T70/(1+Assumption_Fattening!$C76)^'RCP 8.5_Fattening'!T59</f>
        <v>2497751.5347902831</v>
      </c>
      <c r="U75" s="346">
        <f>U70/(1+Assumption_Fattening!$C76)^'RCP 8.5_Fattening'!U59</f>
        <v>2177254.4566638051</v>
      </c>
      <c r="V75" s="346">
        <f>V70/(1+Assumption_Fattening!$C76)^'RCP 8.5_Fattening'!V59</f>
        <v>2054013.6383620801</v>
      </c>
      <c r="W75" s="346">
        <f>W70/(1+Assumption_Fattening!$C76)^'RCP 8.5_Fattening'!W59</f>
        <v>1782586.2999084312</v>
      </c>
      <c r="X75" s="346">
        <f>X70/(1+Assumption_Fattening!$C76)^'RCP 8.5_Fattening'!X59</f>
        <v>914032.41294147365</v>
      </c>
      <c r="Y75" s="346">
        <f>Y70/(1+Assumption_Fattening!$C76)^'RCP 8.5_Fattening'!Y59</f>
        <v>258688.41875702082</v>
      </c>
      <c r="Z75" s="346">
        <f>Z70/(1+Assumption_Fattening!$C76)^'RCP 8.5_Fattening'!Z59</f>
        <v>88040.81359248946</v>
      </c>
      <c r="AA75" s="346">
        <f>AA70/(1+Assumption_Fattening!$C76)^'RCP 8.5_Fattening'!AA59</f>
        <v>0</v>
      </c>
      <c r="AB75" s="343">
        <f>SUM(B75:AA75)</f>
        <v>76252619.889177993</v>
      </c>
    </row>
    <row r="76" spans="1:28" x14ac:dyDescent="0.25">
      <c r="B76" s="32"/>
      <c r="C76" s="32"/>
      <c r="D76" s="32"/>
      <c r="E76" s="32"/>
      <c r="F76" s="32"/>
      <c r="G76" s="32"/>
      <c r="H76" s="32"/>
      <c r="I76" s="32"/>
      <c r="J76" s="32"/>
      <c r="K76" s="32"/>
      <c r="L76" s="32"/>
    </row>
    <row r="77" spans="1:28" s="12" customFormat="1" x14ac:dyDescent="0.25">
      <c r="A77" s="25" t="s">
        <v>318</v>
      </c>
      <c r="B77" s="35">
        <f>NPV(Assumption_Hatchery!C76,C72:Z72)+B72</f>
        <v>5781105.1531665102</v>
      </c>
      <c r="C77" s="40"/>
      <c r="D77" s="40"/>
      <c r="E77" s="40"/>
      <c r="F77" s="40"/>
      <c r="G77" s="40"/>
      <c r="H77" s="40"/>
      <c r="I77" s="40"/>
      <c r="J77" s="40"/>
      <c r="K77" s="40"/>
      <c r="L77" s="40"/>
    </row>
    <row r="79" spans="1:28" s="12" customFormat="1" x14ac:dyDescent="0.25">
      <c r="A79" s="25" t="s">
        <v>238</v>
      </c>
      <c r="B79" s="36">
        <f>IRR(B72:Z72)</f>
        <v>0.15566538695963783</v>
      </c>
      <c r="C79" s="4"/>
      <c r="D79" s="4"/>
      <c r="E79" s="4"/>
      <c r="F79" s="4"/>
      <c r="G79" s="4"/>
      <c r="H79" s="4"/>
      <c r="I79" s="4"/>
      <c r="J79" s="4"/>
      <c r="K79" s="4"/>
      <c r="L79" s="4"/>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7030A0"/>
  </sheetPr>
  <dimension ref="A2:R95"/>
  <sheetViews>
    <sheetView showGridLines="0" topLeftCell="A22" zoomScale="70" zoomScaleNormal="70" workbookViewId="0">
      <selection activeCell="C50" sqref="C50"/>
    </sheetView>
  </sheetViews>
  <sheetFormatPr defaultColWidth="9" defaultRowHeight="15" x14ac:dyDescent="0.25"/>
  <cols>
    <col min="1" max="1" width="48.7109375" style="10" customWidth="1"/>
    <col min="2" max="2" width="16.28515625" style="26" customWidth="1"/>
    <col min="3" max="3" width="16.140625" style="26" customWidth="1"/>
    <col min="4" max="4" width="17" style="26" customWidth="1"/>
    <col min="5" max="5" width="17.140625" style="26" customWidth="1"/>
    <col min="6" max="6" width="18" style="26" customWidth="1"/>
    <col min="7" max="7" width="18.5703125" style="26" customWidth="1"/>
    <col min="8" max="8" width="18.7109375" style="26" customWidth="1"/>
    <col min="9" max="9" width="16.5703125" style="26" customWidth="1"/>
    <col min="10" max="10" width="18.7109375" style="26" customWidth="1"/>
    <col min="11" max="11" width="16.28515625" style="26" customWidth="1"/>
    <col min="12" max="12" width="16.7109375" style="26" customWidth="1"/>
    <col min="13" max="13" width="16.140625" style="3" customWidth="1"/>
    <col min="14" max="14" width="16.28515625" style="3" customWidth="1"/>
    <col min="15" max="15" width="15.85546875" style="3" customWidth="1"/>
    <col min="16" max="16" width="16.5703125" style="3" customWidth="1"/>
    <col min="17" max="17" width="13.85546875" style="3" customWidth="1"/>
    <col min="18" max="16384" width="9" style="3"/>
  </cols>
  <sheetData>
    <row r="2" spans="1:16" ht="38.25" customHeight="1" x14ac:dyDescent="0.25">
      <c r="A2" s="11" t="s">
        <v>315</v>
      </c>
      <c r="B2" s="30"/>
      <c r="C2" s="69"/>
      <c r="D2" s="70"/>
      <c r="E2" s="30"/>
      <c r="F2" s="116" t="s">
        <v>91</v>
      </c>
      <c r="G2" s="30"/>
      <c r="H2" s="30"/>
      <c r="I2" s="30"/>
      <c r="J2" s="30"/>
      <c r="K2" s="30"/>
      <c r="L2" s="30"/>
      <c r="M2" s="11"/>
    </row>
    <row r="3" spans="1:16" ht="15" customHeight="1" x14ac:dyDescent="0.25">
      <c r="A3" s="22"/>
      <c r="B3" s="30"/>
      <c r="C3" s="30"/>
      <c r="D3" s="30"/>
      <c r="E3" s="30"/>
      <c r="F3" s="30"/>
      <c r="G3" s="30"/>
      <c r="H3" s="30"/>
      <c r="I3" s="30"/>
      <c r="J3" s="30"/>
      <c r="K3" s="30"/>
      <c r="L3" s="30"/>
      <c r="M3" s="11"/>
    </row>
    <row r="4" spans="1:1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row>
    <row r="5" spans="1:16" x14ac:dyDescent="0.25">
      <c r="A5" s="23" t="s">
        <v>3</v>
      </c>
    </row>
    <row r="6" spans="1:16" x14ac:dyDescent="0.25">
      <c r="A6" s="10" t="s">
        <v>174</v>
      </c>
      <c r="B6" s="31">
        <f>'Eco Assumption_Goat'!D11*'Eco Assumption_Goat'!D176*'Eco Assumption_Goat'!D177*'Eco Assumption_Goat'!D177*(1+'Eco Assumption_Goat'!D178)^'Eco Assumption_Goat'!D175</f>
        <v>0</v>
      </c>
      <c r="C6" s="31">
        <v>0</v>
      </c>
      <c r="D6" s="31">
        <f>'Eco Assumption_Goat'!F11*'Eco Assumption_Goat'!F176*'Eco Assumption_Goat'!F177*(1+'Eco Assumption_Goat'!F178)^'Eco Assumption_Goat'!F175</f>
        <v>1943290.5</v>
      </c>
      <c r="E6" s="188">
        <f>'Eco Assumption_Goat'!G11*'Eco Assumption_Goat'!G176*'Eco Assumption_Goat'!G177*(1+'Eco Assumption_Goat'!G178)^'Eco Assumption_Goat'!G175</f>
        <v>2878660.9939999999</v>
      </c>
      <c r="F6" s="190">
        <f>'Eco Assumption_Goat'!H11*'Eco Assumption_Goat'!H176*'Eco Assumption_Goat'!H177*(1+'Eco Assumption_Goat'!H178)^'Eco Assumption_Goat'!H175</f>
        <v>4625484.8244500002</v>
      </c>
      <c r="G6" s="31">
        <f>'Eco Assumption_Goat'!I11*'Eco Assumption_Goat'!I176*'Eco Assumption_Goat'!I177*(1+'Eco Assumption_Goat'!I178)^'Eco Assumption_Goat'!I175</f>
        <v>5339131.0545079997</v>
      </c>
      <c r="H6" s="188">
        <f>'Eco Assumption_Goat'!J11*'Eco Assumption_Goat'!J176*'Eco Assumption_Goat'!J177*(1+'Eco Assumption_Goat'!J178)^'Eco Assumption_Goat'!J175</f>
        <v>4745419.6812467109</v>
      </c>
      <c r="I6" s="31">
        <f>'Eco Assumption_Goat'!K11*'Eco Assumption_Goat'!K176*'Eco Assumption_Goat'!K177*(1+'Eco Assumption_Goat'!K178)^'Eco Assumption_Goat'!K175</f>
        <v>5446447.58870361</v>
      </c>
      <c r="J6" s="31">
        <f>'Eco Assumption_Goat'!L11*'Eco Assumption_Goat'!L176*'Eco Assumption_Goat'!L177*(1+'Eco Assumption_Goat'!L178)^'Eco Assumption_Goat'!L175</f>
        <v>5500912.0645906478</v>
      </c>
      <c r="K6" s="188">
        <f>'Eco Assumption_Goat'!M11*'Eco Assumption_Goat'!M176*'Eco Assumption_Goat'!M177*(1+'Eco Assumption_Goat'!M178)^'Eco Assumption_Goat'!M175</f>
        <v>4889210.6430081679</v>
      </c>
      <c r="L6" s="31">
        <f>'Eco Assumption_Goat'!N11*'Eco Assumption_Goat'!N176*'Eco Assumption_Goat'!N177*(1+'Eco Assumption_Goat'!N178)^'Eco Assumption_Goat'!N175</f>
        <v>4910045.3474528054</v>
      </c>
      <c r="M6" s="31">
        <f>'Eco Assumption_Goat'!O11*'Eco Assumption_Goat'!O176*'Eco Assumption_Goat'!O177*(1+'Eco Assumption_Goat'!O178)^'Eco Assumption_Goat'!O175</f>
        <v>3542247.0006623799</v>
      </c>
      <c r="N6" s="188">
        <f>'Eco Assumption_Goat'!P11*'Eco Assumption_Goat'!P176*'Eco Assumption_Goat'!P177*(1+'Eco Assumption_Goat'!P178)^'Eco Assumption_Goat'!P175</f>
        <v>1889009.4805132342</v>
      </c>
      <c r="O6" s="31">
        <f>'Eco Assumption_Goat'!Q11*'Eco Assumption_Goat'!Q176*'Eco Assumption_Goat'!Q177*(1+'Eco Assumption_Goat'!Q178)^'Eco Assumption_Goat'!Q175</f>
        <v>722689.23307513888</v>
      </c>
      <c r="P6" s="31">
        <f>'Eco Assumption_Goat'!R11*'Eco Assumption_Goat'!R176*'Eco Assumption_Goat'!R177*(1+'Eco Assumption_Goat'!R178)^'Eco Assumption_Goat'!R175</f>
        <v>729916.12540589029</v>
      </c>
    </row>
    <row r="7" spans="1:16" x14ac:dyDescent="0.25">
      <c r="A7" s="10" t="s">
        <v>52</v>
      </c>
      <c r="B7" s="31">
        <f>'Eco Assumption_Goat'!D10*'Eco Assumption_Goat'!D179*'Eco Assumption_Goat'!D185</f>
        <v>0</v>
      </c>
      <c r="C7" s="31">
        <f>'Eco Assumption_Goat'!E10*'Eco Assumption_Goat'!E179*'Eco Assumption_Goat'!E185</f>
        <v>0</v>
      </c>
      <c r="D7" s="31">
        <f>'Eco Assumption_Goat'!F10*'Eco Assumption_Goat'!F179*'Eco Assumption_Goat'!F185</f>
        <v>0</v>
      </c>
      <c r="E7" s="188">
        <f>'Eco Assumption_Goat'!G10*'Eco Assumption_Goat'!G179*'Eco Assumption_Goat'!G185</f>
        <v>0</v>
      </c>
      <c r="F7" s="31">
        <f>'Eco Assumption_Goat'!H10*'Eco Assumption_Goat'!H179*'Eco Assumption_Goat'!H185</f>
        <v>0</v>
      </c>
      <c r="G7" s="31">
        <f>'Eco Assumption_Goat'!I10*'Eco Assumption_Goat'!I179*'Eco Assumption_Goat'!I185</f>
        <v>0</v>
      </c>
      <c r="H7" s="188">
        <f>'Eco Assumption_Goat'!J10*'Eco Assumption_Goat'!J179*'Eco Assumption_Goat'!J185</f>
        <v>0</v>
      </c>
      <c r="I7" s="31">
        <f>'Eco Assumption_Goat'!K10*'Eco Assumption_Goat'!K179*'Eco Assumption_Goat'!K185</f>
        <v>0</v>
      </c>
      <c r="J7" s="31">
        <f>'Eco Assumption_Goat'!L10*'Eco Assumption_Goat'!L179*'Eco Assumption_Goat'!L185</f>
        <v>0</v>
      </c>
      <c r="K7" s="188">
        <f>'Eco Assumption_Goat'!M10*'Eco Assumption_Goat'!M179*'Eco Assumption_Goat'!M185</f>
        <v>0</v>
      </c>
      <c r="L7" s="31">
        <f>'Eco Assumption_Goat'!N10*'Eco Assumption_Goat'!N179*'Eco Assumption_Goat'!N185</f>
        <v>56000</v>
      </c>
      <c r="M7" s="31">
        <f>'Eco Assumption_Goat'!O10*'Eco Assumption_Goat'!O179*'Eco Assumption_Goat'!O185</f>
        <v>112000</v>
      </c>
      <c r="N7" s="188">
        <f>'Eco Assumption_Goat'!P10*'Eco Assumption_Goat'!P179*'Eco Assumption_Goat'!P185</f>
        <v>106400</v>
      </c>
      <c r="O7" s="31">
        <f>'Eco Assumption_Goat'!Q10*'Eco Assumption_Goat'!Q179*'Eco Assumption_Goat'!Q185</f>
        <v>112000</v>
      </c>
      <c r="P7" s="31">
        <f>'Eco Assumption_Goat'!R10*'Eco Assumption_Goat'!R179*'Eco Assumption_Goat'!R185</f>
        <v>56000</v>
      </c>
    </row>
    <row r="8" spans="1:16" x14ac:dyDescent="0.25">
      <c r="A8" s="10" t="s">
        <v>190</v>
      </c>
      <c r="B8" s="31">
        <f>'Eco Assumption_Goat'!D10*'Eco Assumption_Goat'!D180</f>
        <v>0</v>
      </c>
      <c r="C8" s="31">
        <f>'Eco Assumption_Goat'!E10*'Eco Assumption_Goat'!E180</f>
        <v>0</v>
      </c>
      <c r="D8" s="31">
        <f>'Eco Assumption_Goat'!F10*'Eco Assumption_Goat'!F180</f>
        <v>0</v>
      </c>
      <c r="E8" s="31">
        <f>'Eco Assumption_Goat'!G10*'Eco Assumption_Goat'!G180</f>
        <v>0</v>
      </c>
      <c r="F8" s="31">
        <f>'Eco Assumption_Goat'!H10*'Eco Assumption_Goat'!H180</f>
        <v>0</v>
      </c>
      <c r="G8" s="31">
        <f>'Eco Assumption_Goat'!I10*'Eco Assumption_Goat'!I180</f>
        <v>0</v>
      </c>
      <c r="H8" s="31">
        <f>'Eco Assumption_Goat'!J10*'Eco Assumption_Goat'!J180</f>
        <v>0</v>
      </c>
      <c r="I8" s="31">
        <f>'Eco Assumption_Goat'!K10*'Eco Assumption_Goat'!K180</f>
        <v>0</v>
      </c>
      <c r="J8" s="31">
        <f>'Eco Assumption_Goat'!L10*'Eco Assumption_Goat'!L180</f>
        <v>0</v>
      </c>
      <c r="K8" s="31">
        <f>'Eco Assumption_Goat'!M10*'Eco Assumption_Goat'!M180</f>
        <v>0</v>
      </c>
      <c r="L8" s="31">
        <f>'Eco Assumption_Goat'!N10*'Eco Assumption_Goat'!N180</f>
        <v>412500</v>
      </c>
      <c r="M8" s="31">
        <f>'Eco Assumption_Goat'!O10*'Eco Assumption_Goat'!O180</f>
        <v>825000</v>
      </c>
      <c r="N8" s="31">
        <f>'Eco Assumption_Goat'!P10*'Eco Assumption_Goat'!P180</f>
        <v>825000</v>
      </c>
      <c r="O8" s="31">
        <f>'Eco Assumption_Goat'!Q10*'Eco Assumption_Goat'!Q180</f>
        <v>825000</v>
      </c>
      <c r="P8" s="31">
        <f>'Eco Assumption_Goat'!R10*'Eco Assumption_Goat'!R180</f>
        <v>412500</v>
      </c>
    </row>
    <row r="9" spans="1:16" s="12" customFormat="1" x14ac:dyDescent="0.25">
      <c r="A9" s="23" t="s">
        <v>53</v>
      </c>
      <c r="B9" s="38">
        <f>B6+B7+B8</f>
        <v>0</v>
      </c>
      <c r="C9" s="38">
        <f t="shared" ref="C9:P9" si="0">C6+C7+C8</f>
        <v>0</v>
      </c>
      <c r="D9" s="38">
        <f t="shared" si="0"/>
        <v>1943290.5</v>
      </c>
      <c r="E9" s="38">
        <f t="shared" si="0"/>
        <v>2878660.9939999999</v>
      </c>
      <c r="F9" s="38">
        <f t="shared" si="0"/>
        <v>4625484.8244500002</v>
      </c>
      <c r="G9" s="38">
        <f t="shared" si="0"/>
        <v>5339131.0545079997</v>
      </c>
      <c r="H9" s="38">
        <f t="shared" si="0"/>
        <v>4745419.6812467109</v>
      </c>
      <c r="I9" s="38">
        <f t="shared" si="0"/>
        <v>5446447.58870361</v>
      </c>
      <c r="J9" s="38">
        <f t="shared" si="0"/>
        <v>5500912.0645906478</v>
      </c>
      <c r="K9" s="38">
        <f t="shared" si="0"/>
        <v>4889210.6430081679</v>
      </c>
      <c r="L9" s="38">
        <f t="shared" si="0"/>
        <v>5378545.3474528054</v>
      </c>
      <c r="M9" s="38">
        <f t="shared" si="0"/>
        <v>4479247.0006623799</v>
      </c>
      <c r="N9" s="38">
        <f t="shared" si="0"/>
        <v>2820409.4805132342</v>
      </c>
      <c r="O9" s="38">
        <f t="shared" si="0"/>
        <v>1659689.2330751389</v>
      </c>
      <c r="P9" s="38">
        <f t="shared" si="0"/>
        <v>1198416.1254058904</v>
      </c>
    </row>
    <row r="10" spans="1:16" x14ac:dyDescent="0.25">
      <c r="A10" s="23"/>
      <c r="B10" s="41"/>
      <c r="C10" s="41"/>
      <c r="D10" s="41"/>
      <c r="E10" s="41"/>
      <c r="F10" s="41"/>
      <c r="G10" s="41"/>
      <c r="H10" s="41"/>
      <c r="I10" s="41"/>
      <c r="J10" s="41"/>
      <c r="K10" s="41"/>
    </row>
    <row r="11" spans="1:16" x14ac:dyDescent="0.25">
      <c r="A11" s="23" t="s">
        <v>20</v>
      </c>
    </row>
    <row r="12" spans="1:16" x14ac:dyDescent="0.25">
      <c r="A12" s="9" t="str">
        <f>'Eco Assumption_Goat'!B185</f>
        <v>Slated House Construction</v>
      </c>
      <c r="B12" s="33">
        <f>'Eco Assumption_Goat'!D9*'Eco Assumption_Goat'!D185</f>
        <v>0</v>
      </c>
      <c r="C12" s="33">
        <f>'Eco Assumption_Goat'!E9*'Eco Assumption_Goat'!E185</f>
        <v>280000</v>
      </c>
      <c r="D12" s="33">
        <f>'Eco Assumption_Goat'!F9*'Eco Assumption_Goat'!F185</f>
        <v>560000</v>
      </c>
      <c r="E12" s="33">
        <f>'Eco Assumption_Goat'!G9*'Eco Assumption_Goat'!G185</f>
        <v>560000</v>
      </c>
      <c r="F12" s="33">
        <f>'Eco Assumption_Goat'!H9*'Eco Assumption_Goat'!H185</f>
        <v>560000</v>
      </c>
      <c r="G12" s="33">
        <f>'Eco Assumption_Goat'!I9*'Eco Assumption_Goat'!I185</f>
        <v>280000</v>
      </c>
      <c r="H12" s="33">
        <f>'Eco Assumption_Goat'!J9*'Eco Assumption_Goat'!J185</f>
        <v>0</v>
      </c>
      <c r="I12" s="33">
        <f>'Eco Assumption_Goat'!K9*'Eco Assumption_Goat'!K185</f>
        <v>0</v>
      </c>
      <c r="J12" s="33">
        <f>'Eco Assumption_Goat'!L9*'Eco Assumption_Goat'!L185</f>
        <v>0</v>
      </c>
      <c r="K12" s="33">
        <f>'Eco Assumption_Goat'!M9*'Eco Assumption_Goat'!M185</f>
        <v>0</v>
      </c>
      <c r="L12" s="33">
        <f>'Eco Assumption_Goat'!N9*'Eco Assumption_Goat'!N185</f>
        <v>0</v>
      </c>
      <c r="M12" s="33">
        <f>'Eco Assumption_Goat'!O9*'Eco Assumption_Goat'!O185</f>
        <v>0</v>
      </c>
      <c r="N12" s="33">
        <f>'Eco Assumption_Goat'!P9*'Eco Assumption_Goat'!P185</f>
        <v>0</v>
      </c>
      <c r="O12" s="33">
        <f>'Eco Assumption_Goat'!Q9*'Eco Assumption_Goat'!Q185</f>
        <v>0</v>
      </c>
      <c r="P12" s="33">
        <f>'Eco Assumption_Goat'!R9*'Eco Assumption_Goat'!R185</f>
        <v>0</v>
      </c>
    </row>
    <row r="13" spans="1:16" x14ac:dyDescent="0.25">
      <c r="A13" s="9" t="str">
        <f>'Eco Assumption_Goat'!B186</f>
        <v>Mother Goat Purchase</v>
      </c>
      <c r="B13" s="33">
        <f>'Eco Assumption_Goat'!D9*'Eco Assumption_Goat'!D186</f>
        <v>0</v>
      </c>
      <c r="C13" s="33">
        <f>'Eco Assumption_Goat'!E9*'Eco Assumption_Goat'!E186</f>
        <v>375000</v>
      </c>
      <c r="D13" s="33">
        <f>'Eco Assumption_Goat'!F9*'Eco Assumption_Goat'!F186</f>
        <v>750000</v>
      </c>
      <c r="E13" s="33">
        <f>'Eco Assumption_Goat'!G9*'Eco Assumption_Goat'!G186</f>
        <v>750000</v>
      </c>
      <c r="F13" s="33">
        <f>'Eco Assumption_Goat'!H9*'Eco Assumption_Goat'!H186</f>
        <v>750000</v>
      </c>
      <c r="G13" s="33">
        <f>'Eco Assumption_Goat'!I9*'Eco Assumption_Goat'!I186</f>
        <v>375000</v>
      </c>
      <c r="H13" s="33">
        <f>'Eco Assumption_Goat'!J9*'Eco Assumption_Goat'!J186</f>
        <v>0</v>
      </c>
      <c r="I13" s="33">
        <f>'Eco Assumption_Goat'!K9*'Eco Assumption_Goat'!K186</f>
        <v>0</v>
      </c>
      <c r="J13" s="33">
        <f>'Eco Assumption_Goat'!L9*'Eco Assumption_Goat'!L186</f>
        <v>0</v>
      </c>
      <c r="K13" s="33">
        <f>'Eco Assumption_Goat'!M9*'Eco Assumption_Goat'!M186</f>
        <v>0</v>
      </c>
      <c r="L13" s="33">
        <f>'Eco Assumption_Goat'!N9*'Eco Assumption_Goat'!N186</f>
        <v>0</v>
      </c>
      <c r="M13" s="33">
        <f>'Eco Assumption_Goat'!O9*'Eco Assumption_Goat'!O186</f>
        <v>0</v>
      </c>
      <c r="N13" s="33">
        <f>'Eco Assumption_Goat'!P9*'Eco Assumption_Goat'!P186</f>
        <v>0</v>
      </c>
      <c r="O13" s="33">
        <f>'Eco Assumption_Goat'!Q9*'Eco Assumption_Goat'!Q186</f>
        <v>0</v>
      </c>
      <c r="P13" s="33">
        <f>'Eco Assumption_Goat'!R9*'Eco Assumption_Goat'!R186</f>
        <v>0</v>
      </c>
    </row>
    <row r="14" spans="1:16" x14ac:dyDescent="0.25">
      <c r="A14" s="9" t="str">
        <f>'Eco Assumption_Goat'!B187</f>
        <v>Maintenance Cost</v>
      </c>
      <c r="B14" s="33">
        <f>'Eco Assumption_Goat'!D11*'Eco Assumption_Goat'!D187</f>
        <v>0</v>
      </c>
      <c r="C14" s="33">
        <v>0</v>
      </c>
      <c r="D14" s="33">
        <f>'Eco Assumption_Goat'!F11*'Eco Assumption_Goat'!F187</f>
        <v>90000</v>
      </c>
      <c r="E14" s="189">
        <f>'Eco Assumption_Goat'!G11*'Eco Assumption_Goat'!G187</f>
        <v>157500.00000000003</v>
      </c>
      <c r="F14" s="33">
        <f>'Eco Assumption_Goat'!H11*'Eco Assumption_Goat'!H187</f>
        <v>210000</v>
      </c>
      <c r="G14" s="33">
        <f>'Eco Assumption_Goat'!I11*'Eco Assumption_Goat'!I187</f>
        <v>240000</v>
      </c>
      <c r="H14" s="189">
        <f>'Eco Assumption_Goat'!J11*'Eco Assumption_Goat'!J187</f>
        <v>252000.00000000003</v>
      </c>
      <c r="I14" s="33">
        <f>'Eco Assumption_Goat'!K11*'Eco Assumption_Goat'!K187</f>
        <v>240000</v>
      </c>
      <c r="J14" s="33">
        <f>'Eco Assumption_Goat'!L11*'Eco Assumption_Goat'!L187</f>
        <v>240000</v>
      </c>
      <c r="K14" s="189">
        <f>'Eco Assumption_Goat'!M11*'Eco Assumption_Goat'!M187</f>
        <v>252000.00000000003</v>
      </c>
      <c r="L14" s="33">
        <f>'Eco Assumption_Goat'!N11*'Eco Assumption_Goat'!N187</f>
        <v>210000</v>
      </c>
      <c r="M14" s="33">
        <f>'Eco Assumption_Goat'!O11*'Eco Assumption_Goat'!O187</f>
        <v>150000</v>
      </c>
      <c r="N14" s="189">
        <f>'Eco Assumption_Goat'!P11*'Eco Assumption_Goat'!P187</f>
        <v>94500.000000000015</v>
      </c>
      <c r="O14" s="33">
        <f>'Eco Assumption_Goat'!Q11*'Eco Assumption_Goat'!Q187</f>
        <v>30000</v>
      </c>
      <c r="P14" s="33">
        <f>'Eco Assumption_Goat'!R11*'Eco Assumption_Goat'!R187</f>
        <v>30000</v>
      </c>
    </row>
    <row r="15" spans="1:16" x14ac:dyDescent="0.25">
      <c r="A15" s="109" t="str">
        <f>'Eco Assumption_Goat'!B188</f>
        <v>Medicine</v>
      </c>
      <c r="B15" s="33">
        <f>'Eco Assumption_Goat'!D11*'Eco Assumption_Goat'!D188</f>
        <v>0</v>
      </c>
      <c r="C15" s="33">
        <f>'Eco Assumption_Goat'!E11*'Eco Assumption_Goat'!E188</f>
        <v>50595.454545454544</v>
      </c>
      <c r="D15" s="33">
        <f>'Eco Assumption_Goat'!F11*'Eco Assumption_Goat'!F188</f>
        <v>151786.36363636365</v>
      </c>
      <c r="E15" s="189">
        <f>'Eco Assumption_Goat'!G11*'Eco Assumption_Goat'!G188</f>
        <v>268155.90909090912</v>
      </c>
      <c r="F15" s="33">
        <f>'Eco Assumption_Goat'!H11*'Eco Assumption_Goat'!H188</f>
        <v>354168.18181818182</v>
      </c>
      <c r="G15" s="33">
        <f>'Eco Assumption_Goat'!I11*'Eco Assumption_Goat'!I188</f>
        <v>404763.63636363635</v>
      </c>
      <c r="H15" s="189">
        <f>'Eco Assumption_Goat'!J11*'Eco Assumption_Goat'!J188</f>
        <v>429049.45454545453</v>
      </c>
      <c r="I15" s="33">
        <f>'Eco Assumption_Goat'!K11*'Eco Assumption_Goat'!K188</f>
        <v>404763.63636363635</v>
      </c>
      <c r="J15" s="33">
        <f>'Eco Assumption_Goat'!L11*'Eco Assumption_Goat'!L188</f>
        <v>404763.63636363635</v>
      </c>
      <c r="K15" s="189">
        <f>'Eco Assumption_Goat'!M11*'Eco Assumption_Goat'!M188</f>
        <v>429049.45454545453</v>
      </c>
      <c r="L15" s="33">
        <f>'Eco Assumption_Goat'!N11*'Eco Assumption_Goat'!N188</f>
        <v>354168.18181818182</v>
      </c>
      <c r="M15" s="33">
        <f>'Eco Assumption_Goat'!O11*'Eco Assumption_Goat'!O188</f>
        <v>252977.27272727274</v>
      </c>
      <c r="N15" s="189">
        <f>'Eco Assumption_Goat'!P11*'Eco Assumption_Goat'!P188</f>
        <v>160893.54545454547</v>
      </c>
      <c r="O15" s="33">
        <f>'Eco Assumption_Goat'!Q11*'Eco Assumption_Goat'!Q188</f>
        <v>50595.454545454544</v>
      </c>
      <c r="P15" s="33">
        <f>'Eco Assumption_Goat'!R11*'Eco Assumption_Goat'!R188</f>
        <v>50595.454545454544</v>
      </c>
    </row>
    <row r="16" spans="1:16" x14ac:dyDescent="0.25">
      <c r="A16" s="109" t="s">
        <v>12</v>
      </c>
      <c r="B16" s="33">
        <f>'Eco Assumption_Goat'!D11*'Eco Assumption_Goat'!D189*'Eco Assumption_Goat'!D190*(1+'Eco Assumption_Goat'!D191)^'Eco Assumption_Goat'!D184</f>
        <v>0</v>
      </c>
      <c r="C16" s="33">
        <f>'Eco Assumption_Goat'!E11*'Eco Assumption_Goat'!E189*'Eco Assumption_Goat'!E190*(1+'Eco Assumption_Goat'!E191)^'Eco Assumption_Goat'!E184</f>
        <v>335825</v>
      </c>
      <c r="D16" s="33">
        <f>'Eco Assumption_Goat'!F11*'Eco Assumption_Goat'!F189*'Eco Assumption_Goat'!F190*(1+'Eco Assumption_Goat'!F191)^'Eco Assumption_Goat'!F184</f>
        <v>1017549.75</v>
      </c>
      <c r="E16" s="33">
        <f>'Eco Assumption_Goat'!G11*'Eco Assumption_Goat'!G189*'Eco Assumption_Goat'!G190*(1+'Eco Assumption_Goat'!G191)^'Eco Assumption_Goat'!G184</f>
        <v>1712875.4124999999</v>
      </c>
      <c r="F16" s="33">
        <f>'Eco Assumption_Goat'!H11*'Eco Assumption_Goat'!H189*'Eco Assumption_Goat'!H190*(1+'Eco Assumption_Goat'!H191)^'Eco Assumption_Goat'!H184</f>
        <v>2422005.8332750001</v>
      </c>
      <c r="G16" s="33">
        <f>'Eco Assumption_Goat'!I11*'Eco Assumption_Goat'!I189*'Eco Assumption_Goat'!I190*(1+'Eco Assumption_Goat'!I191)^'Eco Assumption_Goat'!I184</f>
        <v>2795686.7332659997</v>
      </c>
      <c r="H16" s="33">
        <f>'Eco Assumption_Goat'!J11*'Eco Assumption_Goat'!J189*'Eco Assumption_Goat'!J190*(1+'Eco Assumption_Goat'!J191)^'Eco Assumption_Goat'!J184</f>
        <v>2823643.6005986603</v>
      </c>
      <c r="I16" s="33">
        <f>'Eco Assumption_Goat'!K11*'Eco Assumption_Goat'!K189*'Eco Assumption_Goat'!K190*(1+'Eco Assumption_Goat'!K191)^'Eco Assumption_Goat'!K184</f>
        <v>2851880.0366046461</v>
      </c>
      <c r="J16" s="33">
        <f>'Eco Assumption_Goat'!L11*'Eco Assumption_Goat'!L189*'Eco Assumption_Goat'!L190*(1+'Eco Assumption_Goat'!L191)^'Eco Assumption_Goat'!L184</f>
        <v>2880398.8369706934</v>
      </c>
      <c r="K16" s="33">
        <f>'Eco Assumption_Goat'!M11*'Eco Assumption_Goat'!M189*'Eco Assumption_Goat'!M190*(1+'Eco Assumption_Goat'!M191)^'Eco Assumption_Goat'!M184</f>
        <v>2909202.8253404004</v>
      </c>
      <c r="L16" s="33">
        <f>'Eco Assumption_Goat'!N11*'Eco Assumption_Goat'!N189*'Eco Assumption_Goat'!N190*(1+'Eco Assumption_Goat'!N191)^'Eco Assumption_Goat'!N184</f>
        <v>2571007.9968945789</v>
      </c>
      <c r="M16" s="33">
        <f>'Eco Assumption_Goat'!O11*'Eco Assumption_Goat'!O189*'Eco Assumption_Goat'!O190*(1+'Eco Assumption_Goat'!O191)^'Eco Assumption_Goat'!O184</f>
        <v>1854798.6263310888</v>
      </c>
      <c r="N16" s="33">
        <f>'Eco Assumption_Goat'!P11*'Eco Assumption_Goat'!P189*'Eco Assumption_Goat'!P190*(1+'Eco Assumption_Goat'!P191)^'Eco Assumption_Goat'!P184</f>
        <v>1124007.9675566398</v>
      </c>
      <c r="O16" s="33">
        <f>'Eco Assumption_Goat'!Q11*'Eco Assumption_Goat'!Q189*'Eco Assumption_Goat'!Q190*(1+'Eco Assumption_Goat'!Q191)^'Eco Assumption_Goat'!Q184</f>
        <v>378416.01574406878</v>
      </c>
      <c r="P16" s="33">
        <f>'Eco Assumption_Goat'!R11*'Eco Assumption_Goat'!R189*'Eco Assumption_Goat'!R190*(1+'Eco Assumption_Goat'!R191)^'Eco Assumption_Goat'!R184</f>
        <v>382200.17590150947</v>
      </c>
    </row>
    <row r="17" spans="1:18" s="50" customFormat="1" x14ac:dyDescent="0.25">
      <c r="A17" s="52" t="s">
        <v>131</v>
      </c>
      <c r="B17" s="49">
        <f>'Eco Assumption_Goat'!D36</f>
        <v>0</v>
      </c>
      <c r="C17" s="49">
        <f>'Eco Assumption_Goat'!E36</f>
        <v>0</v>
      </c>
      <c r="D17" s="49">
        <f>'Eco Assumption_Goat'!F36</f>
        <v>969400</v>
      </c>
      <c r="E17" s="49">
        <f>'Eco Assumption_Goat'!G36</f>
        <v>1938800</v>
      </c>
      <c r="F17" s="49">
        <f>'Eco Assumption_Goat'!H36</f>
        <v>1938800</v>
      </c>
      <c r="G17" s="49">
        <f>'Eco Assumption_Goat'!I36</f>
        <v>1938800</v>
      </c>
      <c r="H17" s="49">
        <f>'Eco Assumption_Goat'!J36</f>
        <v>969400</v>
      </c>
      <c r="I17" s="49">
        <f>'Eco Assumption_Goat'!K36</f>
        <v>0</v>
      </c>
      <c r="J17" s="49">
        <f>'Eco Assumption_Goat'!L36</f>
        <v>0</v>
      </c>
      <c r="K17" s="49">
        <f>'Eco Assumption_Goat'!M36</f>
        <v>0</v>
      </c>
      <c r="L17" s="49">
        <f>'Eco Assumption_Goat'!N36</f>
        <v>0</v>
      </c>
      <c r="M17" s="49">
        <f>'Eco Assumption_Goat'!O36</f>
        <v>0</v>
      </c>
      <c r="N17" s="49">
        <f>'Eco Assumption_Goat'!P36</f>
        <v>0</v>
      </c>
      <c r="O17" s="49">
        <f>'Eco Assumption_Goat'!Q36</f>
        <v>0</v>
      </c>
      <c r="P17" s="49">
        <f>'Eco Assumption_Goat'!R36</f>
        <v>0</v>
      </c>
    </row>
    <row r="18" spans="1:18" x14ac:dyDescent="0.25">
      <c r="A18" s="117" t="s">
        <v>54</v>
      </c>
      <c r="B18" s="37">
        <f t="shared" ref="B18:P18" si="1">SUM(B12:B17)</f>
        <v>0</v>
      </c>
      <c r="C18" s="37">
        <f t="shared" si="1"/>
        <v>1041420.4545454546</v>
      </c>
      <c r="D18" s="37">
        <f t="shared" si="1"/>
        <v>3538736.1136363638</v>
      </c>
      <c r="E18" s="37">
        <f t="shared" si="1"/>
        <v>5387331.3215909088</v>
      </c>
      <c r="F18" s="37">
        <f t="shared" si="1"/>
        <v>6234974.0150931822</v>
      </c>
      <c r="G18" s="37">
        <f t="shared" si="1"/>
        <v>6034250.3696296364</v>
      </c>
      <c r="H18" s="37">
        <f t="shared" si="1"/>
        <v>4474093.0551441144</v>
      </c>
      <c r="I18" s="37">
        <f t="shared" si="1"/>
        <v>3496643.6729682824</v>
      </c>
      <c r="J18" s="37">
        <f t="shared" si="1"/>
        <v>3525162.4733343297</v>
      </c>
      <c r="K18" s="37">
        <f t="shared" si="1"/>
        <v>3590252.279885855</v>
      </c>
      <c r="L18" s="37">
        <f t="shared" si="1"/>
        <v>3135176.178712761</v>
      </c>
      <c r="M18" s="37">
        <f t="shared" si="1"/>
        <v>2257775.8990583615</v>
      </c>
      <c r="N18" s="37">
        <f t="shared" si="1"/>
        <v>1379401.5130111852</v>
      </c>
      <c r="O18" s="37">
        <f t="shared" si="1"/>
        <v>459011.47028952331</v>
      </c>
      <c r="P18" s="37">
        <f t="shared" si="1"/>
        <v>462795.630446964</v>
      </c>
    </row>
    <row r="19" spans="1:18" x14ac:dyDescent="0.25">
      <c r="B19" s="32"/>
      <c r="C19" s="32"/>
      <c r="D19" s="32"/>
      <c r="E19" s="32"/>
      <c r="F19" s="32"/>
      <c r="G19" s="32"/>
      <c r="H19" s="32"/>
      <c r="I19" s="32"/>
      <c r="J19" s="32"/>
      <c r="K19" s="32"/>
      <c r="L19" s="32"/>
    </row>
    <row r="20" spans="1:18" x14ac:dyDescent="0.25">
      <c r="A20" s="23" t="s">
        <v>317</v>
      </c>
      <c r="B20" s="34">
        <f t="shared" ref="B20:P20" si="2">B9-B18</f>
        <v>0</v>
      </c>
      <c r="C20" s="34">
        <f t="shared" si="2"/>
        <v>-1041420.4545454546</v>
      </c>
      <c r="D20" s="34">
        <f t="shared" si="2"/>
        <v>-1595445.6136363638</v>
      </c>
      <c r="E20" s="34">
        <f t="shared" si="2"/>
        <v>-2508670.3275909089</v>
      </c>
      <c r="F20" s="34">
        <f t="shared" si="2"/>
        <v>-1609489.190643182</v>
      </c>
      <c r="G20" s="34">
        <f t="shared" si="2"/>
        <v>-695119.31512163673</v>
      </c>
      <c r="H20" s="34">
        <f t="shared" si="2"/>
        <v>271326.62610259652</v>
      </c>
      <c r="I20" s="34">
        <f t="shared" si="2"/>
        <v>1949803.9157353276</v>
      </c>
      <c r="J20" s="34">
        <f t="shared" si="2"/>
        <v>1975749.5912563181</v>
      </c>
      <c r="K20" s="34">
        <f t="shared" si="2"/>
        <v>1298958.3631223128</v>
      </c>
      <c r="L20" s="34">
        <f t="shared" si="2"/>
        <v>2243369.1687400443</v>
      </c>
      <c r="M20" s="34">
        <f t="shared" si="2"/>
        <v>2221471.1016040184</v>
      </c>
      <c r="N20" s="34">
        <f t="shared" si="2"/>
        <v>1441007.9675020489</v>
      </c>
      <c r="O20" s="34">
        <f t="shared" si="2"/>
        <v>1200677.7627856156</v>
      </c>
      <c r="P20" s="34">
        <f t="shared" si="2"/>
        <v>735620.49495892646</v>
      </c>
    </row>
    <row r="21" spans="1:18" x14ac:dyDescent="0.25">
      <c r="B21" s="32"/>
      <c r="C21" s="32"/>
      <c r="D21" s="32"/>
      <c r="E21" s="32"/>
      <c r="F21" s="32"/>
      <c r="G21" s="32"/>
      <c r="H21" s="32"/>
      <c r="I21" s="32"/>
      <c r="J21" s="32"/>
      <c r="K21" s="32"/>
      <c r="L21" s="32"/>
    </row>
    <row r="22" spans="1:18" s="12" customFormat="1" x14ac:dyDescent="0.25">
      <c r="A22" s="10" t="s">
        <v>319</v>
      </c>
      <c r="B22" s="39">
        <f>B9/(1+'Eco Assumption_Goat'!$C69)^B4</f>
        <v>0</v>
      </c>
      <c r="C22" s="39">
        <f>C9/(1+'Eco Assumption_Goat'!$C69)^C4</f>
        <v>0</v>
      </c>
      <c r="D22" s="39">
        <f>D9/(1+'Eco Assumption_Goat'!$C69)^D4</f>
        <v>1729521.6269134921</v>
      </c>
      <c r="E22" s="39">
        <f>E9/(1+'Eco Assumption_Goat'!$C69)^E4</f>
        <v>2416979.2798753325</v>
      </c>
      <c r="F22" s="39">
        <f>F9/(1+'Eco Assumption_Goat'!$C69)^F4</f>
        <v>3663817.2188504725</v>
      </c>
      <c r="G22" s="39">
        <f>G9/(1+'Eco Assumption_Goat'!$C69)^G4</f>
        <v>3989709.3164840713</v>
      </c>
      <c r="H22" s="39">
        <f>H9/(1+'Eco Assumption_Goat'!$C69)^H4</f>
        <v>3345333.6231047576</v>
      </c>
      <c r="I22" s="39">
        <f>I9/(1+'Eco Assumption_Goat'!$C69)^I4</f>
        <v>3622198.7128385548</v>
      </c>
      <c r="J22" s="39">
        <f>J9/(1+'Eco Assumption_Goat'!$C69)^J4</f>
        <v>3451340.2829876812</v>
      </c>
      <c r="K22" s="39">
        <f>K9/(1+'Eco Assumption_Goat'!$C69)^K4</f>
        <v>2893916.2674711803</v>
      </c>
      <c r="L22" s="39">
        <f>L9/(1+'Eco Assumption_Goat'!$C69)^L4</f>
        <v>3003351.6294187545</v>
      </c>
      <c r="M22" s="39">
        <f>M9/(1+'Eco Assumption_Goat'!$C69)^M4</f>
        <v>2359611.4430967737</v>
      </c>
      <c r="N22" s="39">
        <f>N9/(1+'Eco Assumption_Goat'!$C69)^N4</f>
        <v>1401657.1045572006</v>
      </c>
      <c r="O22" s="39">
        <f>O9/(1+'Eco Assumption_Goat'!$C69)^O4</f>
        <v>778127.07726127526</v>
      </c>
      <c r="P22" s="39">
        <f>P9/(1+'Eco Assumption_Goat'!$C69)^P4</f>
        <v>530060.60799517634</v>
      </c>
      <c r="Q22" s="343">
        <f>SUM(B22:P22)</f>
        <v>33185624.190854721</v>
      </c>
      <c r="R22" s="343"/>
    </row>
    <row r="23" spans="1:18" s="12" customFormat="1" x14ac:dyDescent="0.25">
      <c r="A23" s="10" t="s">
        <v>320</v>
      </c>
      <c r="B23" s="39">
        <f>B18/(1+'Eco Assumption_Goat'!$C69)^'Eco BaU_Goat'!B4</f>
        <v>0</v>
      </c>
      <c r="C23" s="39">
        <f>C18/(1+'Eco Assumption_Goat'!$C69)^'Eco BaU_Goat'!C4</f>
        <v>982472.12692967406</v>
      </c>
      <c r="D23" s="39">
        <f>D18/(1+'Eco Assumption_Goat'!$C69)^'Eco BaU_Goat'!D4</f>
        <v>3149462.5432861904</v>
      </c>
      <c r="E23" s="39">
        <f>E18/(1+'Eco Assumption_Goat'!$C69)^'Eco BaU_Goat'!E4</f>
        <v>4523307.2616916206</v>
      </c>
      <c r="F23" s="39">
        <f>F18/(1+'Eco Assumption_Goat'!$C69)^'Eco BaU_Goat'!F4</f>
        <v>4938683.4078090265</v>
      </c>
      <c r="G23" s="39">
        <f>G18/(1+'Eco Assumption_Goat'!$C69)^'Eco BaU_Goat'!G4</f>
        <v>4509142.9058257705</v>
      </c>
      <c r="H23" s="39">
        <f>H18/(1+'Eco Assumption_Goat'!$C69)^'Eco BaU_Goat'!H4</f>
        <v>3154059.0581317972</v>
      </c>
      <c r="I23" s="39">
        <f>I18/(1+'Eco Assumption_Goat'!$C69)^'Eco BaU_Goat'!I4</f>
        <v>2325467.7485100892</v>
      </c>
      <c r="J23" s="39">
        <f>J18/(1+'Eco Assumption_Goat'!$C69)^'Eco BaU_Goat'!J4</f>
        <v>2211730.54675991</v>
      </c>
      <c r="K23" s="39">
        <f>K18/(1+'Eco Assumption_Goat'!$C69)^'Eco BaU_Goat'!K4</f>
        <v>2125064.8081496069</v>
      </c>
      <c r="L23" s="39">
        <f>L18/(1+'Eco Assumption_Goat'!$C69)^'Eco BaU_Goat'!L4</f>
        <v>1750666.0029019038</v>
      </c>
      <c r="M23" s="39">
        <f>M18/(1+'Eco Assumption_Goat'!$C69)^'Eco BaU_Goat'!M4</f>
        <v>1189368.1787537956</v>
      </c>
      <c r="N23" s="39">
        <f>N18/(1+'Eco Assumption_Goat'!$C69)^'Eco BaU_Goat'!N4</f>
        <v>685520.29203832033</v>
      </c>
      <c r="O23" s="39">
        <f>O18/(1+'Eco Assumption_Goat'!$C69)^'Eco BaU_Goat'!O4</f>
        <v>215202.48892861098</v>
      </c>
      <c r="P23" s="39">
        <f>P18/(1+'Eco Assumption_Goat'!$C69)^'Eco BaU_Goat'!P4</f>
        <v>204694.9536573909</v>
      </c>
      <c r="Q23" s="343">
        <f>SUM(B23:P23)</f>
        <v>31964842.323373713</v>
      </c>
    </row>
    <row r="24" spans="1:18" x14ac:dyDescent="0.25">
      <c r="B24" s="32"/>
      <c r="C24" s="32"/>
      <c r="D24" s="32"/>
      <c r="E24" s="32"/>
      <c r="F24" s="32"/>
      <c r="G24" s="32"/>
      <c r="H24" s="32"/>
      <c r="I24" s="32"/>
      <c r="J24" s="32"/>
      <c r="K24" s="32"/>
      <c r="L24" s="32"/>
    </row>
    <row r="25" spans="1:18" s="12" customFormat="1" x14ac:dyDescent="0.25">
      <c r="A25" s="25" t="s">
        <v>318</v>
      </c>
      <c r="B25" s="35">
        <f>NPV('Eco Assumption_Goat'!C69,C20:P20)+B20</f>
        <v>1220781.8674810156</v>
      </c>
      <c r="C25" s="40"/>
      <c r="D25" s="40"/>
      <c r="E25" s="40"/>
      <c r="F25" s="40"/>
      <c r="G25" s="40"/>
      <c r="H25" s="40"/>
      <c r="I25" s="40"/>
      <c r="J25" s="40"/>
      <c r="K25" s="40"/>
      <c r="L25" s="40"/>
    </row>
    <row r="27" spans="1:18" s="12" customFormat="1" x14ac:dyDescent="0.25">
      <c r="A27" s="25" t="s">
        <v>238</v>
      </c>
      <c r="B27" s="36">
        <f>IRR(B20:P20)</f>
        <v>8.7869245767875803E-2</v>
      </c>
      <c r="C27" s="4"/>
      <c r="D27" s="4"/>
      <c r="E27" s="4"/>
      <c r="F27" s="4"/>
      <c r="G27" s="4"/>
      <c r="H27" s="4"/>
      <c r="I27" s="4"/>
      <c r="J27" s="4"/>
      <c r="K27" s="4"/>
      <c r="L27" s="4"/>
    </row>
    <row r="30" spans="1:18" s="1" customFormat="1" x14ac:dyDescent="0.25">
      <c r="A30" s="24"/>
      <c r="B30" s="42"/>
      <c r="C30" s="42"/>
      <c r="D30" s="42"/>
      <c r="E30" s="42"/>
      <c r="F30" s="42"/>
      <c r="G30" s="42"/>
      <c r="H30" s="42"/>
      <c r="I30" s="42"/>
      <c r="J30" s="42"/>
      <c r="K30" s="42"/>
      <c r="L30" s="42"/>
    </row>
    <row r="32" spans="1:18" ht="38.25" customHeight="1" x14ac:dyDescent="0.25">
      <c r="A32" s="11" t="str">
        <f>A2</f>
        <v>Aggregate Economic Analysis_Goat Rearing</v>
      </c>
      <c r="B32" s="30"/>
      <c r="C32" s="69"/>
      <c r="D32" s="70"/>
      <c r="E32" s="30"/>
      <c r="F32" s="116" t="s">
        <v>90</v>
      </c>
      <c r="G32" s="30"/>
      <c r="H32" s="30"/>
      <c r="I32" s="30"/>
      <c r="J32" s="30"/>
      <c r="K32" s="30"/>
      <c r="L32" s="30"/>
      <c r="M32" s="11"/>
    </row>
    <row r="33" spans="1:16" ht="38.25" customHeight="1" x14ac:dyDescent="0.25">
      <c r="A33" s="11"/>
      <c r="B33" s="30"/>
      <c r="C33" s="69"/>
      <c r="D33" s="70"/>
      <c r="E33" s="30"/>
      <c r="F33" s="116"/>
      <c r="G33" s="30"/>
      <c r="H33" s="30"/>
      <c r="I33" s="30"/>
      <c r="J33" s="30"/>
      <c r="K33" s="30"/>
      <c r="L33" s="30"/>
      <c r="M33" s="11"/>
    </row>
    <row r="34" spans="1:16" x14ac:dyDescent="0.25">
      <c r="A34" s="10" t="s">
        <v>19</v>
      </c>
      <c r="B34" s="26">
        <v>0</v>
      </c>
      <c r="C34" s="26">
        <v>1</v>
      </c>
      <c r="D34" s="26">
        <v>2</v>
      </c>
      <c r="E34" s="26">
        <v>3</v>
      </c>
      <c r="F34" s="26">
        <v>4</v>
      </c>
      <c r="G34" s="26">
        <v>5</v>
      </c>
      <c r="H34" s="26">
        <v>6</v>
      </c>
      <c r="I34" s="26">
        <v>7</v>
      </c>
      <c r="J34" s="26">
        <v>8</v>
      </c>
      <c r="K34" s="26">
        <v>9</v>
      </c>
      <c r="L34" s="26">
        <v>10</v>
      </c>
      <c r="M34" s="26">
        <v>11</v>
      </c>
      <c r="N34" s="26">
        <v>12</v>
      </c>
      <c r="O34" s="26">
        <v>13</v>
      </c>
      <c r="P34" s="26">
        <v>14</v>
      </c>
    </row>
    <row r="35" spans="1:16" x14ac:dyDescent="0.25">
      <c r="A35" s="23" t="str">
        <f>A5</f>
        <v>Benefits</v>
      </c>
    </row>
    <row r="36" spans="1:16" x14ac:dyDescent="0.25">
      <c r="A36" s="10" t="str">
        <f>A6</f>
        <v>Goat Sale ($)</v>
      </c>
      <c r="B36" s="31">
        <f t="shared" ref="B36:P36" si="3">B6</f>
        <v>0</v>
      </c>
      <c r="C36" s="31">
        <f t="shared" si="3"/>
        <v>0</v>
      </c>
      <c r="D36" s="31">
        <f t="shared" si="3"/>
        <v>1943290.5</v>
      </c>
      <c r="E36" s="31">
        <f t="shared" si="3"/>
        <v>2878660.9939999999</v>
      </c>
      <c r="F36" s="31">
        <f t="shared" si="3"/>
        <v>4625484.8244500002</v>
      </c>
      <c r="G36" s="31">
        <f t="shared" si="3"/>
        <v>5339131.0545079997</v>
      </c>
      <c r="H36" s="31">
        <f t="shared" si="3"/>
        <v>4745419.6812467109</v>
      </c>
      <c r="I36" s="31">
        <f t="shared" si="3"/>
        <v>5446447.58870361</v>
      </c>
      <c r="J36" s="31">
        <f t="shared" si="3"/>
        <v>5500912.0645906478</v>
      </c>
      <c r="K36" s="31">
        <f t="shared" si="3"/>
        <v>4889210.6430081679</v>
      </c>
      <c r="L36" s="31">
        <f t="shared" si="3"/>
        <v>4910045.3474528054</v>
      </c>
      <c r="M36" s="31">
        <f t="shared" si="3"/>
        <v>3542247.0006623799</v>
      </c>
      <c r="N36" s="31">
        <f t="shared" si="3"/>
        <v>1889009.4805132342</v>
      </c>
      <c r="O36" s="31">
        <f t="shared" si="3"/>
        <v>722689.23307513888</v>
      </c>
      <c r="P36" s="31">
        <f t="shared" si="3"/>
        <v>729916.12540589029</v>
      </c>
    </row>
    <row r="37" spans="1:16" x14ac:dyDescent="0.25">
      <c r="A37" s="10" t="str">
        <f>A7</f>
        <v>Residual ($)</v>
      </c>
      <c r="B37" s="31">
        <f t="shared" ref="B37:P37" si="4">B7</f>
        <v>0</v>
      </c>
      <c r="C37" s="31">
        <f t="shared" si="4"/>
        <v>0</v>
      </c>
      <c r="D37" s="31">
        <f t="shared" si="4"/>
        <v>0</v>
      </c>
      <c r="E37" s="31">
        <f t="shared" si="4"/>
        <v>0</v>
      </c>
      <c r="F37" s="31">
        <f t="shared" si="4"/>
        <v>0</v>
      </c>
      <c r="G37" s="31">
        <f t="shared" si="4"/>
        <v>0</v>
      </c>
      <c r="H37" s="31">
        <f t="shared" si="4"/>
        <v>0</v>
      </c>
      <c r="I37" s="31">
        <f t="shared" si="4"/>
        <v>0</v>
      </c>
      <c r="J37" s="31">
        <f t="shared" si="4"/>
        <v>0</v>
      </c>
      <c r="K37" s="31">
        <f t="shared" si="4"/>
        <v>0</v>
      </c>
      <c r="L37" s="31">
        <f t="shared" si="4"/>
        <v>56000</v>
      </c>
      <c r="M37" s="31">
        <f t="shared" si="4"/>
        <v>112000</v>
      </c>
      <c r="N37" s="31">
        <f t="shared" si="4"/>
        <v>106400</v>
      </c>
      <c r="O37" s="31">
        <f t="shared" si="4"/>
        <v>112000</v>
      </c>
      <c r="P37" s="31">
        <f t="shared" si="4"/>
        <v>56000</v>
      </c>
    </row>
    <row r="38" spans="1:16" x14ac:dyDescent="0.25">
      <c r="A38" s="10" t="str">
        <f>A8</f>
        <v>Mother Goat Sale ($)</v>
      </c>
      <c r="B38" s="31">
        <f t="shared" ref="B38:P38" si="5">B8</f>
        <v>0</v>
      </c>
      <c r="C38" s="31">
        <f t="shared" si="5"/>
        <v>0</v>
      </c>
      <c r="D38" s="31">
        <f t="shared" si="5"/>
        <v>0</v>
      </c>
      <c r="E38" s="31">
        <f t="shared" si="5"/>
        <v>0</v>
      </c>
      <c r="F38" s="31">
        <f t="shared" si="5"/>
        <v>0</v>
      </c>
      <c r="G38" s="31">
        <f t="shared" si="5"/>
        <v>0</v>
      </c>
      <c r="H38" s="31">
        <f t="shared" si="5"/>
        <v>0</v>
      </c>
      <c r="I38" s="31">
        <f t="shared" si="5"/>
        <v>0</v>
      </c>
      <c r="J38" s="31">
        <f t="shared" si="5"/>
        <v>0</v>
      </c>
      <c r="K38" s="31">
        <f t="shared" si="5"/>
        <v>0</v>
      </c>
      <c r="L38" s="31">
        <f t="shared" si="5"/>
        <v>412500</v>
      </c>
      <c r="M38" s="31">
        <f t="shared" si="5"/>
        <v>825000</v>
      </c>
      <c r="N38" s="31">
        <f t="shared" si="5"/>
        <v>825000</v>
      </c>
      <c r="O38" s="31">
        <f t="shared" si="5"/>
        <v>825000</v>
      </c>
      <c r="P38" s="31">
        <f t="shared" si="5"/>
        <v>412500</v>
      </c>
    </row>
    <row r="39" spans="1:16" s="377" customFormat="1" x14ac:dyDescent="0.25">
      <c r="A39" s="376" t="str">
        <f>'Eco Assumption_Goat'!B199</f>
        <v>Consumption of Goat Milk by Familty memebers</v>
      </c>
      <c r="B39" s="136">
        <f>'Eco Assumption_Goat'!$C199*'Eco Assumption_Goat'!D11</f>
        <v>0</v>
      </c>
      <c r="C39" s="136">
        <f>'Eco Assumption_Goat'!$C199*'Eco Assumption_Goat'!E11</f>
        <v>9000</v>
      </c>
      <c r="D39" s="136">
        <f>'Eco Assumption_Goat'!$C199*'Eco Assumption_Goat'!F11</f>
        <v>27000</v>
      </c>
      <c r="E39" s="136">
        <f>'Eco Assumption_Goat'!$C199*'Eco Assumption_Goat'!G11</f>
        <v>45000</v>
      </c>
      <c r="F39" s="136">
        <f>'Eco Assumption_Goat'!$C199*'Eco Assumption_Goat'!H11</f>
        <v>63000</v>
      </c>
      <c r="G39" s="136">
        <f>'Eco Assumption_Goat'!$C199*'Eco Assumption_Goat'!I11</f>
        <v>72000</v>
      </c>
      <c r="H39" s="136">
        <f>'Eco Assumption_Goat'!$C199*'Eco Assumption_Goat'!J11</f>
        <v>72000</v>
      </c>
      <c r="I39" s="136">
        <f>'Eco Assumption_Goat'!$C199*'Eco Assumption_Goat'!K11</f>
        <v>72000</v>
      </c>
      <c r="J39" s="136">
        <f>'Eco Assumption_Goat'!$C199*'Eco Assumption_Goat'!L11</f>
        <v>72000</v>
      </c>
      <c r="K39" s="136">
        <f>'Eco Assumption_Goat'!$C199*'Eco Assumption_Goat'!M11</f>
        <v>72000</v>
      </c>
      <c r="L39" s="136">
        <f>'Eco Assumption_Goat'!$C199*'Eco Assumption_Goat'!N11</f>
        <v>63000</v>
      </c>
      <c r="M39" s="136">
        <f>'Eco Assumption_Goat'!$C199*'Eco Assumption_Goat'!O11</f>
        <v>45000</v>
      </c>
      <c r="N39" s="136">
        <f>'Eco Assumption_Goat'!$C199*'Eco Assumption_Goat'!P11</f>
        <v>27000</v>
      </c>
      <c r="O39" s="136">
        <f>'Eco Assumption_Goat'!$C199*'Eco Assumption_Goat'!Q11</f>
        <v>9000</v>
      </c>
      <c r="P39" s="136">
        <f>'Eco Assumption_Goat'!$C199*'Eco Assumption_Goat'!R11</f>
        <v>9000</v>
      </c>
    </row>
    <row r="40" spans="1:16" s="377" customFormat="1" x14ac:dyDescent="0.25">
      <c r="A40" s="376" t="str">
        <f>'Eco Assumption_Goat'!B200</f>
        <v>Social benefit from export of goat leather</v>
      </c>
      <c r="B40" s="136">
        <f>'Eco Assumption_Goat'!$C200*'Eco Assumption_Goat'!D11</f>
        <v>0</v>
      </c>
      <c r="C40" s="136">
        <f>'Eco Assumption_Goat'!$C200*'Eco Assumption_Goat'!E11</f>
        <v>75000</v>
      </c>
      <c r="D40" s="136">
        <f>'Eco Assumption_Goat'!$C200*'Eco Assumption_Goat'!F11</f>
        <v>225000</v>
      </c>
      <c r="E40" s="136">
        <f>'Eco Assumption_Goat'!$C200*'Eco Assumption_Goat'!G11</f>
        <v>375000</v>
      </c>
      <c r="F40" s="136">
        <f>'Eco Assumption_Goat'!$C200*'Eco Assumption_Goat'!H11</f>
        <v>525000</v>
      </c>
      <c r="G40" s="136">
        <f>'Eco Assumption_Goat'!$C200*'Eco Assumption_Goat'!I11</f>
        <v>600000</v>
      </c>
      <c r="H40" s="136">
        <f>'Eco Assumption_Goat'!$C200*'Eco Assumption_Goat'!J11</f>
        <v>600000</v>
      </c>
      <c r="I40" s="136">
        <f>'Eco Assumption_Goat'!$C200*'Eco Assumption_Goat'!K11</f>
        <v>600000</v>
      </c>
      <c r="J40" s="136">
        <f>'Eco Assumption_Goat'!$C200*'Eco Assumption_Goat'!L11</f>
        <v>600000</v>
      </c>
      <c r="K40" s="136">
        <f>'Eco Assumption_Goat'!$C200*'Eco Assumption_Goat'!M11</f>
        <v>600000</v>
      </c>
      <c r="L40" s="136">
        <f>'Eco Assumption_Goat'!$C200*'Eco Assumption_Goat'!N11</f>
        <v>525000</v>
      </c>
      <c r="M40" s="136">
        <f>'Eco Assumption_Goat'!$C200*'Eco Assumption_Goat'!O11</f>
        <v>375000</v>
      </c>
      <c r="N40" s="136">
        <f>'Eco Assumption_Goat'!$C200*'Eco Assumption_Goat'!P11</f>
        <v>225000</v>
      </c>
      <c r="O40" s="136">
        <f>'Eco Assumption_Goat'!$C200*'Eco Assumption_Goat'!Q11</f>
        <v>75000</v>
      </c>
      <c r="P40" s="136">
        <f>'Eco Assumption_Goat'!$C200*'Eco Assumption_Goat'!R11</f>
        <v>75000</v>
      </c>
    </row>
    <row r="41" spans="1:16" s="12" customFormat="1" x14ac:dyDescent="0.25">
      <c r="A41" s="23" t="s">
        <v>53</v>
      </c>
      <c r="B41" s="38">
        <f>B36+B37+B38+B39+B40</f>
        <v>0</v>
      </c>
      <c r="C41" s="38">
        <f t="shared" ref="C41:P41" si="6">C36+C37+C38+C39+C40</f>
        <v>84000</v>
      </c>
      <c r="D41" s="38">
        <f t="shared" si="6"/>
        <v>2195290.5</v>
      </c>
      <c r="E41" s="38">
        <f t="shared" si="6"/>
        <v>3298660.9939999999</v>
      </c>
      <c r="F41" s="38">
        <f t="shared" si="6"/>
        <v>5213484.8244500002</v>
      </c>
      <c r="G41" s="38">
        <f t="shared" si="6"/>
        <v>6011131.0545079997</v>
      </c>
      <c r="H41" s="38">
        <f t="shared" si="6"/>
        <v>5417419.6812467109</v>
      </c>
      <c r="I41" s="38">
        <f t="shared" si="6"/>
        <v>6118447.58870361</v>
      </c>
      <c r="J41" s="38">
        <f t="shared" si="6"/>
        <v>6172912.0645906478</v>
      </c>
      <c r="K41" s="38">
        <f t="shared" si="6"/>
        <v>5561210.6430081679</v>
      </c>
      <c r="L41" s="38">
        <f t="shared" si="6"/>
        <v>5966545.3474528054</v>
      </c>
      <c r="M41" s="38">
        <f t="shared" si="6"/>
        <v>4899247.0006623799</v>
      </c>
      <c r="N41" s="38">
        <f t="shared" si="6"/>
        <v>3072409.4805132342</v>
      </c>
      <c r="O41" s="38">
        <f t="shared" si="6"/>
        <v>1743689.2330751389</v>
      </c>
      <c r="P41" s="38">
        <f t="shared" si="6"/>
        <v>1282416.1254058904</v>
      </c>
    </row>
    <row r="42" spans="1:16" x14ac:dyDescent="0.25">
      <c r="A42" s="23"/>
      <c r="B42" s="41"/>
      <c r="C42" s="41"/>
      <c r="D42" s="41"/>
      <c r="E42" s="41"/>
      <c r="F42" s="41"/>
      <c r="G42" s="41"/>
      <c r="H42" s="41"/>
      <c r="I42" s="41"/>
      <c r="J42" s="41"/>
      <c r="K42" s="41"/>
    </row>
    <row r="43" spans="1:16" x14ac:dyDescent="0.25">
      <c r="A43" s="23" t="s">
        <v>20</v>
      </c>
    </row>
    <row r="44" spans="1:16" x14ac:dyDescent="0.25">
      <c r="A44" s="9" t="str">
        <f t="shared" ref="A44:P44" si="7">A12</f>
        <v>Slated House Construction</v>
      </c>
      <c r="B44" s="33">
        <f t="shared" si="7"/>
        <v>0</v>
      </c>
      <c r="C44" s="33">
        <f t="shared" si="7"/>
        <v>280000</v>
      </c>
      <c r="D44" s="33">
        <f t="shared" si="7"/>
        <v>560000</v>
      </c>
      <c r="E44" s="33">
        <f t="shared" si="7"/>
        <v>560000</v>
      </c>
      <c r="F44" s="33">
        <f t="shared" si="7"/>
        <v>560000</v>
      </c>
      <c r="G44" s="33">
        <f t="shared" si="7"/>
        <v>280000</v>
      </c>
      <c r="H44" s="33">
        <f t="shared" si="7"/>
        <v>0</v>
      </c>
      <c r="I44" s="33">
        <f t="shared" si="7"/>
        <v>0</v>
      </c>
      <c r="J44" s="33">
        <f t="shared" si="7"/>
        <v>0</v>
      </c>
      <c r="K44" s="33">
        <f t="shared" si="7"/>
        <v>0</v>
      </c>
      <c r="L44" s="33">
        <f t="shared" si="7"/>
        <v>0</v>
      </c>
      <c r="M44" s="33">
        <f t="shared" si="7"/>
        <v>0</v>
      </c>
      <c r="N44" s="33">
        <f t="shared" si="7"/>
        <v>0</v>
      </c>
      <c r="O44" s="33">
        <f t="shared" si="7"/>
        <v>0</v>
      </c>
      <c r="P44" s="33">
        <f t="shared" si="7"/>
        <v>0</v>
      </c>
    </row>
    <row r="45" spans="1:16" x14ac:dyDescent="0.25">
      <c r="A45" s="9" t="str">
        <f t="shared" ref="A45:P45" si="8">A13</f>
        <v>Mother Goat Purchase</v>
      </c>
      <c r="B45" s="33">
        <f t="shared" si="8"/>
        <v>0</v>
      </c>
      <c r="C45" s="33">
        <f t="shared" si="8"/>
        <v>375000</v>
      </c>
      <c r="D45" s="33">
        <f t="shared" si="8"/>
        <v>750000</v>
      </c>
      <c r="E45" s="33">
        <f t="shared" si="8"/>
        <v>750000</v>
      </c>
      <c r="F45" s="33">
        <f t="shared" si="8"/>
        <v>750000</v>
      </c>
      <c r="G45" s="33">
        <f t="shared" si="8"/>
        <v>375000</v>
      </c>
      <c r="H45" s="33">
        <f t="shared" si="8"/>
        <v>0</v>
      </c>
      <c r="I45" s="33">
        <f t="shared" si="8"/>
        <v>0</v>
      </c>
      <c r="J45" s="33">
        <f t="shared" si="8"/>
        <v>0</v>
      </c>
      <c r="K45" s="33">
        <f t="shared" si="8"/>
        <v>0</v>
      </c>
      <c r="L45" s="33">
        <f t="shared" si="8"/>
        <v>0</v>
      </c>
      <c r="M45" s="33">
        <f t="shared" si="8"/>
        <v>0</v>
      </c>
      <c r="N45" s="33">
        <f t="shared" si="8"/>
        <v>0</v>
      </c>
      <c r="O45" s="33">
        <f t="shared" si="8"/>
        <v>0</v>
      </c>
      <c r="P45" s="33">
        <f t="shared" si="8"/>
        <v>0</v>
      </c>
    </row>
    <row r="46" spans="1:16" x14ac:dyDescent="0.25">
      <c r="A46" s="9" t="str">
        <f t="shared" ref="A46:P46" si="9">A14</f>
        <v>Maintenance Cost</v>
      </c>
      <c r="B46" s="33">
        <f t="shared" si="9"/>
        <v>0</v>
      </c>
      <c r="C46" s="33">
        <f t="shared" si="9"/>
        <v>0</v>
      </c>
      <c r="D46" s="33">
        <f t="shared" si="9"/>
        <v>90000</v>
      </c>
      <c r="E46" s="33">
        <f t="shared" si="9"/>
        <v>157500.00000000003</v>
      </c>
      <c r="F46" s="33">
        <f t="shared" si="9"/>
        <v>210000</v>
      </c>
      <c r="G46" s="33">
        <f t="shared" si="9"/>
        <v>240000</v>
      </c>
      <c r="H46" s="33">
        <f t="shared" si="9"/>
        <v>252000.00000000003</v>
      </c>
      <c r="I46" s="33">
        <f t="shared" si="9"/>
        <v>240000</v>
      </c>
      <c r="J46" s="33">
        <f t="shared" si="9"/>
        <v>240000</v>
      </c>
      <c r="K46" s="33">
        <f t="shared" si="9"/>
        <v>252000.00000000003</v>
      </c>
      <c r="L46" s="33">
        <f t="shared" si="9"/>
        <v>210000</v>
      </c>
      <c r="M46" s="33">
        <f t="shared" si="9"/>
        <v>150000</v>
      </c>
      <c r="N46" s="33">
        <f t="shared" si="9"/>
        <v>94500.000000000015</v>
      </c>
      <c r="O46" s="33">
        <f t="shared" si="9"/>
        <v>30000</v>
      </c>
      <c r="P46" s="33">
        <f t="shared" si="9"/>
        <v>30000</v>
      </c>
    </row>
    <row r="47" spans="1:16" x14ac:dyDescent="0.25">
      <c r="A47" s="9" t="str">
        <f t="shared" ref="A47:P47" si="10">A15</f>
        <v>Medicine</v>
      </c>
      <c r="B47" s="33">
        <f t="shared" si="10"/>
        <v>0</v>
      </c>
      <c r="C47" s="33">
        <f t="shared" si="10"/>
        <v>50595.454545454544</v>
      </c>
      <c r="D47" s="33">
        <f t="shared" si="10"/>
        <v>151786.36363636365</v>
      </c>
      <c r="E47" s="33">
        <f t="shared" si="10"/>
        <v>268155.90909090912</v>
      </c>
      <c r="F47" s="33">
        <f t="shared" si="10"/>
        <v>354168.18181818182</v>
      </c>
      <c r="G47" s="33">
        <f t="shared" si="10"/>
        <v>404763.63636363635</v>
      </c>
      <c r="H47" s="33">
        <f t="shared" si="10"/>
        <v>429049.45454545453</v>
      </c>
      <c r="I47" s="33">
        <f t="shared" si="10"/>
        <v>404763.63636363635</v>
      </c>
      <c r="J47" s="33">
        <f t="shared" si="10"/>
        <v>404763.63636363635</v>
      </c>
      <c r="K47" s="33">
        <f t="shared" si="10"/>
        <v>429049.45454545453</v>
      </c>
      <c r="L47" s="33">
        <f t="shared" si="10"/>
        <v>354168.18181818182</v>
      </c>
      <c r="M47" s="33">
        <f t="shared" si="10"/>
        <v>252977.27272727274</v>
      </c>
      <c r="N47" s="33">
        <f t="shared" si="10"/>
        <v>160893.54545454547</v>
      </c>
      <c r="O47" s="33">
        <f t="shared" si="10"/>
        <v>50595.454545454544</v>
      </c>
      <c r="P47" s="33">
        <f t="shared" si="10"/>
        <v>50595.454545454544</v>
      </c>
    </row>
    <row r="48" spans="1:16" x14ac:dyDescent="0.25">
      <c r="A48" s="9" t="str">
        <f t="shared" ref="A48:P48" si="11">A16</f>
        <v>Labor</v>
      </c>
      <c r="B48" s="33">
        <f t="shared" si="11"/>
        <v>0</v>
      </c>
      <c r="C48" s="33">
        <f t="shared" si="11"/>
        <v>335825</v>
      </c>
      <c r="D48" s="33">
        <f t="shared" si="11"/>
        <v>1017549.75</v>
      </c>
      <c r="E48" s="33">
        <f t="shared" si="11"/>
        <v>1712875.4124999999</v>
      </c>
      <c r="F48" s="33">
        <f t="shared" si="11"/>
        <v>2422005.8332750001</v>
      </c>
      <c r="G48" s="33">
        <f t="shared" si="11"/>
        <v>2795686.7332659997</v>
      </c>
      <c r="H48" s="33">
        <f t="shared" si="11"/>
        <v>2823643.6005986603</v>
      </c>
      <c r="I48" s="33">
        <f t="shared" si="11"/>
        <v>2851880.0366046461</v>
      </c>
      <c r="J48" s="33">
        <f t="shared" si="11"/>
        <v>2880398.8369706934</v>
      </c>
      <c r="K48" s="33">
        <f t="shared" si="11"/>
        <v>2909202.8253404004</v>
      </c>
      <c r="L48" s="33">
        <f t="shared" si="11"/>
        <v>2571007.9968945789</v>
      </c>
      <c r="M48" s="33">
        <f t="shared" si="11"/>
        <v>1854798.6263310888</v>
      </c>
      <c r="N48" s="33">
        <f t="shared" si="11"/>
        <v>1124007.9675566398</v>
      </c>
      <c r="O48" s="33">
        <f t="shared" si="11"/>
        <v>378416.01574406878</v>
      </c>
      <c r="P48" s="33">
        <f t="shared" si="11"/>
        <v>382200.17590150947</v>
      </c>
    </row>
    <row r="49" spans="1:17" s="50" customFormat="1" x14ac:dyDescent="0.25">
      <c r="A49" s="52" t="s">
        <v>131</v>
      </c>
      <c r="B49" s="49">
        <f>'Eco Assumption_Goat'!D46</f>
        <v>0</v>
      </c>
      <c r="C49" s="49">
        <f>'Eco Assumption_Goat'!E46</f>
        <v>0</v>
      </c>
      <c r="D49" s="49">
        <f>'Eco Assumption_Goat'!F46</f>
        <v>555000</v>
      </c>
      <c r="E49" s="49">
        <f>'Eco Assumption_Goat'!G46</f>
        <v>1110000</v>
      </c>
      <c r="F49" s="49">
        <f>'Eco Assumption_Goat'!H46</f>
        <v>1110000</v>
      </c>
      <c r="G49" s="49">
        <f>'Eco Assumption_Goat'!I46</f>
        <v>1110000</v>
      </c>
      <c r="H49" s="49">
        <f>'Eco Assumption_Goat'!J46</f>
        <v>555000</v>
      </c>
      <c r="I49" s="49">
        <f>'Eco Assumption_Goat'!K46</f>
        <v>0</v>
      </c>
      <c r="J49" s="49">
        <f>'Eco Assumption_Goat'!L46</f>
        <v>0</v>
      </c>
      <c r="K49" s="49">
        <f>'Eco Assumption_Goat'!M46</f>
        <v>0</v>
      </c>
      <c r="L49" s="49">
        <f>'Eco Assumption_Goat'!N46</f>
        <v>0</v>
      </c>
      <c r="M49" s="49">
        <f>'Eco Assumption_Goat'!O46</f>
        <v>0</v>
      </c>
      <c r="N49" s="49">
        <f>'Eco Assumption_Goat'!P46</f>
        <v>0</v>
      </c>
      <c r="O49" s="49">
        <f>'Eco Assumption_Goat'!Q46</f>
        <v>0</v>
      </c>
      <c r="P49" s="49">
        <f>'Eco Assumption_Goat'!R46</f>
        <v>0</v>
      </c>
    </row>
    <row r="50" spans="1:17" s="50" customFormat="1" x14ac:dyDescent="0.25">
      <c r="A50" s="121" t="str">
        <f>'Eco Assumption_Goat'!B203</f>
        <v>Opportunity cost of labor by women households</v>
      </c>
      <c r="B50" s="137">
        <f>'Eco Assumption_Goat'!$C203*'Eco Assumption_Goat'!D11</f>
        <v>0</v>
      </c>
      <c r="C50" s="137">
        <f>'Eco Assumption_Goat'!$C203*'Eco Assumption_Goat'!E11</f>
        <v>43750</v>
      </c>
      <c r="D50" s="137">
        <f>'Eco Assumption_Goat'!$C203*'Eco Assumption_Goat'!F11</f>
        <v>131250</v>
      </c>
      <c r="E50" s="137">
        <f>'Eco Assumption_Goat'!$C203*'Eco Assumption_Goat'!G11</f>
        <v>218750</v>
      </c>
      <c r="F50" s="137">
        <f>'Eco Assumption_Goat'!$C203*'Eco Assumption_Goat'!H11</f>
        <v>306250</v>
      </c>
      <c r="G50" s="137">
        <f>'Eco Assumption_Goat'!$C203*'Eco Assumption_Goat'!I11</f>
        <v>350000</v>
      </c>
      <c r="H50" s="137">
        <f>'Eco Assumption_Goat'!$C203*'Eco Assumption_Goat'!J11</f>
        <v>350000</v>
      </c>
      <c r="I50" s="137">
        <f>'Eco Assumption_Goat'!$C203*'Eco Assumption_Goat'!K11</f>
        <v>350000</v>
      </c>
      <c r="J50" s="137">
        <f>'Eco Assumption_Goat'!$C203*'Eco Assumption_Goat'!L11</f>
        <v>350000</v>
      </c>
      <c r="K50" s="137">
        <f>'Eco Assumption_Goat'!$C203*'Eco Assumption_Goat'!M11</f>
        <v>350000</v>
      </c>
      <c r="L50" s="137">
        <f>'Eco Assumption_Goat'!$C203*'Eco Assumption_Goat'!N11</f>
        <v>306250</v>
      </c>
      <c r="M50" s="137">
        <f>'Eco Assumption_Goat'!$C203*'Eco Assumption_Goat'!O11</f>
        <v>218750</v>
      </c>
      <c r="N50" s="137">
        <f>'Eco Assumption_Goat'!$C203*'Eco Assumption_Goat'!P11</f>
        <v>131250</v>
      </c>
      <c r="O50" s="137">
        <f>'Eco Assumption_Goat'!$C203*'Eco Assumption_Goat'!Q11</f>
        <v>43750</v>
      </c>
      <c r="P50" s="137">
        <f>'Eco Assumption_Goat'!$C203*'Eco Assumption_Goat'!R11</f>
        <v>43750</v>
      </c>
    </row>
    <row r="51" spans="1:17" x14ac:dyDescent="0.25">
      <c r="A51" s="117" t="s">
        <v>54</v>
      </c>
      <c r="B51" s="37">
        <f>SUM(B44:B50)</f>
        <v>0</v>
      </c>
      <c r="C51" s="37">
        <f t="shared" ref="C51:P51" si="12">SUM(C44:C50)</f>
        <v>1085170.4545454546</v>
      </c>
      <c r="D51" s="37">
        <f t="shared" si="12"/>
        <v>3255586.1136363638</v>
      </c>
      <c r="E51" s="37">
        <f t="shared" si="12"/>
        <v>4777281.3215909088</v>
      </c>
      <c r="F51" s="37">
        <f t="shared" si="12"/>
        <v>5712424.0150931822</v>
      </c>
      <c r="G51" s="37">
        <f t="shared" si="12"/>
        <v>5555450.3696296364</v>
      </c>
      <c r="H51" s="37">
        <f t="shared" si="12"/>
        <v>4409693.0551441144</v>
      </c>
      <c r="I51" s="37">
        <f t="shared" si="12"/>
        <v>3846643.6729682824</v>
      </c>
      <c r="J51" s="37">
        <f t="shared" si="12"/>
        <v>3875162.4733343297</v>
      </c>
      <c r="K51" s="37">
        <f t="shared" si="12"/>
        <v>3940252.279885855</v>
      </c>
      <c r="L51" s="37">
        <f t="shared" si="12"/>
        <v>3441426.178712761</v>
      </c>
      <c r="M51" s="37">
        <f t="shared" si="12"/>
        <v>2476525.8990583615</v>
      </c>
      <c r="N51" s="37">
        <f t="shared" si="12"/>
        <v>1510651.5130111852</v>
      </c>
      <c r="O51" s="37">
        <f t="shared" si="12"/>
        <v>502761.47028952331</v>
      </c>
      <c r="P51" s="37">
        <f t="shared" si="12"/>
        <v>506545.630446964</v>
      </c>
    </row>
    <row r="52" spans="1:17" x14ac:dyDescent="0.25">
      <c r="B52" s="32"/>
      <c r="C52" s="32"/>
      <c r="D52" s="32"/>
      <c r="E52" s="32"/>
      <c r="F52" s="32"/>
      <c r="G52" s="32"/>
      <c r="H52" s="32"/>
      <c r="I52" s="32"/>
      <c r="J52" s="32"/>
      <c r="K52" s="32"/>
      <c r="L52" s="32"/>
    </row>
    <row r="53" spans="1:17" x14ac:dyDescent="0.25">
      <c r="A53" s="23" t="str">
        <f>A20</f>
        <v>Net Resource Flow ($)</v>
      </c>
      <c r="B53" s="34">
        <f t="shared" ref="B53:P53" si="13">B41-B51</f>
        <v>0</v>
      </c>
      <c r="C53" s="34">
        <f t="shared" si="13"/>
        <v>-1001170.4545454546</v>
      </c>
      <c r="D53" s="34">
        <f t="shared" si="13"/>
        <v>-1060295.6136363638</v>
      </c>
      <c r="E53" s="34">
        <f t="shared" si="13"/>
        <v>-1478620.3275909089</v>
      </c>
      <c r="F53" s="34">
        <f t="shared" si="13"/>
        <v>-498939.19064318202</v>
      </c>
      <c r="G53" s="34">
        <f t="shared" si="13"/>
        <v>455680.68487836327</v>
      </c>
      <c r="H53" s="34">
        <f t="shared" si="13"/>
        <v>1007726.6261025965</v>
      </c>
      <c r="I53" s="34">
        <f t="shared" si="13"/>
        <v>2271803.9157353276</v>
      </c>
      <c r="J53" s="34">
        <f t="shared" si="13"/>
        <v>2297749.5912563181</v>
      </c>
      <c r="K53" s="34">
        <f t="shared" si="13"/>
        <v>1620958.3631223128</v>
      </c>
      <c r="L53" s="34">
        <f t="shared" si="13"/>
        <v>2525119.1687400443</v>
      </c>
      <c r="M53" s="34">
        <f t="shared" si="13"/>
        <v>2422721.1016040184</v>
      </c>
      <c r="N53" s="34">
        <f t="shared" si="13"/>
        <v>1561757.9675020489</v>
      </c>
      <c r="O53" s="34">
        <f t="shared" si="13"/>
        <v>1240927.7627856156</v>
      </c>
      <c r="P53" s="34">
        <f t="shared" si="13"/>
        <v>775870.49495892646</v>
      </c>
    </row>
    <row r="54" spans="1:17" x14ac:dyDescent="0.25">
      <c r="B54" s="32"/>
      <c r="C54" s="32"/>
      <c r="D54" s="32"/>
      <c r="E54" s="32"/>
      <c r="F54" s="32"/>
      <c r="G54" s="32"/>
      <c r="H54" s="32"/>
      <c r="I54" s="32"/>
      <c r="J54" s="32"/>
      <c r="K54" s="32"/>
      <c r="L54" s="32"/>
    </row>
    <row r="55" spans="1:17" s="12" customFormat="1" x14ac:dyDescent="0.25">
      <c r="A55" s="10" t="s">
        <v>319</v>
      </c>
      <c r="B55" s="39">
        <f>B41/(1+'Eco Assumption_Goat'!$C69)^B34</f>
        <v>0</v>
      </c>
      <c r="C55" s="39">
        <f>C41/(1+'Eco Assumption_Goat'!$C69)^C34</f>
        <v>79245.283018867922</v>
      </c>
      <c r="D55" s="39">
        <f>D41/(1+'Eco Assumption_Goat'!$C69)^D34</f>
        <v>1953800.7297970806</v>
      </c>
      <c r="E55" s="39">
        <f>E41/(1+'Eco Assumption_Goat'!$C69)^E34</f>
        <v>2769619.3787488993</v>
      </c>
      <c r="F55" s="39">
        <f>F41/(1+'Eco Assumption_Goat'!$C69)^F34</f>
        <v>4129568.2928344281</v>
      </c>
      <c r="G55" s="39">
        <f>G41/(1+'Eco Assumption_Goat'!$C69)^G34</f>
        <v>4491866.8086500615</v>
      </c>
      <c r="H55" s="39">
        <f>H41/(1+'Eco Assumption_Goat'!$C69)^H34</f>
        <v>3819067.1062802202</v>
      </c>
      <c r="I55" s="39">
        <f>I41/(1+'Eco Assumption_Goat'!$C69)^I34</f>
        <v>4069117.0931927646</v>
      </c>
      <c r="J55" s="39">
        <f>J41/(1+'Eco Assumption_Goat'!$C69)^J34</f>
        <v>3872961.3965293886</v>
      </c>
      <c r="K55" s="39">
        <f>K41/(1+'Eco Assumption_Goat'!$C69)^K34</f>
        <v>3291672.0349633568</v>
      </c>
      <c r="L55" s="39">
        <f>L41/(1+'Eco Assumption_Goat'!$C69)^L34</f>
        <v>3331687.7582448437</v>
      </c>
      <c r="M55" s="39">
        <f>M41/(1+'Eco Assumption_Goat'!$C69)^M34</f>
        <v>2580862.2037612544</v>
      </c>
      <c r="N55" s="39">
        <f>N41/(1+'Eco Assumption_Goat'!$C69)^N34</f>
        <v>1526893.3841786047</v>
      </c>
      <c r="O55" s="39">
        <f>O41/(1+'Eco Assumption_Goat'!$C69)^O34</f>
        <v>817509.55512964132</v>
      </c>
      <c r="P55" s="39">
        <f>P41/(1+'Eco Assumption_Goat'!$C69)^P34</f>
        <v>567213.88900306891</v>
      </c>
      <c r="Q55" s="343">
        <f>SUM(B55:P55)</f>
        <v>37301084.914332472</v>
      </c>
    </row>
    <row r="56" spans="1:17" s="12" customFormat="1" x14ac:dyDescent="0.25">
      <c r="A56" s="10" t="s">
        <v>320</v>
      </c>
      <c r="B56" s="39">
        <f>B51/(1+'Eco Assumption_Goat'!$C69)^'Eco BaU_Goat'!B34</f>
        <v>0</v>
      </c>
      <c r="C56" s="39">
        <f>C51/(1+'Eco Assumption_Goat'!$C69)^'Eco BaU_Goat'!C34</f>
        <v>1023745.7118353344</v>
      </c>
      <c r="D56" s="39">
        <f>D51/(1+'Eco Assumption_Goat'!$C69)^'Eco BaU_Goat'!D34</f>
        <v>2897460.0512961582</v>
      </c>
      <c r="E56" s="39">
        <f>E51/(1+'Eco Assumption_Goat'!$C69)^'Eco BaU_Goat'!E34</f>
        <v>4011097.5180777651</v>
      </c>
      <c r="F56" s="39">
        <f>F51/(1+'Eco Assumption_Goat'!$C69)^'Eco BaU_Goat'!F34</f>
        <v>4524774.8640839998</v>
      </c>
      <c r="G56" s="39">
        <f>G51/(1+'Eco Assumption_Goat'!$C69)^'Eco BaU_Goat'!G34</f>
        <v>4151355.6926575024</v>
      </c>
      <c r="H56" s="39">
        <f>H51/(1+'Eco Assumption_Goat'!$C69)^'Eco BaU_Goat'!H34</f>
        <v>3108659.5993274823</v>
      </c>
      <c r="I56" s="39">
        <f>I51/(1+'Eco Assumption_Goat'!$C69)^'Eco BaU_Goat'!I34</f>
        <v>2558237.738277907</v>
      </c>
      <c r="J56" s="39">
        <f>J51/(1+'Eco Assumption_Goat'!$C69)^'Eco BaU_Goat'!J34</f>
        <v>2431324.8767295494</v>
      </c>
      <c r="K56" s="39">
        <f>K51/(1+'Eco Assumption_Goat'!$C69)^'Eco BaU_Goat'!K34</f>
        <v>2332229.2703851154</v>
      </c>
      <c r="L56" s="39">
        <f>L51/(1+'Eco Assumption_Goat'!$C69)^'Eco BaU_Goat'!L34</f>
        <v>1921674.4033321587</v>
      </c>
      <c r="M56" s="39">
        <f>M51/(1+'Eco Assumption_Goat'!$C69)^'Eco BaU_Goat'!M34</f>
        <v>1304602.9499332125</v>
      </c>
      <c r="N56" s="39">
        <f>N51/(1+'Eco Assumption_Goat'!$C69)^'Eco BaU_Goat'!N34</f>
        <v>750747.52100780164</v>
      </c>
      <c r="O56" s="39">
        <f>O51/(1+'Eco Assumption_Goat'!$C69)^'Eco BaU_Goat'!O34</f>
        <v>235714.19615171832</v>
      </c>
      <c r="P56" s="39">
        <f>P51/(1+'Eco Assumption_Goat'!$C69)^'Eco BaU_Goat'!P34</f>
        <v>224045.62084900157</v>
      </c>
      <c r="Q56" s="343">
        <f>SUM(B56:P56)</f>
        <v>31475670.013944708</v>
      </c>
    </row>
    <row r="57" spans="1:17" x14ac:dyDescent="0.25">
      <c r="B57" s="32"/>
      <c r="C57" s="32"/>
      <c r="D57" s="32"/>
      <c r="E57" s="32"/>
      <c r="F57" s="32"/>
      <c r="G57" s="32"/>
      <c r="H57" s="32"/>
      <c r="I57" s="32"/>
      <c r="J57" s="32"/>
      <c r="K57" s="32"/>
      <c r="L57" s="32"/>
    </row>
    <row r="58" spans="1:17" s="12" customFormat="1" x14ac:dyDescent="0.25">
      <c r="A58" s="25" t="str">
        <f>A25</f>
        <v>ENPV ($)</v>
      </c>
      <c r="B58" s="35">
        <f>NPV('Eco Assumption_Goat'!C69,C53:P53)+B53</f>
        <v>5825414.9003877742</v>
      </c>
      <c r="C58" s="40"/>
      <c r="D58" s="40"/>
      <c r="E58" s="40"/>
      <c r="F58" s="40"/>
      <c r="G58" s="40"/>
      <c r="H58" s="40"/>
      <c r="I58" s="40"/>
      <c r="J58" s="40"/>
      <c r="K58" s="40"/>
      <c r="L58" s="40"/>
    </row>
    <row r="60" spans="1:17" s="12" customFormat="1" x14ac:dyDescent="0.25">
      <c r="A60" s="25" t="str">
        <f>A27</f>
        <v>EIRR</v>
      </c>
      <c r="B60" s="36">
        <f>IRR(B53:P53)</f>
        <v>0.2279361083959266</v>
      </c>
      <c r="C60" s="4"/>
      <c r="D60" s="4"/>
      <c r="E60" s="4"/>
      <c r="F60" s="4"/>
      <c r="G60" s="4"/>
      <c r="H60" s="4"/>
      <c r="I60" s="4"/>
      <c r="J60" s="4"/>
      <c r="K60" s="4"/>
      <c r="L60" s="4"/>
    </row>
    <row r="62" spans="1:17" ht="38.25" customHeight="1" x14ac:dyDescent="0.25">
      <c r="A62" s="11"/>
      <c r="B62" s="30"/>
      <c r="C62" s="69"/>
      <c r="D62" s="70"/>
      <c r="E62" s="30"/>
      <c r="F62" s="116"/>
      <c r="G62" s="30"/>
      <c r="H62" s="30"/>
      <c r="I62" s="30"/>
      <c r="J62" s="30"/>
      <c r="K62" s="30"/>
      <c r="L62" s="30"/>
      <c r="M62" s="11"/>
    </row>
    <row r="63" spans="1:17" s="1" customFormat="1" x14ac:dyDescent="0.25">
      <c r="A63" s="24"/>
      <c r="B63" s="42"/>
      <c r="C63" s="42"/>
      <c r="D63" s="42"/>
      <c r="E63" s="42"/>
      <c r="F63" s="42"/>
      <c r="G63" s="42"/>
      <c r="H63" s="42"/>
      <c r="I63" s="42"/>
      <c r="J63" s="42"/>
      <c r="K63" s="42"/>
      <c r="L63" s="42"/>
    </row>
    <row r="65" spans="1:16" ht="26.25" x14ac:dyDescent="0.25">
      <c r="F65" s="19" t="s">
        <v>92</v>
      </c>
    </row>
    <row r="66" spans="1:16" ht="38.25" customHeight="1" x14ac:dyDescent="0.25">
      <c r="A66" s="11" t="str">
        <f>A2</f>
        <v>Aggregate Economic Analysis_Goat Rearing</v>
      </c>
      <c r="B66" s="30"/>
      <c r="C66" s="69"/>
      <c r="D66" s="70"/>
      <c r="E66" s="30"/>
      <c r="F66" s="30"/>
      <c r="G66" s="30"/>
      <c r="H66" s="30"/>
      <c r="I66" s="30"/>
      <c r="J66" s="30"/>
      <c r="K66" s="30"/>
      <c r="L66" s="30"/>
      <c r="M66" s="11"/>
    </row>
    <row r="68" spans="1:16" x14ac:dyDescent="0.25">
      <c r="A68" s="10" t="s">
        <v>19</v>
      </c>
      <c r="B68" s="26">
        <v>0</v>
      </c>
      <c r="C68" s="26">
        <v>1</v>
      </c>
      <c r="D68" s="26">
        <v>2</v>
      </c>
      <c r="E68" s="26">
        <v>3</v>
      </c>
      <c r="F68" s="26">
        <v>4</v>
      </c>
      <c r="G68" s="26">
        <v>5</v>
      </c>
      <c r="H68" s="26">
        <v>6</v>
      </c>
      <c r="I68" s="26">
        <v>7</v>
      </c>
      <c r="J68" s="26">
        <v>8</v>
      </c>
      <c r="K68" s="26">
        <v>9</v>
      </c>
      <c r="L68" s="26">
        <v>10</v>
      </c>
      <c r="M68" s="26">
        <v>11</v>
      </c>
      <c r="N68" s="26">
        <v>12</v>
      </c>
      <c r="O68" s="26">
        <v>13</v>
      </c>
      <c r="P68" s="26">
        <v>14</v>
      </c>
    </row>
    <row r="69" spans="1:16" x14ac:dyDescent="0.25">
      <c r="A69" s="23" t="str">
        <f>A5</f>
        <v>Benefits</v>
      </c>
    </row>
    <row r="70" spans="1:16" x14ac:dyDescent="0.25">
      <c r="A70" s="10" t="str">
        <f>A6</f>
        <v>Goat Sale ($)</v>
      </c>
      <c r="B70" s="31">
        <f t="shared" ref="B70:P70" si="14">B6</f>
        <v>0</v>
      </c>
      <c r="C70" s="31">
        <f t="shared" si="14"/>
        <v>0</v>
      </c>
      <c r="D70" s="31">
        <f t="shared" si="14"/>
        <v>1943290.5</v>
      </c>
      <c r="E70" s="31">
        <f t="shared" si="14"/>
        <v>2878660.9939999999</v>
      </c>
      <c r="F70" s="31">
        <f t="shared" si="14"/>
        <v>4625484.8244500002</v>
      </c>
      <c r="G70" s="31">
        <f t="shared" si="14"/>
        <v>5339131.0545079997</v>
      </c>
      <c r="H70" s="31">
        <f t="shared" si="14"/>
        <v>4745419.6812467109</v>
      </c>
      <c r="I70" s="31">
        <f t="shared" si="14"/>
        <v>5446447.58870361</v>
      </c>
      <c r="J70" s="31">
        <f t="shared" si="14"/>
        <v>5500912.0645906478</v>
      </c>
      <c r="K70" s="31">
        <f t="shared" si="14"/>
        <v>4889210.6430081679</v>
      </c>
      <c r="L70" s="31">
        <f t="shared" si="14"/>
        <v>4910045.3474528054</v>
      </c>
      <c r="M70" s="31">
        <f t="shared" si="14"/>
        <v>3542247.0006623799</v>
      </c>
      <c r="N70" s="31">
        <f t="shared" si="14"/>
        <v>1889009.4805132342</v>
      </c>
      <c r="O70" s="31">
        <f t="shared" si="14"/>
        <v>722689.23307513888</v>
      </c>
      <c r="P70" s="31">
        <f t="shared" si="14"/>
        <v>729916.12540589029</v>
      </c>
    </row>
    <row r="71" spans="1:16" x14ac:dyDescent="0.25">
      <c r="A71" s="10" t="str">
        <f>A7</f>
        <v>Residual ($)</v>
      </c>
      <c r="B71" s="31">
        <f t="shared" ref="B71:P71" si="15">B7</f>
        <v>0</v>
      </c>
      <c r="C71" s="31">
        <f t="shared" si="15"/>
        <v>0</v>
      </c>
      <c r="D71" s="31">
        <f t="shared" si="15"/>
        <v>0</v>
      </c>
      <c r="E71" s="31">
        <f t="shared" si="15"/>
        <v>0</v>
      </c>
      <c r="F71" s="31">
        <f t="shared" si="15"/>
        <v>0</v>
      </c>
      <c r="G71" s="31">
        <f t="shared" si="15"/>
        <v>0</v>
      </c>
      <c r="H71" s="31">
        <f t="shared" si="15"/>
        <v>0</v>
      </c>
      <c r="I71" s="31">
        <f t="shared" si="15"/>
        <v>0</v>
      </c>
      <c r="J71" s="31">
        <f t="shared" si="15"/>
        <v>0</v>
      </c>
      <c r="K71" s="31">
        <f t="shared" si="15"/>
        <v>0</v>
      </c>
      <c r="L71" s="31">
        <f t="shared" si="15"/>
        <v>56000</v>
      </c>
      <c r="M71" s="31">
        <f t="shared" si="15"/>
        <v>112000</v>
      </c>
      <c r="N71" s="31">
        <f t="shared" si="15"/>
        <v>106400</v>
      </c>
      <c r="O71" s="31">
        <f t="shared" si="15"/>
        <v>112000</v>
      </c>
      <c r="P71" s="31">
        <f t="shared" si="15"/>
        <v>56000</v>
      </c>
    </row>
    <row r="72" spans="1:16" x14ac:dyDescent="0.25">
      <c r="A72" s="10" t="str">
        <f>A8</f>
        <v>Mother Goat Sale ($)</v>
      </c>
      <c r="B72" s="31">
        <f t="shared" ref="B72:P72" si="16">B8</f>
        <v>0</v>
      </c>
      <c r="C72" s="31">
        <f t="shared" si="16"/>
        <v>0</v>
      </c>
      <c r="D72" s="31">
        <f t="shared" si="16"/>
        <v>0</v>
      </c>
      <c r="E72" s="31">
        <f t="shared" si="16"/>
        <v>0</v>
      </c>
      <c r="F72" s="31">
        <f t="shared" si="16"/>
        <v>0</v>
      </c>
      <c r="G72" s="31">
        <f t="shared" si="16"/>
        <v>0</v>
      </c>
      <c r="H72" s="31">
        <f t="shared" si="16"/>
        <v>0</v>
      </c>
      <c r="I72" s="31">
        <f t="shared" si="16"/>
        <v>0</v>
      </c>
      <c r="J72" s="31">
        <f t="shared" si="16"/>
        <v>0</v>
      </c>
      <c r="K72" s="31">
        <f t="shared" si="16"/>
        <v>0</v>
      </c>
      <c r="L72" s="31">
        <f t="shared" si="16"/>
        <v>412500</v>
      </c>
      <c r="M72" s="31">
        <f t="shared" si="16"/>
        <v>825000</v>
      </c>
      <c r="N72" s="31">
        <f t="shared" si="16"/>
        <v>825000</v>
      </c>
      <c r="O72" s="31">
        <f t="shared" si="16"/>
        <v>825000</v>
      </c>
      <c r="P72" s="31">
        <f t="shared" si="16"/>
        <v>412500</v>
      </c>
    </row>
    <row r="73" spans="1:16" s="377" customFormat="1" x14ac:dyDescent="0.25">
      <c r="A73" s="376" t="str">
        <f>A39</f>
        <v>Consumption of Goat Milk by Familty memebers</v>
      </c>
      <c r="B73" s="136">
        <f>B39</f>
        <v>0</v>
      </c>
      <c r="C73" s="136">
        <f t="shared" ref="C73:P73" si="17">C39</f>
        <v>9000</v>
      </c>
      <c r="D73" s="136">
        <f t="shared" si="17"/>
        <v>27000</v>
      </c>
      <c r="E73" s="136">
        <f t="shared" si="17"/>
        <v>45000</v>
      </c>
      <c r="F73" s="136">
        <f t="shared" si="17"/>
        <v>63000</v>
      </c>
      <c r="G73" s="136">
        <f t="shared" si="17"/>
        <v>72000</v>
      </c>
      <c r="H73" s="136">
        <f t="shared" si="17"/>
        <v>72000</v>
      </c>
      <c r="I73" s="136">
        <f t="shared" si="17"/>
        <v>72000</v>
      </c>
      <c r="J73" s="136">
        <f t="shared" si="17"/>
        <v>72000</v>
      </c>
      <c r="K73" s="136">
        <f t="shared" si="17"/>
        <v>72000</v>
      </c>
      <c r="L73" s="136">
        <f t="shared" si="17"/>
        <v>63000</v>
      </c>
      <c r="M73" s="136">
        <f t="shared" si="17"/>
        <v>45000</v>
      </c>
      <c r="N73" s="136">
        <f t="shared" si="17"/>
        <v>27000</v>
      </c>
      <c r="O73" s="136">
        <f t="shared" si="17"/>
        <v>9000</v>
      </c>
      <c r="P73" s="136">
        <f t="shared" si="17"/>
        <v>9000</v>
      </c>
    </row>
    <row r="74" spans="1:16" s="377" customFormat="1" ht="15" customHeight="1" x14ac:dyDescent="0.25">
      <c r="A74" s="376" t="str">
        <f>A40</f>
        <v>Social benefit from export of goat leather</v>
      </c>
      <c r="B74" s="136">
        <f>B40</f>
        <v>0</v>
      </c>
      <c r="C74" s="136">
        <f t="shared" ref="C74:P74" si="18">C40</f>
        <v>75000</v>
      </c>
      <c r="D74" s="136">
        <f t="shared" si="18"/>
        <v>225000</v>
      </c>
      <c r="E74" s="136">
        <f t="shared" si="18"/>
        <v>375000</v>
      </c>
      <c r="F74" s="136">
        <f t="shared" si="18"/>
        <v>525000</v>
      </c>
      <c r="G74" s="136">
        <f t="shared" si="18"/>
        <v>600000</v>
      </c>
      <c r="H74" s="136">
        <f t="shared" si="18"/>
        <v>600000</v>
      </c>
      <c r="I74" s="136">
        <f t="shared" si="18"/>
        <v>600000</v>
      </c>
      <c r="J74" s="136">
        <f t="shared" si="18"/>
        <v>600000</v>
      </c>
      <c r="K74" s="136">
        <f t="shared" si="18"/>
        <v>600000</v>
      </c>
      <c r="L74" s="136">
        <f t="shared" si="18"/>
        <v>525000</v>
      </c>
      <c r="M74" s="136">
        <f t="shared" si="18"/>
        <v>375000</v>
      </c>
      <c r="N74" s="136">
        <f t="shared" si="18"/>
        <v>225000</v>
      </c>
      <c r="O74" s="136">
        <f t="shared" si="18"/>
        <v>75000</v>
      </c>
      <c r="P74" s="136">
        <f t="shared" si="18"/>
        <v>75000</v>
      </c>
    </row>
    <row r="75" spans="1:16" s="12" customFormat="1" x14ac:dyDescent="0.25">
      <c r="A75" s="23" t="s">
        <v>53</v>
      </c>
      <c r="B75" s="38">
        <f>(B70+B71+B72+B73+B74)</f>
        <v>0</v>
      </c>
      <c r="C75" s="38">
        <f t="shared" ref="C75:P75" si="19">(C70+C71+C72+C73+C74)</f>
        <v>84000</v>
      </c>
      <c r="D75" s="38">
        <f t="shared" si="19"/>
        <v>2195290.5</v>
      </c>
      <c r="E75" s="38">
        <f t="shared" si="19"/>
        <v>3298660.9939999999</v>
      </c>
      <c r="F75" s="38">
        <f t="shared" si="19"/>
        <v>5213484.8244500002</v>
      </c>
      <c r="G75" s="38">
        <f t="shared" si="19"/>
        <v>6011131.0545079997</v>
      </c>
      <c r="H75" s="38">
        <f t="shared" si="19"/>
        <v>5417419.6812467109</v>
      </c>
      <c r="I75" s="38">
        <f t="shared" si="19"/>
        <v>6118447.58870361</v>
      </c>
      <c r="J75" s="38">
        <f t="shared" si="19"/>
        <v>6172912.0645906478</v>
      </c>
      <c r="K75" s="38">
        <f t="shared" si="19"/>
        <v>5561210.6430081679</v>
      </c>
      <c r="L75" s="38">
        <f t="shared" si="19"/>
        <v>5966545.3474528054</v>
      </c>
      <c r="M75" s="38">
        <f t="shared" si="19"/>
        <v>4899247.0006623799</v>
      </c>
      <c r="N75" s="38">
        <f t="shared" si="19"/>
        <v>3072409.4805132342</v>
      </c>
      <c r="O75" s="38">
        <f t="shared" si="19"/>
        <v>1743689.2330751389</v>
      </c>
      <c r="P75" s="38">
        <f t="shared" si="19"/>
        <v>1282416.1254058904</v>
      </c>
    </row>
    <row r="76" spans="1:16" x14ac:dyDescent="0.25">
      <c r="A76" s="23"/>
      <c r="B76" s="41"/>
      <c r="C76" s="41"/>
      <c r="D76" s="41"/>
      <c r="E76" s="41"/>
      <c r="F76" s="41"/>
      <c r="G76" s="41"/>
      <c r="H76" s="41"/>
      <c r="I76" s="41"/>
      <c r="J76" s="41"/>
      <c r="K76" s="41"/>
    </row>
    <row r="77" spans="1:16" x14ac:dyDescent="0.25">
      <c r="A77" s="23" t="s">
        <v>20</v>
      </c>
    </row>
    <row r="78" spans="1:16" x14ac:dyDescent="0.25">
      <c r="A78" s="9" t="str">
        <f t="shared" ref="A78:P78" si="20">A12</f>
        <v>Slated House Construction</v>
      </c>
      <c r="B78" s="33">
        <f t="shared" si="20"/>
        <v>0</v>
      </c>
      <c r="C78" s="33">
        <f t="shared" si="20"/>
        <v>280000</v>
      </c>
      <c r="D78" s="33">
        <f t="shared" si="20"/>
        <v>560000</v>
      </c>
      <c r="E78" s="33">
        <f t="shared" si="20"/>
        <v>560000</v>
      </c>
      <c r="F78" s="33">
        <f t="shared" si="20"/>
        <v>560000</v>
      </c>
      <c r="G78" s="33">
        <f t="shared" si="20"/>
        <v>280000</v>
      </c>
      <c r="H78" s="33">
        <f t="shared" si="20"/>
        <v>0</v>
      </c>
      <c r="I78" s="33">
        <f t="shared" si="20"/>
        <v>0</v>
      </c>
      <c r="J78" s="33">
        <f t="shared" si="20"/>
        <v>0</v>
      </c>
      <c r="K78" s="33">
        <f t="shared" si="20"/>
        <v>0</v>
      </c>
      <c r="L78" s="33">
        <f t="shared" si="20"/>
        <v>0</v>
      </c>
      <c r="M78" s="33">
        <f t="shared" si="20"/>
        <v>0</v>
      </c>
      <c r="N78" s="33">
        <f t="shared" si="20"/>
        <v>0</v>
      </c>
      <c r="O78" s="33">
        <f t="shared" si="20"/>
        <v>0</v>
      </c>
      <c r="P78" s="33">
        <f t="shared" si="20"/>
        <v>0</v>
      </c>
    </row>
    <row r="79" spans="1:16" x14ac:dyDescent="0.25">
      <c r="A79" s="9" t="str">
        <f t="shared" ref="A79:P79" si="21">A13</f>
        <v>Mother Goat Purchase</v>
      </c>
      <c r="B79" s="33">
        <f t="shared" si="21"/>
        <v>0</v>
      </c>
      <c r="C79" s="33">
        <f t="shared" si="21"/>
        <v>375000</v>
      </c>
      <c r="D79" s="33">
        <f t="shared" si="21"/>
        <v>750000</v>
      </c>
      <c r="E79" s="33">
        <f t="shared" si="21"/>
        <v>750000</v>
      </c>
      <c r="F79" s="33">
        <f t="shared" si="21"/>
        <v>750000</v>
      </c>
      <c r="G79" s="33">
        <f t="shared" si="21"/>
        <v>375000</v>
      </c>
      <c r="H79" s="33">
        <f t="shared" si="21"/>
        <v>0</v>
      </c>
      <c r="I79" s="33">
        <f t="shared" si="21"/>
        <v>0</v>
      </c>
      <c r="J79" s="33">
        <f t="shared" si="21"/>
        <v>0</v>
      </c>
      <c r="K79" s="33">
        <f t="shared" si="21"/>
        <v>0</v>
      </c>
      <c r="L79" s="33">
        <f t="shared" si="21"/>
        <v>0</v>
      </c>
      <c r="M79" s="33">
        <f t="shared" si="21"/>
        <v>0</v>
      </c>
      <c r="N79" s="33">
        <f t="shared" si="21"/>
        <v>0</v>
      </c>
      <c r="O79" s="33">
        <f t="shared" si="21"/>
        <v>0</v>
      </c>
      <c r="P79" s="33">
        <f t="shared" si="21"/>
        <v>0</v>
      </c>
    </row>
    <row r="80" spans="1:16" x14ac:dyDescent="0.25">
      <c r="A80" s="9" t="str">
        <f t="shared" ref="A80:P80" si="22">A14</f>
        <v>Maintenance Cost</v>
      </c>
      <c r="B80" s="33">
        <f t="shared" si="22"/>
        <v>0</v>
      </c>
      <c r="C80" s="33">
        <f t="shared" si="22"/>
        <v>0</v>
      </c>
      <c r="D80" s="33">
        <f t="shared" si="22"/>
        <v>90000</v>
      </c>
      <c r="E80" s="33">
        <f t="shared" si="22"/>
        <v>157500.00000000003</v>
      </c>
      <c r="F80" s="33">
        <f t="shared" si="22"/>
        <v>210000</v>
      </c>
      <c r="G80" s="33">
        <f t="shared" si="22"/>
        <v>240000</v>
      </c>
      <c r="H80" s="33">
        <f t="shared" si="22"/>
        <v>252000.00000000003</v>
      </c>
      <c r="I80" s="33">
        <f t="shared" si="22"/>
        <v>240000</v>
      </c>
      <c r="J80" s="33">
        <f t="shared" si="22"/>
        <v>240000</v>
      </c>
      <c r="K80" s="33">
        <f t="shared" si="22"/>
        <v>252000.00000000003</v>
      </c>
      <c r="L80" s="33">
        <f t="shared" si="22"/>
        <v>210000</v>
      </c>
      <c r="M80" s="33">
        <f t="shared" si="22"/>
        <v>150000</v>
      </c>
      <c r="N80" s="33">
        <f t="shared" si="22"/>
        <v>94500.000000000015</v>
      </c>
      <c r="O80" s="33">
        <f t="shared" si="22"/>
        <v>30000</v>
      </c>
      <c r="P80" s="33">
        <f t="shared" si="22"/>
        <v>30000</v>
      </c>
    </row>
    <row r="81" spans="1:17" x14ac:dyDescent="0.25">
      <c r="A81" s="9" t="str">
        <f t="shared" ref="A81:P81" si="23">A15</f>
        <v>Medicine</v>
      </c>
      <c r="B81" s="33">
        <f t="shared" si="23"/>
        <v>0</v>
      </c>
      <c r="C81" s="33">
        <f t="shared" si="23"/>
        <v>50595.454545454544</v>
      </c>
      <c r="D81" s="33">
        <f t="shared" si="23"/>
        <v>151786.36363636365</v>
      </c>
      <c r="E81" s="33">
        <f t="shared" si="23"/>
        <v>268155.90909090912</v>
      </c>
      <c r="F81" s="33">
        <f t="shared" si="23"/>
        <v>354168.18181818182</v>
      </c>
      <c r="G81" s="33">
        <f t="shared" si="23"/>
        <v>404763.63636363635</v>
      </c>
      <c r="H81" s="33">
        <f t="shared" si="23"/>
        <v>429049.45454545453</v>
      </c>
      <c r="I81" s="33">
        <f t="shared" si="23"/>
        <v>404763.63636363635</v>
      </c>
      <c r="J81" s="33">
        <f t="shared" si="23"/>
        <v>404763.63636363635</v>
      </c>
      <c r="K81" s="33">
        <f t="shared" si="23"/>
        <v>429049.45454545453</v>
      </c>
      <c r="L81" s="33">
        <f t="shared" si="23"/>
        <v>354168.18181818182</v>
      </c>
      <c r="M81" s="33">
        <f t="shared" si="23"/>
        <v>252977.27272727274</v>
      </c>
      <c r="N81" s="33">
        <f t="shared" si="23"/>
        <v>160893.54545454547</v>
      </c>
      <c r="O81" s="33">
        <f t="shared" si="23"/>
        <v>50595.454545454544</v>
      </c>
      <c r="P81" s="33">
        <f t="shared" si="23"/>
        <v>50595.454545454544</v>
      </c>
    </row>
    <row r="82" spans="1:17" x14ac:dyDescent="0.25">
      <c r="A82" s="9" t="str">
        <f t="shared" ref="A82:P82" si="24">A16</f>
        <v>Labor</v>
      </c>
      <c r="B82" s="33">
        <f t="shared" si="24"/>
        <v>0</v>
      </c>
      <c r="C82" s="33">
        <f t="shared" si="24"/>
        <v>335825</v>
      </c>
      <c r="D82" s="33">
        <f t="shared" si="24"/>
        <v>1017549.75</v>
      </c>
      <c r="E82" s="33">
        <f t="shared" si="24"/>
        <v>1712875.4124999999</v>
      </c>
      <c r="F82" s="33">
        <f t="shared" si="24"/>
        <v>2422005.8332750001</v>
      </c>
      <c r="G82" s="33">
        <f t="shared" si="24"/>
        <v>2795686.7332659997</v>
      </c>
      <c r="H82" s="33">
        <f t="shared" si="24"/>
        <v>2823643.6005986603</v>
      </c>
      <c r="I82" s="33">
        <f t="shared" si="24"/>
        <v>2851880.0366046461</v>
      </c>
      <c r="J82" s="33">
        <f t="shared" si="24"/>
        <v>2880398.8369706934</v>
      </c>
      <c r="K82" s="33">
        <f t="shared" si="24"/>
        <v>2909202.8253404004</v>
      </c>
      <c r="L82" s="33">
        <f t="shared" si="24"/>
        <v>2571007.9968945789</v>
      </c>
      <c r="M82" s="33">
        <f t="shared" si="24"/>
        <v>1854798.6263310888</v>
      </c>
      <c r="N82" s="33">
        <f t="shared" si="24"/>
        <v>1124007.9675566398</v>
      </c>
      <c r="O82" s="33">
        <f t="shared" si="24"/>
        <v>378416.01574406878</v>
      </c>
      <c r="P82" s="33">
        <f t="shared" si="24"/>
        <v>382200.17590150947</v>
      </c>
    </row>
    <row r="83" spans="1:17" s="50" customFormat="1" x14ac:dyDescent="0.25">
      <c r="A83" s="52" t="s">
        <v>131</v>
      </c>
      <c r="B83" s="49">
        <f>B17*'Eco Assumption_Goat'!$C26</f>
        <v>0</v>
      </c>
      <c r="C83" s="49">
        <f>C17*'Eco Assumption_Goat'!$C26</f>
        <v>0</v>
      </c>
      <c r="D83" s="49">
        <f>D17*'Eco Assumption_Goat'!$C26</f>
        <v>0</v>
      </c>
      <c r="E83" s="49">
        <f>E17*'Eco Assumption_Goat'!$C26</f>
        <v>0</v>
      </c>
      <c r="F83" s="49">
        <f>F17*'Eco Assumption_Goat'!$C26</f>
        <v>0</v>
      </c>
      <c r="G83" s="49">
        <f>G17*'Eco Assumption_Goat'!$C26</f>
        <v>0</v>
      </c>
      <c r="H83" s="49">
        <f>H17*'Eco Assumption_Goat'!$C26</f>
        <v>0</v>
      </c>
      <c r="I83" s="49">
        <f>I17*'Eco Assumption_Goat'!$C26</f>
        <v>0</v>
      </c>
      <c r="J83" s="49">
        <f>J17*'Eco Assumption_Goat'!$C26</f>
        <v>0</v>
      </c>
      <c r="K83" s="49">
        <f>K17*'Eco Assumption_Goat'!$C26</f>
        <v>0</v>
      </c>
      <c r="L83" s="49">
        <f>L17*'Eco Assumption_Goat'!$C26</f>
        <v>0</v>
      </c>
      <c r="M83" s="49">
        <f>M17*'Eco Assumption_Goat'!$C26</f>
        <v>0</v>
      </c>
      <c r="N83" s="49">
        <f>N17*'Eco Assumption_Goat'!$C26</f>
        <v>0</v>
      </c>
      <c r="O83" s="49">
        <f>O17*'Eco Assumption_Goat'!$C26</f>
        <v>0</v>
      </c>
      <c r="P83" s="49">
        <f>P17*'Eco Assumption_Goat'!$C26</f>
        <v>0</v>
      </c>
    </row>
    <row r="84" spans="1:17" s="50" customFormat="1" x14ac:dyDescent="0.25">
      <c r="A84" s="121" t="str">
        <f>A50</f>
        <v>Opportunity cost of labor by women households</v>
      </c>
      <c r="B84" s="137">
        <f>B50</f>
        <v>0</v>
      </c>
      <c r="C84" s="137">
        <f t="shared" ref="C84:P84" si="25">C50</f>
        <v>43750</v>
      </c>
      <c r="D84" s="137">
        <f t="shared" si="25"/>
        <v>131250</v>
      </c>
      <c r="E84" s="137">
        <f t="shared" si="25"/>
        <v>218750</v>
      </c>
      <c r="F84" s="137">
        <f t="shared" si="25"/>
        <v>306250</v>
      </c>
      <c r="G84" s="137">
        <f t="shared" si="25"/>
        <v>350000</v>
      </c>
      <c r="H84" s="137">
        <f t="shared" si="25"/>
        <v>350000</v>
      </c>
      <c r="I84" s="137">
        <f t="shared" si="25"/>
        <v>350000</v>
      </c>
      <c r="J84" s="137">
        <f t="shared" si="25"/>
        <v>350000</v>
      </c>
      <c r="K84" s="137">
        <f t="shared" si="25"/>
        <v>350000</v>
      </c>
      <c r="L84" s="137">
        <f t="shared" si="25"/>
        <v>306250</v>
      </c>
      <c r="M84" s="137">
        <f t="shared" si="25"/>
        <v>218750</v>
      </c>
      <c r="N84" s="137">
        <f t="shared" si="25"/>
        <v>131250</v>
      </c>
      <c r="O84" s="137">
        <f t="shared" si="25"/>
        <v>43750</v>
      </c>
      <c r="P84" s="137">
        <f t="shared" si="25"/>
        <v>43750</v>
      </c>
    </row>
    <row r="85" spans="1:17" x14ac:dyDescent="0.25">
      <c r="A85" s="117" t="s">
        <v>54</v>
      </c>
      <c r="B85" s="37">
        <f>SUM(B78:B84)</f>
        <v>0</v>
      </c>
      <c r="C85" s="37">
        <f>SUM(C78:C84)</f>
        <v>1085170.4545454546</v>
      </c>
      <c r="D85" s="37">
        <f>SUM(D78:D84)</f>
        <v>2700586.1136363638</v>
      </c>
      <c r="E85" s="37">
        <f t="shared" ref="E85:P85" si="26">SUM(E78:E84)</f>
        <v>3667281.3215909088</v>
      </c>
      <c r="F85" s="37">
        <f t="shared" si="26"/>
        <v>4602424.0150931822</v>
      </c>
      <c r="G85" s="37">
        <f t="shared" si="26"/>
        <v>4445450.3696296364</v>
      </c>
      <c r="H85" s="37">
        <f t="shared" si="26"/>
        <v>3854693.0551441149</v>
      </c>
      <c r="I85" s="37">
        <f t="shared" si="26"/>
        <v>3846643.6729682824</v>
      </c>
      <c r="J85" s="37">
        <f t="shared" si="26"/>
        <v>3875162.4733343297</v>
      </c>
      <c r="K85" s="37">
        <f t="shared" si="26"/>
        <v>3940252.279885855</v>
      </c>
      <c r="L85" s="37">
        <f t="shared" si="26"/>
        <v>3441426.178712761</v>
      </c>
      <c r="M85" s="37">
        <f t="shared" si="26"/>
        <v>2476525.8990583615</v>
      </c>
      <c r="N85" s="37">
        <f t="shared" si="26"/>
        <v>1510651.5130111852</v>
      </c>
      <c r="O85" s="37">
        <f t="shared" si="26"/>
        <v>502761.47028952331</v>
      </c>
      <c r="P85" s="37">
        <f t="shared" si="26"/>
        <v>506545.630446964</v>
      </c>
    </row>
    <row r="86" spans="1:17" x14ac:dyDescent="0.25">
      <c r="B86" s="32"/>
      <c r="C86" s="32"/>
      <c r="D86" s="32"/>
      <c r="E86" s="32"/>
      <c r="F86" s="32"/>
      <c r="G86" s="32"/>
      <c r="H86" s="32"/>
      <c r="I86" s="32"/>
      <c r="J86" s="32"/>
      <c r="K86" s="32"/>
      <c r="L86" s="32"/>
    </row>
    <row r="87" spans="1:17" x14ac:dyDescent="0.25">
      <c r="A87" s="23" t="str">
        <f>A20</f>
        <v>Net Resource Flow ($)</v>
      </c>
      <c r="B87" s="34">
        <f t="shared" ref="B87:P87" si="27">B75-B85</f>
        <v>0</v>
      </c>
      <c r="C87" s="34">
        <f t="shared" si="27"/>
        <v>-1001170.4545454546</v>
      </c>
      <c r="D87" s="34">
        <f t="shared" si="27"/>
        <v>-505295.61363636376</v>
      </c>
      <c r="E87" s="34">
        <f t="shared" si="27"/>
        <v>-368620.32759090886</v>
      </c>
      <c r="F87" s="34">
        <f t="shared" si="27"/>
        <v>611060.80935681798</v>
      </c>
      <c r="G87" s="34">
        <f t="shared" si="27"/>
        <v>1565680.6848783633</v>
      </c>
      <c r="H87" s="34">
        <f t="shared" si="27"/>
        <v>1562726.6261025961</v>
      </c>
      <c r="I87" s="34">
        <f t="shared" si="27"/>
        <v>2271803.9157353276</v>
      </c>
      <c r="J87" s="34">
        <f t="shared" si="27"/>
        <v>2297749.5912563181</v>
      </c>
      <c r="K87" s="34">
        <f t="shared" si="27"/>
        <v>1620958.3631223128</v>
      </c>
      <c r="L87" s="34">
        <f t="shared" si="27"/>
        <v>2525119.1687400443</v>
      </c>
      <c r="M87" s="34">
        <f t="shared" si="27"/>
        <v>2422721.1016040184</v>
      </c>
      <c r="N87" s="34">
        <f t="shared" si="27"/>
        <v>1561757.9675020489</v>
      </c>
      <c r="O87" s="34">
        <f t="shared" si="27"/>
        <v>1240927.7627856156</v>
      </c>
      <c r="P87" s="34">
        <f t="shared" si="27"/>
        <v>775870.49495892646</v>
      </c>
    </row>
    <row r="88" spans="1:17" x14ac:dyDescent="0.25">
      <c r="B88" s="32"/>
      <c r="C88" s="32"/>
      <c r="D88" s="32"/>
      <c r="E88" s="32"/>
      <c r="F88" s="32"/>
      <c r="G88" s="32"/>
      <c r="H88" s="32"/>
      <c r="I88" s="32"/>
      <c r="J88" s="32"/>
      <c r="K88" s="32"/>
      <c r="L88" s="32"/>
    </row>
    <row r="89" spans="1:17" s="12" customFormat="1" x14ac:dyDescent="0.25">
      <c r="A89" s="10" t="s">
        <v>319</v>
      </c>
      <c r="B89" s="39">
        <f>B75/(1+'Eco Assumption_Goat'!$C69)^B68</f>
        <v>0</v>
      </c>
      <c r="C89" s="39">
        <f>C75/(1+'Eco Assumption_Goat'!$C69)^C68</f>
        <v>79245.283018867922</v>
      </c>
      <c r="D89" s="39">
        <f>D75/(1+'Eco Assumption_Goat'!$C69)^D68</f>
        <v>1953800.7297970806</v>
      </c>
      <c r="E89" s="39">
        <f>E75/(1+'Eco Assumption_Goat'!$C69)^E68</f>
        <v>2769619.3787488993</v>
      </c>
      <c r="F89" s="39">
        <f>F75/(1+'Eco Assumption_Goat'!$C69)^F68</f>
        <v>4129568.2928344281</v>
      </c>
      <c r="G89" s="39">
        <f>G75/(1+'Eco Assumption_Goat'!$C69)^G68</f>
        <v>4491866.8086500615</v>
      </c>
      <c r="H89" s="39">
        <f>H75/(1+'Eco Assumption_Goat'!$C69)^H68</f>
        <v>3819067.1062802202</v>
      </c>
      <c r="I89" s="39">
        <f>I75/(1+'Eco Assumption_Goat'!$C69)^I68</f>
        <v>4069117.0931927646</v>
      </c>
      <c r="J89" s="39">
        <f>J75/(1+'Eco Assumption_Goat'!$C69)^J68</f>
        <v>3872961.3965293886</v>
      </c>
      <c r="K89" s="39">
        <f>K75/(1+'Eco Assumption_Goat'!$C69)^K68</f>
        <v>3291672.0349633568</v>
      </c>
      <c r="L89" s="39">
        <f>L75/(1+'Eco Assumption_Goat'!$C69)^L68</f>
        <v>3331687.7582448437</v>
      </c>
      <c r="M89" s="39">
        <f>M75/(1+'Eco Assumption_Goat'!$C69)^M68</f>
        <v>2580862.2037612544</v>
      </c>
      <c r="N89" s="39">
        <f>N75/(1+'Eco Assumption_Goat'!$C69)^N68</f>
        <v>1526893.3841786047</v>
      </c>
      <c r="O89" s="39">
        <f>O75/(1+'Eco Assumption_Goat'!$C69)^O68</f>
        <v>817509.55512964132</v>
      </c>
      <c r="P89" s="39">
        <f>P75/(1+'Eco Assumption_Goat'!$C69)^P68</f>
        <v>567213.88900306891</v>
      </c>
      <c r="Q89" s="343">
        <f>SUM(B89:P89)</f>
        <v>37301084.914332472</v>
      </c>
    </row>
    <row r="90" spans="1:17" s="12" customFormat="1" x14ac:dyDescent="0.25">
      <c r="A90" s="10" t="s">
        <v>320</v>
      </c>
      <c r="B90" s="39">
        <f>B85/(1+'Eco Assumption_Goat'!$C69)^'Eco BaU_Goat'!B68</f>
        <v>0</v>
      </c>
      <c r="C90" s="39">
        <f>C85/(1+'Eco Assumption_Goat'!$C69)^'Eco BaU_Goat'!C68</f>
        <v>1023745.7118353344</v>
      </c>
      <c r="D90" s="39">
        <f>D85/(1+'Eco Assumption_Goat'!$C69)^'Eco BaU_Goat'!D68</f>
        <v>2403512.0270882552</v>
      </c>
      <c r="E90" s="39">
        <f>E85/(1+'Eco Assumption_Goat'!$C69)^'Eco BaU_Goat'!E68</f>
        <v>3079120.1139119104</v>
      </c>
      <c r="F90" s="39">
        <f>F85/(1+'Eco Assumption_Goat'!$C69)^'Eco BaU_Goat'!F68</f>
        <v>3645550.8978897966</v>
      </c>
      <c r="G90" s="39">
        <f>G85/(1+'Eco Assumption_Goat'!$C69)^'Eco BaU_Goat'!G68</f>
        <v>3321899.1207761792</v>
      </c>
      <c r="H90" s="39">
        <f>H85/(1+'Eco Assumption_Goat'!$C69)^'Eco BaU_Goat'!H68</f>
        <v>2717406.4993834621</v>
      </c>
      <c r="I90" s="39">
        <f>I85/(1+'Eco Assumption_Goat'!$C69)^'Eco BaU_Goat'!I68</f>
        <v>2558237.738277907</v>
      </c>
      <c r="J90" s="39">
        <f>J85/(1+'Eco Assumption_Goat'!$C69)^'Eco BaU_Goat'!J68</f>
        <v>2431324.8767295494</v>
      </c>
      <c r="K90" s="39">
        <f>K85/(1+'Eco Assumption_Goat'!$C69)^'Eco BaU_Goat'!K68</f>
        <v>2332229.2703851154</v>
      </c>
      <c r="L90" s="39">
        <f>L85/(1+'Eco Assumption_Goat'!$C69)^'Eco BaU_Goat'!L68</f>
        <v>1921674.4033321587</v>
      </c>
      <c r="M90" s="39">
        <f>M85/(1+'Eco Assumption_Goat'!$C69)^'Eco BaU_Goat'!M68</f>
        <v>1304602.9499332125</v>
      </c>
      <c r="N90" s="39">
        <f>N85/(1+'Eco Assumption_Goat'!$C69)^'Eco BaU_Goat'!N68</f>
        <v>750747.52100780164</v>
      </c>
      <c r="O90" s="39">
        <f>O85/(1+'Eco Assumption_Goat'!$C69)^'Eco BaU_Goat'!O68</f>
        <v>235714.19615171832</v>
      </c>
      <c r="P90" s="39">
        <f>P85/(1+'Eco Assumption_Goat'!$C69)^'Eco BaU_Goat'!P68</f>
        <v>224045.62084900157</v>
      </c>
      <c r="Q90" s="343">
        <f>SUM(B90:P90)</f>
        <v>27949810.947551403</v>
      </c>
    </row>
    <row r="91" spans="1:17" s="12" customFormat="1" x14ac:dyDescent="0.25">
      <c r="A91" s="23"/>
      <c r="B91" s="342"/>
      <c r="C91" s="342"/>
      <c r="D91" s="342"/>
      <c r="E91" s="342"/>
      <c r="F91" s="342"/>
      <c r="G91" s="342"/>
      <c r="H91" s="342"/>
      <c r="I91" s="342"/>
      <c r="J91" s="342"/>
      <c r="K91" s="342"/>
      <c r="L91" s="342"/>
      <c r="M91" s="342"/>
      <c r="N91" s="342"/>
      <c r="O91" s="342"/>
      <c r="P91" s="342"/>
    </row>
    <row r="92" spans="1:17" x14ac:dyDescent="0.25">
      <c r="B92" s="32"/>
      <c r="C92" s="32"/>
      <c r="D92" s="32"/>
      <c r="E92" s="32"/>
      <c r="F92" s="32"/>
      <c r="G92" s="32"/>
      <c r="H92" s="32"/>
      <c r="I92" s="32"/>
      <c r="J92" s="32"/>
      <c r="K92" s="32"/>
      <c r="L92" s="32"/>
    </row>
    <row r="93" spans="1:17" s="12" customFormat="1" x14ac:dyDescent="0.25">
      <c r="A93" s="25" t="str">
        <f>A25</f>
        <v>ENPV ($)</v>
      </c>
      <c r="B93" s="35">
        <f>NPV('Eco Assumption_Goat'!C69,C87:P87)+B87</f>
        <v>9351273.9667810798</v>
      </c>
      <c r="C93" s="40"/>
      <c r="D93" s="40"/>
      <c r="E93" s="40"/>
      <c r="F93" s="40"/>
      <c r="G93" s="40"/>
      <c r="H93" s="40"/>
      <c r="I93" s="40"/>
      <c r="J93" s="40"/>
      <c r="K93" s="40"/>
      <c r="L93" s="40"/>
    </row>
    <row r="95" spans="1:17" s="12" customFormat="1" x14ac:dyDescent="0.25">
      <c r="A95" s="25" t="str">
        <f>A27</f>
        <v>EIRR</v>
      </c>
      <c r="B95" s="36">
        <f>IRR(B87:P87)</f>
        <v>0.44382004845635348</v>
      </c>
      <c r="C95" s="4"/>
      <c r="D95" s="4"/>
      <c r="E95" s="4"/>
      <c r="F95" s="4"/>
      <c r="G95" s="4"/>
      <c r="H95" s="4"/>
      <c r="I95" s="4"/>
      <c r="J95" s="4"/>
      <c r="K95" s="4"/>
      <c r="L95" s="4"/>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7030A0"/>
  </sheetPr>
  <dimension ref="A2:Q94"/>
  <sheetViews>
    <sheetView showGridLines="0" topLeftCell="B1" zoomScale="70" zoomScaleNormal="70" workbookViewId="0">
      <selection activeCell="E94" sqref="E94"/>
    </sheetView>
  </sheetViews>
  <sheetFormatPr defaultColWidth="9" defaultRowHeight="15" x14ac:dyDescent="0.25"/>
  <cols>
    <col min="1" max="1" width="40.7109375" style="10" customWidth="1"/>
    <col min="2" max="2" width="16.28515625" style="26" customWidth="1"/>
    <col min="3" max="3" width="16.140625" style="26" customWidth="1"/>
    <col min="4" max="4" width="17" style="26" customWidth="1"/>
    <col min="5" max="5" width="17.140625" style="26" customWidth="1"/>
    <col min="6" max="6" width="18" style="26" customWidth="1"/>
    <col min="7" max="7" width="18.5703125" style="26" customWidth="1"/>
    <col min="8" max="8" width="18.7109375" style="26" customWidth="1"/>
    <col min="9" max="9" width="16.5703125" style="26" customWidth="1"/>
    <col min="10" max="10" width="18.7109375" style="26" customWidth="1"/>
    <col min="11" max="11" width="16.28515625" style="26" customWidth="1"/>
    <col min="12" max="12" width="16.7109375" style="26" customWidth="1"/>
    <col min="13" max="13" width="16.140625" style="3" customWidth="1"/>
    <col min="14" max="14" width="16.28515625" style="3" customWidth="1"/>
    <col min="15" max="15" width="15.85546875" style="3" customWidth="1"/>
    <col min="16" max="16" width="16.5703125" style="3" customWidth="1"/>
    <col min="17" max="17" width="16.42578125" style="3" customWidth="1"/>
    <col min="18" max="16384" width="9" style="3"/>
  </cols>
  <sheetData>
    <row r="2" spans="1:16" ht="38.25" customHeight="1" x14ac:dyDescent="0.25">
      <c r="A2" s="11" t="s">
        <v>315</v>
      </c>
      <c r="B2" s="30"/>
      <c r="C2" s="69"/>
      <c r="D2" s="70"/>
      <c r="E2" s="30"/>
      <c r="F2" s="116" t="s">
        <v>91</v>
      </c>
      <c r="G2" s="30"/>
      <c r="H2" s="30"/>
      <c r="I2" s="30"/>
      <c r="J2" s="30"/>
      <c r="K2" s="30"/>
      <c r="L2" s="30"/>
      <c r="M2" s="11"/>
    </row>
    <row r="3" spans="1:16" ht="15" customHeight="1" x14ac:dyDescent="0.25">
      <c r="A3" s="22"/>
      <c r="B3" s="30"/>
      <c r="C3" s="30"/>
      <c r="D3" s="30"/>
      <c r="E3" s="30"/>
      <c r="F3" s="30"/>
      <c r="G3" s="30"/>
      <c r="H3" s="30"/>
      <c r="I3" s="30"/>
      <c r="J3" s="30"/>
      <c r="K3" s="30"/>
      <c r="L3" s="30"/>
      <c r="M3" s="11"/>
    </row>
    <row r="4" spans="1:1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row>
    <row r="5" spans="1:16" x14ac:dyDescent="0.25">
      <c r="A5" s="23" t="s">
        <v>3</v>
      </c>
    </row>
    <row r="6" spans="1:16" x14ac:dyDescent="0.25">
      <c r="A6" s="10" t="s">
        <v>174</v>
      </c>
      <c r="B6" s="31">
        <f>'Eco Assumption_Goat'!D11*'Eco Assumption_Goat'!D176*'Eco Assumption_Goat'!D177*'Eco Assumption_Goat'!D177*(1+'Eco Assumption_Goat'!D178)^'Eco Assumption_Goat'!D175</f>
        <v>0</v>
      </c>
      <c r="C6" s="31">
        <v>0</v>
      </c>
      <c r="D6" s="31">
        <f>'Eco Assumption_Goat'!F11*'Eco Assumption_Goat'!F176*'Eco Assumption_Goat'!F177*(1+'Eco Assumption_Goat'!F178)^'Eco Assumption_Goat'!F175</f>
        <v>1943290.5</v>
      </c>
      <c r="E6" s="188">
        <f>'Eco Assumption_Goat'!G11*'Eco Assumption_Goat'!G176*'Eco Assumption_Goat'!G177*(1+'Eco Assumption_Goat'!G178)^'Eco Assumption_Goat'!G175*(1+'Eco Assumption_Goat'!$S151)</f>
        <v>2504435.0647800001</v>
      </c>
      <c r="F6" s="31">
        <f>'Eco Assumption_Goat'!H11*'Eco Assumption_Goat'!H176*'Eco Assumption_Goat'!H177*(1+'Eco Assumption_Goat'!H178)^'Eco Assumption_Goat'!H175</f>
        <v>4625484.8244500002</v>
      </c>
      <c r="G6" s="31">
        <f>'Eco Assumption_Goat'!I11*'Eco Assumption_Goat'!I176*'Eco Assumption_Goat'!I177*(1+'Eco Assumption_Goat'!I178)^'Eco Assumption_Goat'!I175</f>
        <v>5339131.0545079997</v>
      </c>
      <c r="H6" s="188">
        <f>'Eco Assumption_Goat'!J11*'Eco Assumption_Goat'!J176*'Eco Assumption_Goat'!J177*(1+'Eco Assumption_Goat'!J178)^'Eco Assumption_Goat'!J175*(1+'Eco Assumption_Goat'!$S151)</f>
        <v>4128515.1226846385</v>
      </c>
      <c r="I6" s="31">
        <f>'Eco Assumption_Goat'!K11*'Eco Assumption_Goat'!K176*'Eco Assumption_Goat'!K177*(1+'Eco Assumption_Goat'!K178)^'Eco Assumption_Goat'!K175</f>
        <v>5446447.58870361</v>
      </c>
      <c r="J6" s="31">
        <f>'Eco Assumption_Goat'!L11*'Eco Assumption_Goat'!L176*'Eco Assumption_Goat'!L177*(1+'Eco Assumption_Goat'!L178)^'Eco Assumption_Goat'!L175</f>
        <v>5500912.0645906478</v>
      </c>
      <c r="K6" s="188">
        <f>'Eco Assumption_Goat'!M11*'Eco Assumption_Goat'!M176*'Eco Assumption_Goat'!M177*(1+'Eco Assumption_Goat'!M178)^'Eco Assumption_Goat'!M175*(1+'Eco Assumption_Goat'!$S151)</f>
        <v>4253613.2594171064</v>
      </c>
      <c r="L6" s="31">
        <f>'Eco Assumption_Goat'!N11*'Eco Assumption_Goat'!N176*'Eco Assumption_Goat'!N177*(1+'Eco Assumption_Goat'!N178)^'Eco Assumption_Goat'!N175</f>
        <v>4910045.3474528054</v>
      </c>
      <c r="M6" s="31">
        <f>'Eco Assumption_Goat'!O11*'Eco Assumption_Goat'!O176*'Eco Assumption_Goat'!O177*(1+'Eco Assumption_Goat'!O178)^'Eco Assumption_Goat'!O175</f>
        <v>3542247.0006623799</v>
      </c>
      <c r="N6" s="188">
        <f>'Eco Assumption_Goat'!P11*'Eco Assumption_Goat'!P176*'Eco Assumption_Goat'!P177*(1+'Eco Assumption_Goat'!P178)^'Eco Assumption_Goat'!P175*(1+'Eco Assumption_Goat'!$S151)</f>
        <v>1643438.2480465136</v>
      </c>
      <c r="O6" s="31">
        <f>'Eco Assumption_Goat'!Q11*'Eco Assumption_Goat'!Q176*'Eco Assumption_Goat'!Q177*(1+'Eco Assumption_Goat'!Q178)^'Eco Assumption_Goat'!Q175</f>
        <v>722689.23307513888</v>
      </c>
      <c r="P6" s="31">
        <f>'Eco Assumption_Goat'!R11*'Eco Assumption_Goat'!R176*'Eco Assumption_Goat'!R177*(1+'Eco Assumption_Goat'!R178)^'Eco Assumption_Goat'!R175</f>
        <v>729916.12540589029</v>
      </c>
    </row>
    <row r="7" spans="1:16" x14ac:dyDescent="0.25">
      <c r="A7" s="10" t="s">
        <v>52</v>
      </c>
      <c r="B7" s="31">
        <f>'Eco Assumption_Goat'!D10*'Eco Assumption_Goat'!D179*'Eco Assumption_Goat'!D185</f>
        <v>0</v>
      </c>
      <c r="C7" s="31">
        <f>'Eco Assumption_Goat'!E10*'Eco Assumption_Goat'!E179*'Eco Assumption_Goat'!E185</f>
        <v>0</v>
      </c>
      <c r="D7" s="31">
        <f>'Eco Assumption_Goat'!F10*'Eco Assumption_Goat'!F179*'Eco Assumption_Goat'!F185</f>
        <v>0</v>
      </c>
      <c r="E7" s="31">
        <f>'Eco Assumption_Goat'!G10*'Eco Assumption_Goat'!G179*'Eco Assumption_Goat'!G185</f>
        <v>0</v>
      </c>
      <c r="F7" s="31">
        <f>'Eco Assumption_Goat'!H10*'Eco Assumption_Goat'!H179*'Eco Assumption_Goat'!H185</f>
        <v>0</v>
      </c>
      <c r="G7" s="31">
        <f>'Eco Assumption_Goat'!I10*'Eco Assumption_Goat'!I179*'Eco Assumption_Goat'!I185</f>
        <v>0</v>
      </c>
      <c r="H7" s="188">
        <f>'Eco Assumption_Goat'!J10*'Eco Assumption_Goat'!J179*'Eco Assumption_Goat'!J185</f>
        <v>0</v>
      </c>
      <c r="I7" s="31">
        <f>'Eco Assumption_Goat'!K10*'Eco Assumption_Goat'!K179*'Eco Assumption_Goat'!K185</f>
        <v>0</v>
      </c>
      <c r="J7" s="31">
        <f>'Eco Assumption_Goat'!L10*'Eco Assumption_Goat'!L179*'Eco Assumption_Goat'!L185</f>
        <v>0</v>
      </c>
      <c r="K7" s="31">
        <f>'Eco Assumption_Goat'!M10*'Eco Assumption_Goat'!M179*'Eco Assumption_Goat'!M185</f>
        <v>0</v>
      </c>
      <c r="L7" s="31">
        <f>'Eco Assumption_Goat'!N10*'Eco Assumption_Goat'!N179*'Eco Assumption_Goat'!N185</f>
        <v>56000</v>
      </c>
      <c r="M7" s="31">
        <f>'Eco Assumption_Goat'!O10*'Eco Assumption_Goat'!O179*'Eco Assumption_Goat'!O185</f>
        <v>112000</v>
      </c>
      <c r="N7" s="188">
        <f>'Eco Assumption_Goat'!P10*'Eco Assumption_Goat'!P179*'Eco Assumption_Goat'!P185*(1+'Eco Assumption_Goat'!$S154)</f>
        <v>99484</v>
      </c>
      <c r="O7" s="31">
        <f>'Eco Assumption_Goat'!Q10*'Eco Assumption_Goat'!Q179*'Eco Assumption_Goat'!Q185</f>
        <v>112000</v>
      </c>
      <c r="P7" s="31">
        <f>'Eco Assumption_Goat'!R10*'Eco Assumption_Goat'!R179*'Eco Assumption_Goat'!R185</f>
        <v>56000</v>
      </c>
    </row>
    <row r="8" spans="1:16" x14ac:dyDescent="0.25">
      <c r="A8" s="10" t="s">
        <v>190</v>
      </c>
      <c r="B8" s="31">
        <f>'Eco Assumption_Goat'!D10*'Eco Assumption_Goat'!D180</f>
        <v>0</v>
      </c>
      <c r="C8" s="31">
        <f>'Eco Assumption_Goat'!E10*'Eco Assumption_Goat'!E180</f>
        <v>0</v>
      </c>
      <c r="D8" s="31">
        <f>'Eco Assumption_Goat'!F10*'Eco Assumption_Goat'!F180</f>
        <v>0</v>
      </c>
      <c r="E8" s="31">
        <f>'Eco Assumption_Goat'!G10*'Eco Assumption_Goat'!G180</f>
        <v>0</v>
      </c>
      <c r="F8" s="31">
        <f>'Eco Assumption_Goat'!H10*'Eco Assumption_Goat'!H180</f>
        <v>0</v>
      </c>
      <c r="G8" s="31">
        <f>'Eco Assumption_Goat'!I10*'Eco Assumption_Goat'!I180</f>
        <v>0</v>
      </c>
      <c r="H8" s="31">
        <f>'Eco Assumption_Goat'!J10*'Eco Assumption_Goat'!J180</f>
        <v>0</v>
      </c>
      <c r="I8" s="31">
        <f>'Eco Assumption_Goat'!K10*'Eco Assumption_Goat'!K180</f>
        <v>0</v>
      </c>
      <c r="J8" s="31">
        <f>'Eco Assumption_Goat'!L10*'Eco Assumption_Goat'!L180</f>
        <v>0</v>
      </c>
      <c r="K8" s="31">
        <f>'Eco Assumption_Goat'!M10*'Eco Assumption_Goat'!M180</f>
        <v>0</v>
      </c>
      <c r="L8" s="31">
        <f>'Eco Assumption_Goat'!N10*'Eco Assumption_Goat'!N180</f>
        <v>412500</v>
      </c>
      <c r="M8" s="31">
        <f>'Eco Assumption_Goat'!O10*'Eco Assumption_Goat'!O180</f>
        <v>825000</v>
      </c>
      <c r="N8" s="31">
        <f>'Eco Assumption_Goat'!P10*'Eco Assumption_Goat'!P180</f>
        <v>825000</v>
      </c>
      <c r="O8" s="31">
        <f>'Eco Assumption_Goat'!Q10*'Eco Assumption_Goat'!Q180</f>
        <v>825000</v>
      </c>
      <c r="P8" s="31">
        <f>'Eco Assumption_Goat'!R10*'Eco Assumption_Goat'!R180</f>
        <v>412500</v>
      </c>
    </row>
    <row r="9" spans="1:16" s="12" customFormat="1" x14ac:dyDescent="0.25">
      <c r="A9" s="23" t="s">
        <v>53</v>
      </c>
      <c r="B9" s="38">
        <f>B6+B7+B8</f>
        <v>0</v>
      </c>
      <c r="C9" s="38">
        <f t="shared" ref="C9:P9" si="0">C6+C7+C8</f>
        <v>0</v>
      </c>
      <c r="D9" s="38">
        <f t="shared" si="0"/>
        <v>1943290.5</v>
      </c>
      <c r="E9" s="38">
        <f t="shared" si="0"/>
        <v>2504435.0647800001</v>
      </c>
      <c r="F9" s="38">
        <f t="shared" si="0"/>
        <v>4625484.8244500002</v>
      </c>
      <c r="G9" s="38">
        <f t="shared" si="0"/>
        <v>5339131.0545079997</v>
      </c>
      <c r="H9" s="38">
        <f t="shared" si="0"/>
        <v>4128515.1226846385</v>
      </c>
      <c r="I9" s="38">
        <f t="shared" si="0"/>
        <v>5446447.58870361</v>
      </c>
      <c r="J9" s="38">
        <f t="shared" si="0"/>
        <v>5500912.0645906478</v>
      </c>
      <c r="K9" s="38">
        <f t="shared" si="0"/>
        <v>4253613.2594171064</v>
      </c>
      <c r="L9" s="38">
        <f t="shared" si="0"/>
        <v>5378545.3474528054</v>
      </c>
      <c r="M9" s="38">
        <f t="shared" si="0"/>
        <v>4479247.0006623799</v>
      </c>
      <c r="N9" s="38">
        <f t="shared" si="0"/>
        <v>2567922.2480465136</v>
      </c>
      <c r="O9" s="38">
        <f t="shared" si="0"/>
        <v>1659689.2330751389</v>
      </c>
      <c r="P9" s="38">
        <f t="shared" si="0"/>
        <v>1198416.1254058904</v>
      </c>
    </row>
    <row r="10" spans="1:16" x14ac:dyDescent="0.25">
      <c r="A10" s="23"/>
      <c r="B10" s="41"/>
      <c r="C10" s="41"/>
      <c r="D10" s="41"/>
      <c r="E10" s="41"/>
      <c r="F10" s="41"/>
      <c r="G10" s="41"/>
      <c r="H10" s="41"/>
      <c r="I10" s="41"/>
      <c r="J10" s="41"/>
      <c r="K10" s="41"/>
    </row>
    <row r="11" spans="1:16" x14ac:dyDescent="0.25">
      <c r="A11" s="23" t="s">
        <v>20</v>
      </c>
    </row>
    <row r="12" spans="1:16" x14ac:dyDescent="0.25">
      <c r="A12" s="9" t="str">
        <f>'Eco Assumption_Goat'!B185</f>
        <v>Slated House Construction</v>
      </c>
      <c r="B12" s="33">
        <f>'Eco Assumption_Goat'!D9*'Eco Assumption_Goat'!D185</f>
        <v>0</v>
      </c>
      <c r="C12" s="33">
        <f>'Eco Assumption_Goat'!E9*'Eco Assumption_Goat'!E185</f>
        <v>280000</v>
      </c>
      <c r="D12" s="33">
        <f>'Eco Assumption_Goat'!F9*'Eco Assumption_Goat'!F185</f>
        <v>560000</v>
      </c>
      <c r="E12" s="33">
        <f>'Eco Assumption_Goat'!G9*'Eco Assumption_Goat'!G185</f>
        <v>560000</v>
      </c>
      <c r="F12" s="33">
        <f>'Eco Assumption_Goat'!H9*'Eco Assumption_Goat'!H185</f>
        <v>560000</v>
      </c>
      <c r="G12" s="33">
        <f>'Eco Assumption_Goat'!I9*'Eco Assumption_Goat'!I185</f>
        <v>280000</v>
      </c>
      <c r="H12" s="33">
        <f>'Eco Assumption_Goat'!J9*'Eco Assumption_Goat'!J185</f>
        <v>0</v>
      </c>
      <c r="I12" s="33">
        <f>'Eco Assumption_Goat'!K9*'Eco Assumption_Goat'!K185</f>
        <v>0</v>
      </c>
      <c r="J12" s="33">
        <f>'Eco Assumption_Goat'!L9*'Eco Assumption_Goat'!L185</f>
        <v>0</v>
      </c>
      <c r="K12" s="33">
        <f>'Eco Assumption_Goat'!M9*'Eco Assumption_Goat'!M185</f>
        <v>0</v>
      </c>
      <c r="L12" s="33">
        <f>'Eco Assumption_Goat'!N9*'Eco Assumption_Goat'!N185</f>
        <v>0</v>
      </c>
      <c r="M12" s="33">
        <f>'Eco Assumption_Goat'!O9*'Eco Assumption_Goat'!O185</f>
        <v>0</v>
      </c>
      <c r="N12" s="33">
        <f>'Eco Assumption_Goat'!P9*'Eco Assumption_Goat'!P185</f>
        <v>0</v>
      </c>
      <c r="O12" s="33">
        <f>'Eco Assumption_Goat'!Q9*'Eco Assumption_Goat'!Q185</f>
        <v>0</v>
      </c>
      <c r="P12" s="33">
        <f>'Eco Assumption_Goat'!R9*'Eco Assumption_Goat'!R185</f>
        <v>0</v>
      </c>
    </row>
    <row r="13" spans="1:16" x14ac:dyDescent="0.25">
      <c r="A13" s="9" t="str">
        <f>'Eco Assumption_Goat'!B186</f>
        <v>Mother Goat Purchase</v>
      </c>
      <c r="B13" s="33">
        <f>'Eco Assumption_Goat'!D9*'Eco Assumption_Goat'!D186</f>
        <v>0</v>
      </c>
      <c r="C13" s="33">
        <f>'Eco Assumption_Goat'!E9*'Eco Assumption_Goat'!E186</f>
        <v>375000</v>
      </c>
      <c r="D13" s="33">
        <f>'Eco Assumption_Goat'!F9*'Eco Assumption_Goat'!F186</f>
        <v>750000</v>
      </c>
      <c r="E13" s="33">
        <f>'Eco Assumption_Goat'!G9*'Eco Assumption_Goat'!G186</f>
        <v>750000</v>
      </c>
      <c r="F13" s="33">
        <f>'Eco Assumption_Goat'!H9*'Eco Assumption_Goat'!H186</f>
        <v>750000</v>
      </c>
      <c r="G13" s="33">
        <f>'Eco Assumption_Goat'!I9*'Eco Assumption_Goat'!I186</f>
        <v>375000</v>
      </c>
      <c r="H13" s="33">
        <f>'Eco Assumption_Goat'!J9*'Eco Assumption_Goat'!J186</f>
        <v>0</v>
      </c>
      <c r="I13" s="33">
        <f>'Eco Assumption_Goat'!K9*'Eco Assumption_Goat'!K186</f>
        <v>0</v>
      </c>
      <c r="J13" s="33">
        <f>'Eco Assumption_Goat'!L9*'Eco Assumption_Goat'!L186</f>
        <v>0</v>
      </c>
      <c r="K13" s="33">
        <f>'Eco Assumption_Goat'!M9*'Eco Assumption_Goat'!M186</f>
        <v>0</v>
      </c>
      <c r="L13" s="33">
        <f>'Eco Assumption_Goat'!N9*'Eco Assumption_Goat'!N186</f>
        <v>0</v>
      </c>
      <c r="M13" s="33">
        <f>'Eco Assumption_Goat'!O9*'Eco Assumption_Goat'!O186</f>
        <v>0</v>
      </c>
      <c r="N13" s="33">
        <f>'Eco Assumption_Goat'!P9*'Eco Assumption_Goat'!P186</f>
        <v>0</v>
      </c>
      <c r="O13" s="33">
        <f>'Eco Assumption_Goat'!Q9*'Eco Assumption_Goat'!Q186</f>
        <v>0</v>
      </c>
      <c r="P13" s="33">
        <f>'Eco Assumption_Goat'!R9*'Eco Assumption_Goat'!R186</f>
        <v>0</v>
      </c>
    </row>
    <row r="14" spans="1:16" x14ac:dyDescent="0.25">
      <c r="A14" s="9" t="str">
        <f>'Eco Assumption_Goat'!B187</f>
        <v>Maintenance Cost</v>
      </c>
      <c r="B14" s="33">
        <f>'Eco Assumption_Goat'!D11*'Eco Assumption_Goat'!D187</f>
        <v>0</v>
      </c>
      <c r="C14" s="33">
        <v>0</v>
      </c>
      <c r="D14" s="33">
        <f>'Eco Assumption_Goat'!F11*'Eco Assumption_Goat'!F187</f>
        <v>90000</v>
      </c>
      <c r="E14" s="189">
        <f>'Eco Assumption_Goat'!G11*'Eco Assumption_Goat'!G187*(1+'Eco Assumption_Goat'!$S161)</f>
        <v>166950.00000000003</v>
      </c>
      <c r="F14" s="33">
        <f>'Eco Assumption_Goat'!H11*'Eco Assumption_Goat'!H187</f>
        <v>210000</v>
      </c>
      <c r="G14" s="33">
        <f>'Eco Assumption_Goat'!I11*'Eco Assumption_Goat'!I187</f>
        <v>240000</v>
      </c>
      <c r="H14" s="189">
        <f>'Eco Assumption_Goat'!J11*'Eco Assumption_Goat'!J187*(1+'Eco Assumption_Goat'!$S161)</f>
        <v>267120.00000000006</v>
      </c>
      <c r="I14" s="33">
        <f>'Eco Assumption_Goat'!K11*'Eco Assumption_Goat'!K187</f>
        <v>240000</v>
      </c>
      <c r="J14" s="33">
        <f>'Eco Assumption_Goat'!L11*'Eco Assumption_Goat'!L187</f>
        <v>240000</v>
      </c>
      <c r="K14" s="189">
        <f>'Eco Assumption_Goat'!M11*'Eco Assumption_Goat'!M187*(1+'Eco Assumption_Goat'!$S161)</f>
        <v>267120.00000000006</v>
      </c>
      <c r="L14" s="33">
        <f>'Eco Assumption_Goat'!N11*'Eco Assumption_Goat'!N187</f>
        <v>210000</v>
      </c>
      <c r="M14" s="33">
        <f>'Eco Assumption_Goat'!O11*'Eco Assumption_Goat'!O187</f>
        <v>150000</v>
      </c>
      <c r="N14" s="189">
        <f>'Eco Assumption_Goat'!P11*'Eco Assumption_Goat'!P187*(1+'Eco Assumption_Goat'!$S161)</f>
        <v>100170.00000000001</v>
      </c>
      <c r="O14" s="33">
        <f>'Eco Assumption_Goat'!Q11*'Eco Assumption_Goat'!Q187</f>
        <v>30000</v>
      </c>
      <c r="P14" s="33">
        <f>'Eco Assumption_Goat'!R11*'Eco Assumption_Goat'!R187</f>
        <v>30000</v>
      </c>
    </row>
    <row r="15" spans="1:16" x14ac:dyDescent="0.25">
      <c r="A15" s="109" t="str">
        <f>'Eco Assumption_Goat'!B188</f>
        <v>Medicine</v>
      </c>
      <c r="B15" s="33">
        <f>'Eco Assumption_Goat'!D11*'Eco Assumption_Goat'!D188</f>
        <v>0</v>
      </c>
      <c r="C15" s="33">
        <f>'Eco Assumption_Goat'!E11*'Eco Assumption_Goat'!E188</f>
        <v>50595.454545454544</v>
      </c>
      <c r="D15" s="33">
        <f>'Eco Assumption_Goat'!F11*'Eco Assumption_Goat'!F188</f>
        <v>151786.36363636365</v>
      </c>
      <c r="E15" s="189">
        <f>'Eco Assumption_Goat'!G11*'Eco Assumption_Goat'!G188*(1+'Eco Assumption_Goat'!$S162)</f>
        <v>285586.04318181821</v>
      </c>
      <c r="F15" s="33">
        <f>'Eco Assumption_Goat'!H11*'Eco Assumption_Goat'!H188</f>
        <v>354168.18181818182</v>
      </c>
      <c r="G15" s="33">
        <f>'Eco Assumption_Goat'!I11*'Eco Assumption_Goat'!I188</f>
        <v>404763.63636363635</v>
      </c>
      <c r="H15" s="189">
        <f>'Eco Assumption_Goat'!J11*'Eco Assumption_Goat'!J188*(1+'Eco Assumption_Goat'!$S162)</f>
        <v>456937.66909090907</v>
      </c>
      <c r="I15" s="33">
        <f>'Eco Assumption_Goat'!K11*'Eco Assumption_Goat'!K188</f>
        <v>404763.63636363635</v>
      </c>
      <c r="J15" s="33">
        <f>'Eco Assumption_Goat'!L11*'Eco Assumption_Goat'!L188</f>
        <v>404763.63636363635</v>
      </c>
      <c r="K15" s="189">
        <f>'Eco Assumption_Goat'!M11*'Eco Assumption_Goat'!M188*(1+'Eco Assumption_Goat'!$S162)</f>
        <v>456937.66909090907</v>
      </c>
      <c r="L15" s="33">
        <f>'Eco Assumption_Goat'!N11*'Eco Assumption_Goat'!N188</f>
        <v>354168.18181818182</v>
      </c>
      <c r="M15" s="33">
        <f>'Eco Assumption_Goat'!O11*'Eco Assumption_Goat'!O188</f>
        <v>252977.27272727274</v>
      </c>
      <c r="N15" s="189">
        <f>'Eco Assumption_Goat'!P11*'Eco Assumption_Goat'!P188*(1+'Eco Assumption_Goat'!$S162)</f>
        <v>171351.62590909092</v>
      </c>
      <c r="O15" s="33">
        <f>'Eco Assumption_Goat'!Q11*'Eco Assumption_Goat'!Q188</f>
        <v>50595.454545454544</v>
      </c>
      <c r="P15" s="33">
        <f>'Eco Assumption_Goat'!R11*'Eco Assumption_Goat'!R188</f>
        <v>50595.454545454544</v>
      </c>
    </row>
    <row r="16" spans="1:16" x14ac:dyDescent="0.25">
      <c r="A16" s="109" t="s">
        <v>12</v>
      </c>
      <c r="B16" s="33">
        <f>'Eco Assumption_Goat'!D11*'Eco Assumption_Goat'!D189*'Eco Assumption_Goat'!D190*(1+'Eco Assumption_Goat'!D191)^'Eco Assumption_Goat'!D184</f>
        <v>0</v>
      </c>
      <c r="C16" s="33">
        <f>'Eco Assumption_Goat'!E11*'Eco Assumption_Goat'!E189*'Eco Assumption_Goat'!E190*(1+'Eco Assumption_Goat'!E191)^'Eco Assumption_Goat'!E184</f>
        <v>335825</v>
      </c>
      <c r="D16" s="33">
        <f>'Eco Assumption_Goat'!F11*'Eco Assumption_Goat'!F189*'Eco Assumption_Goat'!F190*(1+'Eco Assumption_Goat'!F191)^'Eco Assumption_Goat'!F184</f>
        <v>1017549.75</v>
      </c>
      <c r="E16" s="33">
        <f>'Eco Assumption_Goat'!G11*'Eco Assumption_Goat'!G189*'Eco Assumption_Goat'!G190*(1+'Eco Assumption_Goat'!G191)^'Eco Assumption_Goat'!G184</f>
        <v>1712875.4124999999</v>
      </c>
      <c r="F16" s="33">
        <f>'Eco Assumption_Goat'!H11*'Eco Assumption_Goat'!H189*'Eco Assumption_Goat'!H190*(1+'Eco Assumption_Goat'!H191)^'Eco Assumption_Goat'!H184</f>
        <v>2422005.8332750001</v>
      </c>
      <c r="G16" s="33">
        <f>'Eco Assumption_Goat'!I11*'Eco Assumption_Goat'!I189*'Eco Assumption_Goat'!I190*(1+'Eco Assumption_Goat'!I191)^'Eco Assumption_Goat'!I184</f>
        <v>2795686.7332659997</v>
      </c>
      <c r="H16" s="33">
        <f>'Eco Assumption_Goat'!J11*'Eco Assumption_Goat'!J189*'Eco Assumption_Goat'!J190*(1+'Eco Assumption_Goat'!J191)^'Eco Assumption_Goat'!J184</f>
        <v>2823643.6005986603</v>
      </c>
      <c r="I16" s="33">
        <f>'Eco Assumption_Goat'!K11*'Eco Assumption_Goat'!K189*'Eco Assumption_Goat'!K190*(1+'Eco Assumption_Goat'!K191)^'Eco Assumption_Goat'!K184</f>
        <v>2851880.0366046461</v>
      </c>
      <c r="J16" s="33">
        <f>'Eco Assumption_Goat'!L11*'Eco Assumption_Goat'!L189*'Eco Assumption_Goat'!L190*(1+'Eco Assumption_Goat'!L191)^'Eco Assumption_Goat'!L184</f>
        <v>2880398.8369706934</v>
      </c>
      <c r="K16" s="33">
        <f>'Eco Assumption_Goat'!M11*'Eco Assumption_Goat'!M189*'Eco Assumption_Goat'!M190*(1+'Eco Assumption_Goat'!M191)^'Eco Assumption_Goat'!M184</f>
        <v>2909202.8253404004</v>
      </c>
      <c r="L16" s="33">
        <f>'Eco Assumption_Goat'!N11*'Eco Assumption_Goat'!N189*'Eco Assumption_Goat'!N190*(1+'Eco Assumption_Goat'!N191)^'Eco Assumption_Goat'!N184</f>
        <v>2571007.9968945789</v>
      </c>
      <c r="M16" s="33">
        <f>'Eco Assumption_Goat'!O11*'Eco Assumption_Goat'!O189*'Eco Assumption_Goat'!O190*(1+'Eco Assumption_Goat'!O191)^'Eco Assumption_Goat'!O184</f>
        <v>1854798.6263310888</v>
      </c>
      <c r="N16" s="33">
        <f>'Eco Assumption_Goat'!P11*'Eco Assumption_Goat'!P189*'Eco Assumption_Goat'!P190*(1+'Eco Assumption_Goat'!P191)^'Eco Assumption_Goat'!P184</f>
        <v>1124007.9675566398</v>
      </c>
      <c r="O16" s="33">
        <f>'Eco Assumption_Goat'!Q11*'Eco Assumption_Goat'!Q189*'Eco Assumption_Goat'!Q190*(1+'Eco Assumption_Goat'!Q191)^'Eco Assumption_Goat'!Q184</f>
        <v>378416.01574406878</v>
      </c>
      <c r="P16" s="33">
        <f>'Eco Assumption_Goat'!R11*'Eco Assumption_Goat'!R189*'Eco Assumption_Goat'!R190*(1+'Eco Assumption_Goat'!R191)^'Eco Assumption_Goat'!R184</f>
        <v>382200.17590150947</v>
      </c>
    </row>
    <row r="17" spans="1:17" s="50" customFormat="1" x14ac:dyDescent="0.25">
      <c r="A17" s="52" t="s">
        <v>131</v>
      </c>
      <c r="B17" s="49">
        <f>'Eco Assumption_Goat'!D36</f>
        <v>0</v>
      </c>
      <c r="C17" s="49">
        <f>'Eco Assumption_Goat'!E36</f>
        <v>0</v>
      </c>
      <c r="D17" s="49">
        <f>'Eco Assumption_Goat'!F36</f>
        <v>969400</v>
      </c>
      <c r="E17" s="49">
        <f>'Eco Assumption_Goat'!G36</f>
        <v>1938800</v>
      </c>
      <c r="F17" s="49">
        <f>'Eco Assumption_Goat'!H36</f>
        <v>1938800</v>
      </c>
      <c r="G17" s="49">
        <f>'Eco Assumption_Goat'!I36</f>
        <v>1938800</v>
      </c>
      <c r="H17" s="49">
        <f>'Eco Assumption_Goat'!J36</f>
        <v>969400</v>
      </c>
      <c r="I17" s="49">
        <f>'Eco Assumption_Goat'!K36</f>
        <v>0</v>
      </c>
      <c r="J17" s="49">
        <f>'Eco Assumption_Goat'!L36</f>
        <v>0</v>
      </c>
      <c r="K17" s="49">
        <f>'Eco Assumption_Goat'!M36</f>
        <v>0</v>
      </c>
      <c r="L17" s="49">
        <f>'Eco Assumption_Goat'!N36</f>
        <v>0</v>
      </c>
      <c r="M17" s="49">
        <f>'Eco Assumption_Goat'!O36</f>
        <v>0</v>
      </c>
      <c r="N17" s="49">
        <f>'Eco Assumption_Goat'!P36</f>
        <v>0</v>
      </c>
      <c r="O17" s="49">
        <f>'Eco Assumption_Goat'!Q36</f>
        <v>0</v>
      </c>
      <c r="P17" s="49">
        <f>'Eco Assumption_Goat'!R36</f>
        <v>0</v>
      </c>
    </row>
    <row r="18" spans="1:17" x14ac:dyDescent="0.25">
      <c r="A18" s="117" t="s">
        <v>54</v>
      </c>
      <c r="B18" s="37">
        <f t="shared" ref="B18:P18" si="1">SUM(B12:B17)</f>
        <v>0</v>
      </c>
      <c r="C18" s="37">
        <f t="shared" si="1"/>
        <v>1041420.4545454546</v>
      </c>
      <c r="D18" s="37">
        <f t="shared" si="1"/>
        <v>3538736.1136363638</v>
      </c>
      <c r="E18" s="37">
        <f t="shared" si="1"/>
        <v>5414211.4556818176</v>
      </c>
      <c r="F18" s="37">
        <f t="shared" si="1"/>
        <v>6234974.0150931822</v>
      </c>
      <c r="G18" s="37">
        <f t="shared" si="1"/>
        <v>6034250.3696296364</v>
      </c>
      <c r="H18" s="37">
        <f t="shared" si="1"/>
        <v>4517101.2696895692</v>
      </c>
      <c r="I18" s="37">
        <f t="shared" si="1"/>
        <v>3496643.6729682824</v>
      </c>
      <c r="J18" s="37">
        <f t="shared" si="1"/>
        <v>3525162.4733343297</v>
      </c>
      <c r="K18" s="37">
        <f t="shared" si="1"/>
        <v>3633260.4944313094</v>
      </c>
      <c r="L18" s="37">
        <f t="shared" si="1"/>
        <v>3135176.178712761</v>
      </c>
      <c r="M18" s="37">
        <f t="shared" si="1"/>
        <v>2257775.8990583615</v>
      </c>
      <c r="N18" s="37">
        <f t="shared" si="1"/>
        <v>1395529.5934657308</v>
      </c>
      <c r="O18" s="37">
        <f t="shared" si="1"/>
        <v>459011.47028952331</v>
      </c>
      <c r="P18" s="37">
        <f t="shared" si="1"/>
        <v>462795.630446964</v>
      </c>
    </row>
    <row r="19" spans="1:17" x14ac:dyDescent="0.25">
      <c r="B19" s="32"/>
      <c r="C19" s="32"/>
      <c r="D19" s="32"/>
      <c r="E19" s="32"/>
      <c r="F19" s="32"/>
      <c r="G19" s="32"/>
      <c r="H19" s="32"/>
      <c r="I19" s="32"/>
      <c r="J19" s="32"/>
      <c r="K19" s="32"/>
      <c r="L19" s="32"/>
    </row>
    <row r="20" spans="1:17" x14ac:dyDescent="0.25">
      <c r="A20" s="23" t="s">
        <v>317</v>
      </c>
      <c r="B20" s="34">
        <f t="shared" ref="B20:P20" si="2">B9-B18</f>
        <v>0</v>
      </c>
      <c r="C20" s="34">
        <f t="shared" si="2"/>
        <v>-1041420.4545454546</v>
      </c>
      <c r="D20" s="34">
        <f t="shared" si="2"/>
        <v>-1595445.6136363638</v>
      </c>
      <c r="E20" s="34">
        <f t="shared" si="2"/>
        <v>-2909776.3909018175</v>
      </c>
      <c r="F20" s="34">
        <f t="shared" si="2"/>
        <v>-1609489.190643182</v>
      </c>
      <c r="G20" s="34">
        <f t="shared" si="2"/>
        <v>-695119.31512163673</v>
      </c>
      <c r="H20" s="34">
        <f t="shared" si="2"/>
        <v>-388586.14700493077</v>
      </c>
      <c r="I20" s="34">
        <f t="shared" si="2"/>
        <v>1949803.9157353276</v>
      </c>
      <c r="J20" s="34">
        <f t="shared" si="2"/>
        <v>1975749.5912563181</v>
      </c>
      <c r="K20" s="34">
        <f t="shared" si="2"/>
        <v>620352.764985797</v>
      </c>
      <c r="L20" s="34">
        <f t="shared" si="2"/>
        <v>2243369.1687400443</v>
      </c>
      <c r="M20" s="34">
        <f t="shared" si="2"/>
        <v>2221471.1016040184</v>
      </c>
      <c r="N20" s="34">
        <f t="shared" si="2"/>
        <v>1172392.6545807829</v>
      </c>
      <c r="O20" s="34">
        <f t="shared" si="2"/>
        <v>1200677.7627856156</v>
      </c>
      <c r="P20" s="34">
        <f t="shared" si="2"/>
        <v>735620.49495892646</v>
      </c>
    </row>
    <row r="21" spans="1:17" x14ac:dyDescent="0.25">
      <c r="B21" s="32"/>
      <c r="C21" s="32"/>
      <c r="D21" s="32"/>
      <c r="E21" s="32"/>
      <c r="F21" s="32"/>
      <c r="G21" s="32"/>
      <c r="H21" s="32"/>
      <c r="I21" s="32"/>
      <c r="J21" s="32"/>
      <c r="K21" s="32"/>
      <c r="L21" s="32"/>
    </row>
    <row r="22" spans="1:17" s="12" customFormat="1" x14ac:dyDescent="0.25">
      <c r="A22" s="10" t="s">
        <v>319</v>
      </c>
      <c r="B22" s="39">
        <f>B9/(1+'Eco Assumption_Goat'!$C69)^B4</f>
        <v>0</v>
      </c>
      <c r="C22" s="39">
        <f>C9/(1+'Eco Assumption_Goat'!$C69)^C4</f>
        <v>0</v>
      </c>
      <c r="D22" s="39">
        <f>D9/(1+'Eco Assumption_Goat'!$C69)^D4</f>
        <v>1729521.6269134921</v>
      </c>
      <c r="E22" s="39">
        <f>E9/(1+'Eco Assumption_Goat'!$C69)^E4</f>
        <v>2102771.9734915397</v>
      </c>
      <c r="F22" s="39">
        <f>F9/(1+'Eco Assumption_Goat'!$C69)^F4</f>
        <v>3663817.2188504725</v>
      </c>
      <c r="G22" s="39">
        <f>G9/(1+'Eco Assumption_Goat'!$C69)^G4</f>
        <v>3989709.3164840713</v>
      </c>
      <c r="H22" s="39">
        <f>H9/(1+'Eco Assumption_Goat'!$C69)^H4</f>
        <v>2910440.2521011392</v>
      </c>
      <c r="I22" s="39">
        <f>I9/(1+'Eco Assumption_Goat'!$C69)^I4</f>
        <v>3622198.7128385548</v>
      </c>
      <c r="J22" s="39">
        <f>J9/(1+'Eco Assumption_Goat'!$C69)^J4</f>
        <v>3451340.2829876812</v>
      </c>
      <c r="K22" s="39">
        <f>K9/(1+'Eco Assumption_Goat'!$C69)^K4</f>
        <v>2517707.1526999269</v>
      </c>
      <c r="L22" s="39">
        <f>L9/(1+'Eco Assumption_Goat'!$C69)^L4</f>
        <v>3003351.6294187545</v>
      </c>
      <c r="M22" s="39">
        <f>M9/(1+'Eco Assumption_Goat'!$C69)^M4</f>
        <v>2359611.4430967737</v>
      </c>
      <c r="N22" s="39">
        <f>N9/(1+'Eco Assumption_Goat'!$C69)^N4</f>
        <v>1276178.6853268964</v>
      </c>
      <c r="O22" s="39">
        <f>O9/(1+'Eco Assumption_Goat'!$C69)^O4</f>
        <v>778127.07726127526</v>
      </c>
      <c r="P22" s="39">
        <f>P9/(1+'Eco Assumption_Goat'!$C69)^P4</f>
        <v>530060.60799517634</v>
      </c>
      <c r="Q22" s="343">
        <f>SUM(B22:P22)</f>
        <v>31934835.979465753</v>
      </c>
    </row>
    <row r="23" spans="1:17" s="12" customFormat="1" x14ac:dyDescent="0.25">
      <c r="A23" s="10" t="s">
        <v>320</v>
      </c>
      <c r="B23" s="39">
        <f>B18/(1+'Eco Assumption_Goat'!$C69)^'Eco RCP 4.5_Goat'!B4</f>
        <v>0</v>
      </c>
      <c r="C23" s="39">
        <f>C18/(1+'Eco Assumption_Goat'!$C69)^'Eco RCP 4.5_Goat'!C4</f>
        <v>982472.12692967406</v>
      </c>
      <c r="D23" s="39">
        <f>D18/(1+'Eco Assumption_Goat'!$C69)^'Eco RCP 4.5_Goat'!D4</f>
        <v>3149462.5432861904</v>
      </c>
      <c r="E23" s="39">
        <f>E18/(1+'Eco Assumption_Goat'!$C69)^'Eco RCP 4.5_Goat'!E4</f>
        <v>4545876.3406048417</v>
      </c>
      <c r="F23" s="39">
        <f>F18/(1+'Eco Assumption_Goat'!$C69)^'Eco RCP 4.5_Goat'!F4</f>
        <v>4938683.4078090265</v>
      </c>
      <c r="G23" s="39">
        <f>G18/(1+'Eco Assumption_Goat'!$C69)^'Eco RCP 4.5_Goat'!G4</f>
        <v>4509142.9058257705</v>
      </c>
      <c r="H23" s="39">
        <f>H18/(1+'Eco Assumption_Goat'!$C69)^'Eco RCP 4.5_Goat'!H4</f>
        <v>3184378.1523011066</v>
      </c>
      <c r="I23" s="39">
        <f>I18/(1+'Eco Assumption_Goat'!$C69)^'Eco RCP 4.5_Goat'!I4</f>
        <v>2325467.7485100892</v>
      </c>
      <c r="J23" s="39">
        <f>J18/(1+'Eco Assumption_Goat'!$C69)^'Eco RCP 4.5_Goat'!J4</f>
        <v>2211730.54675991</v>
      </c>
      <c r="K23" s="39">
        <f>K18/(1+'Eco Assumption_Goat'!$C69)^'Eco RCP 4.5_Goat'!K4</f>
        <v>2150521.3042582311</v>
      </c>
      <c r="L23" s="39">
        <f>L18/(1+'Eco Assumption_Goat'!$C69)^'Eco RCP 4.5_Goat'!L4</f>
        <v>1750666.0029019038</v>
      </c>
      <c r="M23" s="39">
        <f>M18/(1+'Eco Assumption_Goat'!$C69)^'Eco RCP 4.5_Goat'!M4</f>
        <v>1189368.1787537956</v>
      </c>
      <c r="N23" s="39">
        <f>N18/(1+'Eco Assumption_Goat'!$C69)^'Eco RCP 4.5_Goat'!N4</f>
        <v>693535.45391753444</v>
      </c>
      <c r="O23" s="39">
        <f>O18/(1+'Eco Assumption_Goat'!$C69)^'Eco RCP 4.5_Goat'!O4</f>
        <v>215202.48892861098</v>
      </c>
      <c r="P23" s="39">
        <f>P18/(1+'Eco Assumption_Goat'!$C69)^'Eco RCP 4.5_Goat'!P4</f>
        <v>204694.9536573909</v>
      </c>
      <c r="Q23" s="343">
        <f>SUM(B23:P23)</f>
        <v>32051202.15444408</v>
      </c>
    </row>
    <row r="24" spans="1:17" x14ac:dyDescent="0.25">
      <c r="B24" s="32"/>
      <c r="C24" s="32"/>
      <c r="D24" s="32"/>
      <c r="E24" s="32"/>
      <c r="F24" s="32"/>
      <c r="G24" s="32"/>
      <c r="H24" s="32"/>
      <c r="I24" s="32"/>
      <c r="J24" s="32"/>
      <c r="K24" s="32"/>
      <c r="L24" s="32"/>
    </row>
    <row r="25" spans="1:17" s="12" customFormat="1" x14ac:dyDescent="0.25">
      <c r="A25" s="25" t="s">
        <v>318</v>
      </c>
      <c r="B25" s="35">
        <f>NPV('Eco Assumption_Goat'!C69,C20:P20)+B20</f>
        <v>-116366.17497832185</v>
      </c>
      <c r="C25" s="40"/>
      <c r="D25" s="40"/>
      <c r="E25" s="40"/>
      <c r="F25" s="40"/>
      <c r="G25" s="40"/>
      <c r="H25" s="40"/>
      <c r="I25" s="40"/>
      <c r="J25" s="40"/>
      <c r="K25" s="40"/>
      <c r="L25" s="40"/>
    </row>
    <row r="27" spans="1:17" s="12" customFormat="1" x14ac:dyDescent="0.25">
      <c r="A27" s="25" t="s">
        <v>238</v>
      </c>
      <c r="B27" s="36">
        <f>IRR(B20:P20)</f>
        <v>5.7369687717638396E-2</v>
      </c>
      <c r="C27" s="4"/>
      <c r="D27" s="4"/>
      <c r="E27" s="4"/>
      <c r="F27" s="4"/>
      <c r="G27" s="4"/>
      <c r="H27" s="4"/>
      <c r="I27" s="4"/>
      <c r="J27" s="4"/>
      <c r="K27" s="4"/>
      <c r="L27" s="4"/>
    </row>
    <row r="30" spans="1:17" s="1" customFormat="1" x14ac:dyDescent="0.25">
      <c r="A30" s="24"/>
      <c r="B30" s="42"/>
      <c r="C30" s="42"/>
      <c r="D30" s="42"/>
      <c r="E30" s="42"/>
      <c r="F30" s="42"/>
      <c r="G30" s="42"/>
      <c r="H30" s="42"/>
      <c r="I30" s="42"/>
      <c r="J30" s="42"/>
      <c r="K30" s="42"/>
      <c r="L30" s="42"/>
    </row>
    <row r="32" spans="1:17" ht="38.25" customHeight="1" x14ac:dyDescent="0.25">
      <c r="A32" s="11" t="str">
        <f>A2</f>
        <v>Aggregate Economic Analysis_Goat Rearing</v>
      </c>
      <c r="B32" s="30"/>
      <c r="C32" s="69"/>
      <c r="D32" s="70"/>
      <c r="E32" s="30"/>
      <c r="F32" s="116" t="s">
        <v>90</v>
      </c>
      <c r="G32" s="30"/>
      <c r="H32" s="30"/>
      <c r="I32" s="30"/>
      <c r="J32" s="30"/>
      <c r="K32" s="30"/>
      <c r="L32" s="30"/>
      <c r="M32" s="11"/>
    </row>
    <row r="33" spans="1:16" ht="38.25" customHeight="1" x14ac:dyDescent="0.25">
      <c r="A33" s="11"/>
      <c r="B33" s="30"/>
      <c r="C33" s="69"/>
      <c r="D33" s="70"/>
      <c r="E33" s="30"/>
      <c r="F33" s="116"/>
      <c r="G33" s="30"/>
      <c r="H33" s="30"/>
      <c r="I33" s="30"/>
      <c r="J33" s="30"/>
      <c r="K33" s="30"/>
      <c r="L33" s="30"/>
      <c r="M33" s="11"/>
    </row>
    <row r="34" spans="1:16" x14ac:dyDescent="0.25">
      <c r="A34" s="10" t="s">
        <v>19</v>
      </c>
      <c r="B34" s="26">
        <v>0</v>
      </c>
      <c r="C34" s="26">
        <v>1</v>
      </c>
      <c r="D34" s="26">
        <v>2</v>
      </c>
      <c r="E34" s="26">
        <v>3</v>
      </c>
      <c r="F34" s="26">
        <v>4</v>
      </c>
      <c r="G34" s="26">
        <v>5</v>
      </c>
      <c r="H34" s="26">
        <v>6</v>
      </c>
      <c r="I34" s="26">
        <v>7</v>
      </c>
      <c r="J34" s="26">
        <v>8</v>
      </c>
      <c r="K34" s="26">
        <v>9</v>
      </c>
      <c r="L34" s="26">
        <v>10</v>
      </c>
      <c r="M34" s="26">
        <v>11</v>
      </c>
      <c r="N34" s="26">
        <v>12</v>
      </c>
      <c r="O34" s="26">
        <v>13</v>
      </c>
      <c r="P34" s="26">
        <v>14</v>
      </c>
    </row>
    <row r="35" spans="1:16" x14ac:dyDescent="0.25">
      <c r="A35" s="23" t="s">
        <v>3</v>
      </c>
    </row>
    <row r="36" spans="1:16" x14ac:dyDescent="0.25">
      <c r="A36" s="10" t="str">
        <f t="shared" ref="A36:P36" si="3">A6</f>
        <v>Goat Sale ($)</v>
      </c>
      <c r="B36" s="31">
        <f t="shared" si="3"/>
        <v>0</v>
      </c>
      <c r="C36" s="31">
        <f t="shared" si="3"/>
        <v>0</v>
      </c>
      <c r="D36" s="31">
        <f t="shared" si="3"/>
        <v>1943290.5</v>
      </c>
      <c r="E36" s="31">
        <f t="shared" si="3"/>
        <v>2504435.0647800001</v>
      </c>
      <c r="F36" s="31">
        <f t="shared" si="3"/>
        <v>4625484.8244500002</v>
      </c>
      <c r="G36" s="31">
        <f t="shared" si="3"/>
        <v>5339131.0545079997</v>
      </c>
      <c r="H36" s="31">
        <f t="shared" si="3"/>
        <v>4128515.1226846385</v>
      </c>
      <c r="I36" s="31">
        <f t="shared" si="3"/>
        <v>5446447.58870361</v>
      </c>
      <c r="J36" s="31">
        <f t="shared" si="3"/>
        <v>5500912.0645906478</v>
      </c>
      <c r="K36" s="31">
        <f t="shared" si="3"/>
        <v>4253613.2594171064</v>
      </c>
      <c r="L36" s="31">
        <f t="shared" si="3"/>
        <v>4910045.3474528054</v>
      </c>
      <c r="M36" s="31">
        <f t="shared" si="3"/>
        <v>3542247.0006623799</v>
      </c>
      <c r="N36" s="31">
        <f t="shared" si="3"/>
        <v>1643438.2480465136</v>
      </c>
      <c r="O36" s="31">
        <f t="shared" si="3"/>
        <v>722689.23307513888</v>
      </c>
      <c r="P36" s="31">
        <f t="shared" si="3"/>
        <v>729916.12540589029</v>
      </c>
    </row>
    <row r="37" spans="1:16" x14ac:dyDescent="0.25">
      <c r="A37" s="10" t="str">
        <f t="shared" ref="A37:P37" si="4">A7</f>
        <v>Residual ($)</v>
      </c>
      <c r="B37" s="31">
        <f t="shared" si="4"/>
        <v>0</v>
      </c>
      <c r="C37" s="31">
        <f t="shared" si="4"/>
        <v>0</v>
      </c>
      <c r="D37" s="31">
        <f t="shared" si="4"/>
        <v>0</v>
      </c>
      <c r="E37" s="31">
        <f t="shared" si="4"/>
        <v>0</v>
      </c>
      <c r="F37" s="31">
        <f t="shared" si="4"/>
        <v>0</v>
      </c>
      <c r="G37" s="31">
        <f t="shared" si="4"/>
        <v>0</v>
      </c>
      <c r="H37" s="31">
        <f t="shared" si="4"/>
        <v>0</v>
      </c>
      <c r="I37" s="31">
        <f t="shared" si="4"/>
        <v>0</v>
      </c>
      <c r="J37" s="31">
        <f t="shared" si="4"/>
        <v>0</v>
      </c>
      <c r="K37" s="31">
        <f t="shared" si="4"/>
        <v>0</v>
      </c>
      <c r="L37" s="31">
        <f t="shared" si="4"/>
        <v>56000</v>
      </c>
      <c r="M37" s="31">
        <f t="shared" si="4"/>
        <v>112000</v>
      </c>
      <c r="N37" s="31">
        <f t="shared" si="4"/>
        <v>99484</v>
      </c>
      <c r="O37" s="31">
        <f t="shared" si="4"/>
        <v>112000</v>
      </c>
      <c r="P37" s="31">
        <f t="shared" si="4"/>
        <v>56000</v>
      </c>
    </row>
    <row r="38" spans="1:16" x14ac:dyDescent="0.25">
      <c r="A38" s="10" t="str">
        <f t="shared" ref="A38:P38" si="5">A8</f>
        <v>Mother Goat Sale ($)</v>
      </c>
      <c r="B38" s="31">
        <f t="shared" si="5"/>
        <v>0</v>
      </c>
      <c r="C38" s="31">
        <f t="shared" si="5"/>
        <v>0</v>
      </c>
      <c r="D38" s="31">
        <f t="shared" si="5"/>
        <v>0</v>
      </c>
      <c r="E38" s="31">
        <f t="shared" si="5"/>
        <v>0</v>
      </c>
      <c r="F38" s="31">
        <f t="shared" si="5"/>
        <v>0</v>
      </c>
      <c r="G38" s="31">
        <f t="shared" si="5"/>
        <v>0</v>
      </c>
      <c r="H38" s="31">
        <f t="shared" si="5"/>
        <v>0</v>
      </c>
      <c r="I38" s="31">
        <f t="shared" si="5"/>
        <v>0</v>
      </c>
      <c r="J38" s="31">
        <f t="shared" si="5"/>
        <v>0</v>
      </c>
      <c r="K38" s="31">
        <f t="shared" si="5"/>
        <v>0</v>
      </c>
      <c r="L38" s="31">
        <f t="shared" si="5"/>
        <v>412500</v>
      </c>
      <c r="M38" s="31">
        <f t="shared" si="5"/>
        <v>825000</v>
      </c>
      <c r="N38" s="31">
        <f t="shared" si="5"/>
        <v>825000</v>
      </c>
      <c r="O38" s="31">
        <f t="shared" si="5"/>
        <v>825000</v>
      </c>
      <c r="P38" s="31">
        <f t="shared" si="5"/>
        <v>412500</v>
      </c>
    </row>
    <row r="39" spans="1:16" s="377" customFormat="1" ht="30" x14ac:dyDescent="0.25">
      <c r="A39" s="376" t="str">
        <f>'Eco BaU_Goat'!A39</f>
        <v>Consumption of Goat Milk by Familty memebers</v>
      </c>
      <c r="B39" s="136">
        <f>'Eco BaU_Goat'!B39</f>
        <v>0</v>
      </c>
      <c r="C39" s="136">
        <f>'Eco BaU_Goat'!C39</f>
        <v>9000</v>
      </c>
      <c r="D39" s="136">
        <f>'Eco BaU_Goat'!D39</f>
        <v>27000</v>
      </c>
      <c r="E39" s="136">
        <f>'Eco BaU_Goat'!E39</f>
        <v>45000</v>
      </c>
      <c r="F39" s="136">
        <f>'Eco BaU_Goat'!F39</f>
        <v>63000</v>
      </c>
      <c r="G39" s="136">
        <f>'Eco BaU_Goat'!G39</f>
        <v>72000</v>
      </c>
      <c r="H39" s="136">
        <f>'Eco BaU_Goat'!H39</f>
        <v>72000</v>
      </c>
      <c r="I39" s="136">
        <f>'Eco BaU_Goat'!I39</f>
        <v>72000</v>
      </c>
      <c r="J39" s="136">
        <f>'Eco BaU_Goat'!J39</f>
        <v>72000</v>
      </c>
      <c r="K39" s="136">
        <f>'Eco BaU_Goat'!K39</f>
        <v>72000</v>
      </c>
      <c r="L39" s="136">
        <f>'Eco BaU_Goat'!L39</f>
        <v>63000</v>
      </c>
      <c r="M39" s="136">
        <f>'Eco BaU_Goat'!M39</f>
        <v>45000</v>
      </c>
      <c r="N39" s="136">
        <f>'Eco BaU_Goat'!N39</f>
        <v>27000</v>
      </c>
      <c r="O39" s="136">
        <f>'Eco BaU_Goat'!O39</f>
        <v>9000</v>
      </c>
      <c r="P39" s="136">
        <f>'Eco BaU_Goat'!P39</f>
        <v>9000</v>
      </c>
    </row>
    <row r="40" spans="1:16" s="377" customFormat="1" x14ac:dyDescent="0.25">
      <c r="A40" s="376" t="str">
        <f>'Eco BaU_Goat'!A40</f>
        <v>Social benefit from export of goat leather</v>
      </c>
      <c r="B40" s="136">
        <f>'Eco BaU_Goat'!B40</f>
        <v>0</v>
      </c>
      <c r="C40" s="136">
        <f>'Eco BaU_Goat'!C40</f>
        <v>75000</v>
      </c>
      <c r="D40" s="136">
        <f>'Eco BaU_Goat'!D40</f>
        <v>225000</v>
      </c>
      <c r="E40" s="136">
        <f>'Eco BaU_Goat'!E40</f>
        <v>375000</v>
      </c>
      <c r="F40" s="136">
        <f>'Eco BaU_Goat'!F40</f>
        <v>525000</v>
      </c>
      <c r="G40" s="136">
        <f>'Eco BaU_Goat'!G40</f>
        <v>600000</v>
      </c>
      <c r="H40" s="136">
        <f>'Eco BaU_Goat'!H40</f>
        <v>600000</v>
      </c>
      <c r="I40" s="136">
        <f>'Eco BaU_Goat'!I40</f>
        <v>600000</v>
      </c>
      <c r="J40" s="136">
        <f>'Eco BaU_Goat'!J40</f>
        <v>600000</v>
      </c>
      <c r="K40" s="136">
        <f>'Eco BaU_Goat'!K40</f>
        <v>600000</v>
      </c>
      <c r="L40" s="136">
        <f>'Eco BaU_Goat'!L40</f>
        <v>525000</v>
      </c>
      <c r="M40" s="136">
        <f>'Eco BaU_Goat'!M40</f>
        <v>375000</v>
      </c>
      <c r="N40" s="136">
        <f>'Eco BaU_Goat'!N40</f>
        <v>225000</v>
      </c>
      <c r="O40" s="136">
        <f>'Eco BaU_Goat'!O40</f>
        <v>75000</v>
      </c>
      <c r="P40" s="136">
        <f>'Eco BaU_Goat'!P40</f>
        <v>75000</v>
      </c>
    </row>
    <row r="41" spans="1:16" s="12" customFormat="1" x14ac:dyDescent="0.25">
      <c r="A41" s="23" t="s">
        <v>53</v>
      </c>
      <c r="B41" s="38">
        <f>B36+B37+B38+B39+B40</f>
        <v>0</v>
      </c>
      <c r="C41" s="38">
        <f t="shared" ref="C41:P41" si="6">C36+C37+C38+C39+C40</f>
        <v>84000</v>
      </c>
      <c r="D41" s="38">
        <f t="shared" si="6"/>
        <v>2195290.5</v>
      </c>
      <c r="E41" s="38">
        <f t="shared" si="6"/>
        <v>2924435.0647800001</v>
      </c>
      <c r="F41" s="38">
        <f t="shared" si="6"/>
        <v>5213484.8244500002</v>
      </c>
      <c r="G41" s="38">
        <f t="shared" si="6"/>
        <v>6011131.0545079997</v>
      </c>
      <c r="H41" s="38">
        <f t="shared" si="6"/>
        <v>4800515.1226846389</v>
      </c>
      <c r="I41" s="38">
        <f t="shared" si="6"/>
        <v>6118447.58870361</v>
      </c>
      <c r="J41" s="38">
        <f t="shared" si="6"/>
        <v>6172912.0645906478</v>
      </c>
      <c r="K41" s="38">
        <f t="shared" si="6"/>
        <v>4925613.2594171064</v>
      </c>
      <c r="L41" s="38">
        <f t="shared" si="6"/>
        <v>5966545.3474528054</v>
      </c>
      <c r="M41" s="38">
        <f t="shared" si="6"/>
        <v>4899247.0006623799</v>
      </c>
      <c r="N41" s="38">
        <f t="shared" si="6"/>
        <v>2819922.2480465136</v>
      </c>
      <c r="O41" s="38">
        <f t="shared" si="6"/>
        <v>1743689.2330751389</v>
      </c>
      <c r="P41" s="38">
        <f t="shared" si="6"/>
        <v>1282416.1254058904</v>
      </c>
    </row>
    <row r="42" spans="1:16" x14ac:dyDescent="0.25">
      <c r="A42" s="23"/>
      <c r="B42" s="41"/>
      <c r="C42" s="41"/>
      <c r="D42" s="41"/>
      <c r="E42" s="41"/>
      <c r="F42" s="41"/>
      <c r="G42" s="41"/>
      <c r="H42" s="41"/>
      <c r="I42" s="41"/>
      <c r="J42" s="41"/>
      <c r="K42" s="41"/>
    </row>
    <row r="43" spans="1:16" x14ac:dyDescent="0.25">
      <c r="A43" s="23" t="s">
        <v>20</v>
      </c>
    </row>
    <row r="44" spans="1:16" x14ac:dyDescent="0.25">
      <c r="A44" s="9" t="str">
        <f t="shared" ref="A44:P44" si="7">A12</f>
        <v>Slated House Construction</v>
      </c>
      <c r="B44" s="33">
        <f t="shared" si="7"/>
        <v>0</v>
      </c>
      <c r="C44" s="33">
        <f t="shared" si="7"/>
        <v>280000</v>
      </c>
      <c r="D44" s="33">
        <f t="shared" si="7"/>
        <v>560000</v>
      </c>
      <c r="E44" s="33">
        <f t="shared" si="7"/>
        <v>560000</v>
      </c>
      <c r="F44" s="33">
        <f t="shared" si="7"/>
        <v>560000</v>
      </c>
      <c r="G44" s="33">
        <f t="shared" si="7"/>
        <v>280000</v>
      </c>
      <c r="H44" s="33">
        <f t="shared" si="7"/>
        <v>0</v>
      </c>
      <c r="I44" s="33">
        <f t="shared" si="7"/>
        <v>0</v>
      </c>
      <c r="J44" s="33">
        <f t="shared" si="7"/>
        <v>0</v>
      </c>
      <c r="K44" s="33">
        <f t="shared" si="7"/>
        <v>0</v>
      </c>
      <c r="L44" s="33">
        <f t="shared" si="7"/>
        <v>0</v>
      </c>
      <c r="M44" s="33">
        <f t="shared" si="7"/>
        <v>0</v>
      </c>
      <c r="N44" s="33">
        <f t="shared" si="7"/>
        <v>0</v>
      </c>
      <c r="O44" s="33">
        <f t="shared" si="7"/>
        <v>0</v>
      </c>
      <c r="P44" s="33">
        <f t="shared" si="7"/>
        <v>0</v>
      </c>
    </row>
    <row r="45" spans="1:16" x14ac:dyDescent="0.25">
      <c r="A45" s="9" t="str">
        <f t="shared" ref="A45:P45" si="8">A13</f>
        <v>Mother Goat Purchase</v>
      </c>
      <c r="B45" s="33">
        <f t="shared" si="8"/>
        <v>0</v>
      </c>
      <c r="C45" s="33">
        <f t="shared" si="8"/>
        <v>375000</v>
      </c>
      <c r="D45" s="33">
        <f t="shared" si="8"/>
        <v>750000</v>
      </c>
      <c r="E45" s="33">
        <f t="shared" si="8"/>
        <v>750000</v>
      </c>
      <c r="F45" s="33">
        <f t="shared" si="8"/>
        <v>750000</v>
      </c>
      <c r="G45" s="33">
        <f t="shared" si="8"/>
        <v>375000</v>
      </c>
      <c r="H45" s="33">
        <f t="shared" si="8"/>
        <v>0</v>
      </c>
      <c r="I45" s="33">
        <f t="shared" si="8"/>
        <v>0</v>
      </c>
      <c r="J45" s="33">
        <f t="shared" si="8"/>
        <v>0</v>
      </c>
      <c r="K45" s="33">
        <f t="shared" si="8"/>
        <v>0</v>
      </c>
      <c r="L45" s="33">
        <f t="shared" si="8"/>
        <v>0</v>
      </c>
      <c r="M45" s="33">
        <f t="shared" si="8"/>
        <v>0</v>
      </c>
      <c r="N45" s="33">
        <f t="shared" si="8"/>
        <v>0</v>
      </c>
      <c r="O45" s="33">
        <f t="shared" si="8"/>
        <v>0</v>
      </c>
      <c r="P45" s="33">
        <f t="shared" si="8"/>
        <v>0</v>
      </c>
    </row>
    <row r="46" spans="1:16" x14ac:dyDescent="0.25">
      <c r="A46" s="9" t="str">
        <f t="shared" ref="A46:P46" si="9">A14</f>
        <v>Maintenance Cost</v>
      </c>
      <c r="B46" s="33">
        <f t="shared" si="9"/>
        <v>0</v>
      </c>
      <c r="C46" s="33">
        <f t="shared" si="9"/>
        <v>0</v>
      </c>
      <c r="D46" s="33">
        <f t="shared" si="9"/>
        <v>90000</v>
      </c>
      <c r="E46" s="33">
        <f t="shared" si="9"/>
        <v>166950.00000000003</v>
      </c>
      <c r="F46" s="33">
        <f t="shared" si="9"/>
        <v>210000</v>
      </c>
      <c r="G46" s="33">
        <f t="shared" si="9"/>
        <v>240000</v>
      </c>
      <c r="H46" s="33">
        <f t="shared" si="9"/>
        <v>267120.00000000006</v>
      </c>
      <c r="I46" s="33">
        <f t="shared" si="9"/>
        <v>240000</v>
      </c>
      <c r="J46" s="33">
        <f t="shared" si="9"/>
        <v>240000</v>
      </c>
      <c r="K46" s="33">
        <f t="shared" si="9"/>
        <v>267120.00000000006</v>
      </c>
      <c r="L46" s="33">
        <f t="shared" si="9"/>
        <v>210000</v>
      </c>
      <c r="M46" s="33">
        <f t="shared" si="9"/>
        <v>150000</v>
      </c>
      <c r="N46" s="33">
        <f t="shared" si="9"/>
        <v>100170.00000000001</v>
      </c>
      <c r="O46" s="33">
        <f t="shared" si="9"/>
        <v>30000</v>
      </c>
      <c r="P46" s="33">
        <f t="shared" si="9"/>
        <v>30000</v>
      </c>
    </row>
    <row r="47" spans="1:16" x14ac:dyDescent="0.25">
      <c r="A47" s="9" t="str">
        <f t="shared" ref="A47:P47" si="10">A15</f>
        <v>Medicine</v>
      </c>
      <c r="B47" s="33">
        <f t="shared" si="10"/>
        <v>0</v>
      </c>
      <c r="C47" s="33">
        <f t="shared" si="10"/>
        <v>50595.454545454544</v>
      </c>
      <c r="D47" s="33">
        <f t="shared" si="10"/>
        <v>151786.36363636365</v>
      </c>
      <c r="E47" s="33">
        <f t="shared" si="10"/>
        <v>285586.04318181821</v>
      </c>
      <c r="F47" s="33">
        <f t="shared" si="10"/>
        <v>354168.18181818182</v>
      </c>
      <c r="G47" s="33">
        <f t="shared" si="10"/>
        <v>404763.63636363635</v>
      </c>
      <c r="H47" s="33">
        <f t="shared" si="10"/>
        <v>456937.66909090907</v>
      </c>
      <c r="I47" s="33">
        <f t="shared" si="10"/>
        <v>404763.63636363635</v>
      </c>
      <c r="J47" s="33">
        <f t="shared" si="10"/>
        <v>404763.63636363635</v>
      </c>
      <c r="K47" s="33">
        <f t="shared" si="10"/>
        <v>456937.66909090907</v>
      </c>
      <c r="L47" s="33">
        <f t="shared" si="10"/>
        <v>354168.18181818182</v>
      </c>
      <c r="M47" s="33">
        <f t="shared" si="10"/>
        <v>252977.27272727274</v>
      </c>
      <c r="N47" s="33">
        <f t="shared" si="10"/>
        <v>171351.62590909092</v>
      </c>
      <c r="O47" s="33">
        <f t="shared" si="10"/>
        <v>50595.454545454544</v>
      </c>
      <c r="P47" s="33">
        <f t="shared" si="10"/>
        <v>50595.454545454544</v>
      </c>
    </row>
    <row r="48" spans="1:16" x14ac:dyDescent="0.25">
      <c r="A48" s="9" t="str">
        <f t="shared" ref="A48:P48" si="11">A16</f>
        <v>Labor</v>
      </c>
      <c r="B48" s="33">
        <f t="shared" si="11"/>
        <v>0</v>
      </c>
      <c r="C48" s="33">
        <f t="shared" si="11"/>
        <v>335825</v>
      </c>
      <c r="D48" s="33">
        <f t="shared" si="11"/>
        <v>1017549.75</v>
      </c>
      <c r="E48" s="33">
        <f t="shared" si="11"/>
        <v>1712875.4124999999</v>
      </c>
      <c r="F48" s="33">
        <f t="shared" si="11"/>
        <v>2422005.8332750001</v>
      </c>
      <c r="G48" s="33">
        <f t="shared" si="11"/>
        <v>2795686.7332659997</v>
      </c>
      <c r="H48" s="33">
        <f t="shared" si="11"/>
        <v>2823643.6005986603</v>
      </c>
      <c r="I48" s="33">
        <f t="shared" si="11"/>
        <v>2851880.0366046461</v>
      </c>
      <c r="J48" s="33">
        <f t="shared" si="11"/>
        <v>2880398.8369706934</v>
      </c>
      <c r="K48" s="33">
        <f t="shared" si="11"/>
        <v>2909202.8253404004</v>
      </c>
      <c r="L48" s="33">
        <f t="shared" si="11"/>
        <v>2571007.9968945789</v>
      </c>
      <c r="M48" s="33">
        <f t="shared" si="11"/>
        <v>1854798.6263310888</v>
      </c>
      <c r="N48" s="33">
        <f t="shared" si="11"/>
        <v>1124007.9675566398</v>
      </c>
      <c r="O48" s="33">
        <f t="shared" si="11"/>
        <v>378416.01574406878</v>
      </c>
      <c r="P48" s="33">
        <f t="shared" si="11"/>
        <v>382200.17590150947</v>
      </c>
    </row>
    <row r="49" spans="1:17" s="50" customFormat="1" x14ac:dyDescent="0.25">
      <c r="A49" s="52" t="s">
        <v>131</v>
      </c>
      <c r="B49" s="49">
        <f>'Eco Assumption_Goat'!D46</f>
        <v>0</v>
      </c>
      <c r="C49" s="49">
        <f>'Eco Assumption_Goat'!E46</f>
        <v>0</v>
      </c>
      <c r="D49" s="49">
        <f>'Eco Assumption_Goat'!F46</f>
        <v>555000</v>
      </c>
      <c r="E49" s="49">
        <f>'Eco Assumption_Goat'!G46</f>
        <v>1110000</v>
      </c>
      <c r="F49" s="49">
        <f>'Eco Assumption_Goat'!H46</f>
        <v>1110000</v>
      </c>
      <c r="G49" s="49">
        <f>'Eco Assumption_Goat'!I46</f>
        <v>1110000</v>
      </c>
      <c r="H49" s="49">
        <f>'Eco Assumption_Goat'!J46</f>
        <v>555000</v>
      </c>
      <c r="I49" s="49">
        <f>'Eco Assumption_Goat'!K46</f>
        <v>0</v>
      </c>
      <c r="J49" s="49">
        <f>'Eco Assumption_Goat'!L46</f>
        <v>0</v>
      </c>
      <c r="K49" s="49">
        <f>'Eco Assumption_Goat'!M46</f>
        <v>0</v>
      </c>
      <c r="L49" s="49">
        <f>'Eco Assumption_Goat'!N46</f>
        <v>0</v>
      </c>
      <c r="M49" s="49">
        <f>'Eco Assumption_Goat'!O46</f>
        <v>0</v>
      </c>
      <c r="N49" s="49">
        <f>'Eco Assumption_Goat'!P46</f>
        <v>0</v>
      </c>
      <c r="O49" s="49">
        <f>'Eco Assumption_Goat'!Q46</f>
        <v>0</v>
      </c>
      <c r="P49" s="49">
        <f>'Eco Assumption_Goat'!R46</f>
        <v>0</v>
      </c>
    </row>
    <row r="50" spans="1:17" s="377" customFormat="1" ht="30" x14ac:dyDescent="0.25">
      <c r="A50" s="121" t="str">
        <f>'Eco BaU_Goat'!A50</f>
        <v>Opportunity cost of labor by women households</v>
      </c>
      <c r="B50" s="137">
        <f>'Eco BaU_Goat'!B50</f>
        <v>0</v>
      </c>
      <c r="C50" s="137">
        <f>'Eco BaU_Goat'!C50</f>
        <v>43750</v>
      </c>
      <c r="D50" s="137">
        <f>'Eco BaU_Goat'!D50</f>
        <v>131250</v>
      </c>
      <c r="E50" s="137">
        <f>'Eco BaU_Goat'!E50</f>
        <v>218750</v>
      </c>
      <c r="F50" s="137">
        <f>'Eco BaU_Goat'!F50</f>
        <v>306250</v>
      </c>
      <c r="G50" s="137">
        <f>'Eco BaU_Goat'!G50</f>
        <v>350000</v>
      </c>
      <c r="H50" s="137">
        <f>'Eco BaU_Goat'!H50</f>
        <v>350000</v>
      </c>
      <c r="I50" s="137">
        <f>'Eco BaU_Goat'!I50</f>
        <v>350000</v>
      </c>
      <c r="J50" s="137">
        <f>'Eco BaU_Goat'!J50</f>
        <v>350000</v>
      </c>
      <c r="K50" s="137">
        <f>'Eco BaU_Goat'!K50</f>
        <v>350000</v>
      </c>
      <c r="L50" s="137">
        <f>'Eco BaU_Goat'!L50</f>
        <v>306250</v>
      </c>
      <c r="M50" s="137">
        <f>'Eco BaU_Goat'!M50</f>
        <v>218750</v>
      </c>
      <c r="N50" s="137">
        <f>'Eco BaU_Goat'!N50</f>
        <v>131250</v>
      </c>
      <c r="O50" s="137">
        <f>'Eco BaU_Goat'!O50</f>
        <v>43750</v>
      </c>
      <c r="P50" s="137">
        <f>'Eco BaU_Goat'!P50</f>
        <v>43750</v>
      </c>
    </row>
    <row r="51" spans="1:17" x14ac:dyDescent="0.25">
      <c r="A51" s="117" t="s">
        <v>54</v>
      </c>
      <c r="B51" s="37">
        <f>SUM(B44:B50)</f>
        <v>0</v>
      </c>
      <c r="C51" s="37">
        <f t="shared" ref="C51:P51" si="12">SUM(C44:C50)</f>
        <v>1085170.4545454546</v>
      </c>
      <c r="D51" s="37">
        <f t="shared" si="12"/>
        <v>3255586.1136363638</v>
      </c>
      <c r="E51" s="37">
        <f t="shared" si="12"/>
        <v>4804161.4556818176</v>
      </c>
      <c r="F51" s="37">
        <f t="shared" si="12"/>
        <v>5712424.0150931822</v>
      </c>
      <c r="G51" s="37">
        <f t="shared" si="12"/>
        <v>5555450.3696296364</v>
      </c>
      <c r="H51" s="37">
        <f t="shared" si="12"/>
        <v>4452701.2696895692</v>
      </c>
      <c r="I51" s="37">
        <f t="shared" si="12"/>
        <v>3846643.6729682824</v>
      </c>
      <c r="J51" s="37">
        <f t="shared" si="12"/>
        <v>3875162.4733343297</v>
      </c>
      <c r="K51" s="37">
        <f t="shared" si="12"/>
        <v>3983260.4944313094</v>
      </c>
      <c r="L51" s="37">
        <f t="shared" si="12"/>
        <v>3441426.178712761</v>
      </c>
      <c r="M51" s="37">
        <f t="shared" si="12"/>
        <v>2476525.8990583615</v>
      </c>
      <c r="N51" s="37">
        <f t="shared" si="12"/>
        <v>1526779.5934657308</v>
      </c>
      <c r="O51" s="37">
        <f t="shared" si="12"/>
        <v>502761.47028952331</v>
      </c>
      <c r="P51" s="37">
        <f t="shared" si="12"/>
        <v>506545.630446964</v>
      </c>
    </row>
    <row r="52" spans="1:17" x14ac:dyDescent="0.25">
      <c r="B52" s="32"/>
      <c r="C52" s="32"/>
      <c r="D52" s="32"/>
      <c r="E52" s="32"/>
      <c r="F52" s="32"/>
      <c r="G52" s="32"/>
      <c r="H52" s="32"/>
      <c r="I52" s="32"/>
      <c r="J52" s="32"/>
      <c r="K52" s="32"/>
      <c r="L52" s="32"/>
    </row>
    <row r="53" spans="1:17" x14ac:dyDescent="0.25">
      <c r="A53" s="23" t="str">
        <f>A20</f>
        <v>Net Resource Flow ($)</v>
      </c>
      <c r="B53" s="34">
        <f t="shared" ref="B53:P53" si="13">B41-B51</f>
        <v>0</v>
      </c>
      <c r="C53" s="34">
        <f t="shared" si="13"/>
        <v>-1001170.4545454546</v>
      </c>
      <c r="D53" s="34">
        <f t="shared" si="13"/>
        <v>-1060295.6136363638</v>
      </c>
      <c r="E53" s="34">
        <f t="shared" si="13"/>
        <v>-1879726.3909018175</v>
      </c>
      <c r="F53" s="34">
        <f t="shared" si="13"/>
        <v>-498939.19064318202</v>
      </c>
      <c r="G53" s="34">
        <f t="shared" si="13"/>
        <v>455680.68487836327</v>
      </c>
      <c r="H53" s="34">
        <f t="shared" si="13"/>
        <v>347813.8529950697</v>
      </c>
      <c r="I53" s="34">
        <f t="shared" si="13"/>
        <v>2271803.9157353276</v>
      </c>
      <c r="J53" s="34">
        <f t="shared" si="13"/>
        <v>2297749.5912563181</v>
      </c>
      <c r="K53" s="34">
        <f t="shared" si="13"/>
        <v>942352.764985797</v>
      </c>
      <c r="L53" s="34">
        <f t="shared" si="13"/>
        <v>2525119.1687400443</v>
      </c>
      <c r="M53" s="34">
        <f t="shared" si="13"/>
        <v>2422721.1016040184</v>
      </c>
      <c r="N53" s="34">
        <f t="shared" si="13"/>
        <v>1293142.6545807829</v>
      </c>
      <c r="O53" s="34">
        <f t="shared" si="13"/>
        <v>1240927.7627856156</v>
      </c>
      <c r="P53" s="34">
        <f t="shared" si="13"/>
        <v>775870.49495892646</v>
      </c>
    </row>
    <row r="54" spans="1:17" x14ac:dyDescent="0.25">
      <c r="B54" s="32"/>
      <c r="C54" s="32"/>
      <c r="D54" s="32"/>
      <c r="E54" s="32"/>
      <c r="F54" s="32"/>
      <c r="G54" s="32"/>
      <c r="H54" s="32"/>
      <c r="I54" s="32"/>
      <c r="J54" s="32"/>
      <c r="K54" s="32"/>
      <c r="L54" s="32"/>
    </row>
    <row r="55" spans="1:17" s="12" customFormat="1" x14ac:dyDescent="0.25">
      <c r="A55" s="10" t="str">
        <f>A22</f>
        <v>Economic Benefits in Present Value</v>
      </c>
      <c r="B55" s="39">
        <f>B41/(1+'Eco Assumption_Goat'!$C69)^'Eco RCP 4.5_Goat'!B34</f>
        <v>0</v>
      </c>
      <c r="C55" s="39">
        <f>C41/(1+'Eco Assumption_Goat'!$C69)^'Eco RCP 4.5_Goat'!C34</f>
        <v>79245.283018867922</v>
      </c>
      <c r="D55" s="39">
        <f>D41/(1+'Eco Assumption_Goat'!$C69)^'Eco RCP 4.5_Goat'!D34</f>
        <v>1953800.7297970806</v>
      </c>
      <c r="E55" s="39">
        <f>E41/(1+'Eco Assumption_Goat'!$C69)^'Eco RCP 4.5_Goat'!E34</f>
        <v>2455412.0723651061</v>
      </c>
      <c r="F55" s="39">
        <f>F41/(1+'Eco Assumption_Goat'!$C69)^'Eco RCP 4.5_Goat'!F34</f>
        <v>4129568.2928344281</v>
      </c>
      <c r="G55" s="39">
        <f>G41/(1+'Eco Assumption_Goat'!$C69)^'Eco RCP 4.5_Goat'!G34</f>
        <v>4491866.8086500615</v>
      </c>
      <c r="H55" s="39">
        <f>H41/(1+'Eco Assumption_Goat'!$C69)^'Eco RCP 4.5_Goat'!H34</f>
        <v>3384173.7352766017</v>
      </c>
      <c r="I55" s="39">
        <f>I41/(1+'Eco Assumption_Goat'!$C69)^'Eco RCP 4.5_Goat'!I34</f>
        <v>4069117.0931927646</v>
      </c>
      <c r="J55" s="39">
        <f>J41/(1+'Eco Assumption_Goat'!$C69)^'Eco RCP 4.5_Goat'!J34</f>
        <v>3872961.3965293886</v>
      </c>
      <c r="K55" s="39">
        <f>K41/(1+'Eco Assumption_Goat'!$C69)^'Eco RCP 4.5_Goat'!K34</f>
        <v>2915462.9201921038</v>
      </c>
      <c r="L55" s="39">
        <f>L41/(1+'Eco Assumption_Goat'!$C69)^'Eco RCP 4.5_Goat'!L34</f>
        <v>3331687.7582448437</v>
      </c>
      <c r="M55" s="39">
        <f>M41/(1+'Eco Assumption_Goat'!$C69)^'Eco RCP 4.5_Goat'!M34</f>
        <v>2580862.2037612544</v>
      </c>
      <c r="N55" s="39">
        <f>N41/(1+'Eco Assumption_Goat'!$C69)^'Eco RCP 4.5_Goat'!N34</f>
        <v>1401414.9649483005</v>
      </c>
      <c r="O55" s="39">
        <f>O41/(1+'Eco Assumption_Goat'!$C69)^'Eco RCP 4.5_Goat'!O34</f>
        <v>817509.55512964132</v>
      </c>
      <c r="P55" s="39">
        <f>P41/(1+'Eco Assumption_Goat'!$C69)^'Eco RCP 4.5_Goat'!P34</f>
        <v>567213.88900306891</v>
      </c>
      <c r="Q55" s="343">
        <f>SUM(B55:P55)</f>
        <v>36050296.702943511</v>
      </c>
    </row>
    <row r="56" spans="1:17" s="12" customFormat="1" x14ac:dyDescent="0.25">
      <c r="A56" s="10" t="str">
        <f>A23</f>
        <v>Economic Costs in Present Value</v>
      </c>
      <c r="B56" s="39">
        <f>B51/(1+'Eco Assumption_Goat'!$C69)^'Eco RCP 4.5_Goat'!B34</f>
        <v>0</v>
      </c>
      <c r="C56" s="39">
        <f>C51/(1+'Eco Assumption_Goat'!$C69)^'Eco RCP 4.5_Goat'!C34</f>
        <v>1023745.7118353344</v>
      </c>
      <c r="D56" s="39">
        <f>D51/(1+'Eco Assumption_Goat'!$C69)^'Eco RCP 4.5_Goat'!D34</f>
        <v>2897460.0512961582</v>
      </c>
      <c r="E56" s="39">
        <f>E51/(1+'Eco Assumption_Goat'!$C69)^'Eco RCP 4.5_Goat'!E34</f>
        <v>4033666.5969909863</v>
      </c>
      <c r="F56" s="39">
        <f>F51/(1+'Eco Assumption_Goat'!$C69)^'Eco RCP 4.5_Goat'!F34</f>
        <v>4524774.8640839998</v>
      </c>
      <c r="G56" s="39">
        <f>G51/(1+'Eco Assumption_Goat'!$C69)^'Eco RCP 4.5_Goat'!G34</f>
        <v>4151355.6926575024</v>
      </c>
      <c r="H56" s="39">
        <f>H51/(1+'Eco Assumption_Goat'!$C69)^'Eco RCP 4.5_Goat'!H34</f>
        <v>3138978.6934967916</v>
      </c>
      <c r="I56" s="39">
        <f>I51/(1+'Eco Assumption_Goat'!$C69)^'Eco RCP 4.5_Goat'!I34</f>
        <v>2558237.738277907</v>
      </c>
      <c r="J56" s="39">
        <f>J51/(1+'Eco Assumption_Goat'!$C69)^'Eco RCP 4.5_Goat'!J34</f>
        <v>2431324.8767295494</v>
      </c>
      <c r="K56" s="39">
        <f>K51/(1+'Eco Assumption_Goat'!$C69)^'Eco RCP 4.5_Goat'!K34</f>
        <v>2357685.7664937396</v>
      </c>
      <c r="L56" s="39">
        <f>L51/(1+'Eco Assumption_Goat'!$C69)^'Eco RCP 4.5_Goat'!L34</f>
        <v>1921674.4033321587</v>
      </c>
      <c r="M56" s="39">
        <f>M51/(1+'Eco Assumption_Goat'!$C69)^'Eco RCP 4.5_Goat'!M34</f>
        <v>1304602.9499332125</v>
      </c>
      <c r="N56" s="39">
        <f>N51/(1+'Eco Assumption_Goat'!$C69)^'Eco RCP 4.5_Goat'!N34</f>
        <v>758762.68288701575</v>
      </c>
      <c r="O56" s="39">
        <f>O51/(1+'Eco Assumption_Goat'!$C69)^'Eco RCP 4.5_Goat'!O34</f>
        <v>235714.19615171832</v>
      </c>
      <c r="P56" s="39">
        <f>P51/(1+'Eco Assumption_Goat'!$C69)^'Eco RCP 4.5_Goat'!P34</f>
        <v>224045.62084900157</v>
      </c>
      <c r="Q56" s="343">
        <f>SUM(B56:P56)</f>
        <v>31562029.845015075</v>
      </c>
    </row>
    <row r="57" spans="1:17" x14ac:dyDescent="0.25">
      <c r="B57" s="32"/>
      <c r="C57" s="32"/>
      <c r="D57" s="32"/>
      <c r="E57" s="32"/>
      <c r="F57" s="32"/>
      <c r="G57" s="32"/>
      <c r="H57" s="32"/>
      <c r="I57" s="32"/>
      <c r="J57" s="32"/>
      <c r="K57" s="32"/>
      <c r="L57" s="32"/>
    </row>
    <row r="58" spans="1:17" s="12" customFormat="1" x14ac:dyDescent="0.25">
      <c r="A58" s="25" t="str">
        <f>A25</f>
        <v>ENPV ($)</v>
      </c>
      <c r="B58" s="35">
        <f>NPV('Eco Assumption_Goat'!C69,C53:P53)+B53</f>
        <v>4488266.8579284372</v>
      </c>
      <c r="C58" s="40"/>
      <c r="D58" s="40"/>
      <c r="E58" s="40"/>
      <c r="F58" s="40"/>
      <c r="G58" s="40"/>
      <c r="H58" s="40"/>
      <c r="I58" s="40"/>
      <c r="J58" s="40"/>
      <c r="K58" s="40"/>
      <c r="L58" s="40"/>
    </row>
    <row r="60" spans="1:17" s="12" customFormat="1" x14ac:dyDescent="0.25">
      <c r="A60" s="25" t="str">
        <f>A27</f>
        <v>EIRR</v>
      </c>
      <c r="B60" s="36">
        <f>IRR(B53:P53)</f>
        <v>0.1874160428443008</v>
      </c>
      <c r="C60" s="4"/>
      <c r="D60" s="4"/>
      <c r="E60" s="4"/>
      <c r="F60" s="4"/>
      <c r="G60" s="4"/>
      <c r="H60" s="4"/>
      <c r="I60" s="4"/>
      <c r="J60" s="4"/>
      <c r="K60" s="4"/>
      <c r="L60" s="4"/>
    </row>
    <row r="62" spans="1:17" ht="38.25" customHeight="1" x14ac:dyDescent="0.25">
      <c r="A62" s="11"/>
      <c r="B62" s="30"/>
      <c r="C62" s="69"/>
      <c r="D62" s="70"/>
      <c r="E62" s="30"/>
      <c r="F62" s="116"/>
      <c r="G62" s="30"/>
      <c r="H62" s="30"/>
      <c r="I62" s="30"/>
      <c r="J62" s="30"/>
      <c r="K62" s="30"/>
      <c r="L62" s="30"/>
      <c r="M62" s="11"/>
    </row>
    <row r="63" spans="1:17" s="1" customFormat="1" x14ac:dyDescent="0.25">
      <c r="A63" s="24"/>
      <c r="B63" s="42"/>
      <c r="C63" s="42"/>
      <c r="D63" s="42"/>
      <c r="E63" s="42"/>
      <c r="F63" s="42"/>
      <c r="G63" s="42"/>
      <c r="H63" s="42"/>
      <c r="I63" s="42"/>
      <c r="J63" s="42"/>
      <c r="K63" s="42"/>
      <c r="L63" s="42"/>
    </row>
    <row r="65" spans="1:16" ht="26.25" x14ac:dyDescent="0.25">
      <c r="F65" s="19" t="s">
        <v>92</v>
      </c>
    </row>
    <row r="66" spans="1:16" ht="38.25" customHeight="1" x14ac:dyDescent="0.25">
      <c r="A66" s="11" t="str">
        <f>A2</f>
        <v>Aggregate Economic Analysis_Goat Rearing</v>
      </c>
      <c r="B66" s="30"/>
      <c r="C66" s="69"/>
      <c r="D66" s="70"/>
      <c r="E66" s="30"/>
      <c r="F66" s="30"/>
      <c r="G66" s="30"/>
      <c r="H66" s="30"/>
      <c r="I66" s="30"/>
      <c r="J66" s="30"/>
      <c r="K66" s="30"/>
      <c r="L66" s="30"/>
      <c r="M66" s="11"/>
    </row>
    <row r="68" spans="1:16" x14ac:dyDescent="0.25">
      <c r="A68" s="10" t="s">
        <v>19</v>
      </c>
      <c r="B68" s="26">
        <v>0</v>
      </c>
      <c r="C68" s="26">
        <v>1</v>
      </c>
      <c r="D68" s="26">
        <v>2</v>
      </c>
      <c r="E68" s="26">
        <v>3</v>
      </c>
      <c r="F68" s="26">
        <v>4</v>
      </c>
      <c r="G68" s="26">
        <v>5</v>
      </c>
      <c r="H68" s="26">
        <v>6</v>
      </c>
      <c r="I68" s="26">
        <v>7</v>
      </c>
      <c r="J68" s="26">
        <v>8</v>
      </c>
      <c r="K68" s="26">
        <v>9</v>
      </c>
      <c r="L68" s="26">
        <v>10</v>
      </c>
      <c r="M68" s="26">
        <v>11</v>
      </c>
      <c r="N68" s="26">
        <v>12</v>
      </c>
      <c r="O68" s="26">
        <v>13</v>
      </c>
      <c r="P68" s="26">
        <v>14</v>
      </c>
    </row>
    <row r="69" spans="1:16" x14ac:dyDescent="0.25">
      <c r="A69" s="23" t="s">
        <v>3</v>
      </c>
    </row>
    <row r="70" spans="1:16" x14ac:dyDescent="0.25">
      <c r="A70" s="10" t="str">
        <f t="shared" ref="A70:P70" si="14">A6</f>
        <v>Goat Sale ($)</v>
      </c>
      <c r="B70" s="31">
        <f t="shared" si="14"/>
        <v>0</v>
      </c>
      <c r="C70" s="31">
        <f t="shared" si="14"/>
        <v>0</v>
      </c>
      <c r="D70" s="31">
        <f t="shared" si="14"/>
        <v>1943290.5</v>
      </c>
      <c r="E70" s="31">
        <f t="shared" si="14"/>
        <v>2504435.0647800001</v>
      </c>
      <c r="F70" s="31">
        <f t="shared" si="14"/>
        <v>4625484.8244500002</v>
      </c>
      <c r="G70" s="31">
        <f t="shared" si="14"/>
        <v>5339131.0545079997</v>
      </c>
      <c r="H70" s="31">
        <f t="shared" si="14"/>
        <v>4128515.1226846385</v>
      </c>
      <c r="I70" s="31">
        <f t="shared" si="14"/>
        <v>5446447.58870361</v>
      </c>
      <c r="J70" s="31">
        <f t="shared" si="14"/>
        <v>5500912.0645906478</v>
      </c>
      <c r="K70" s="31">
        <f t="shared" si="14"/>
        <v>4253613.2594171064</v>
      </c>
      <c r="L70" s="31">
        <f t="shared" si="14"/>
        <v>4910045.3474528054</v>
      </c>
      <c r="M70" s="31">
        <f t="shared" si="14"/>
        <v>3542247.0006623799</v>
      </c>
      <c r="N70" s="31">
        <f t="shared" si="14"/>
        <v>1643438.2480465136</v>
      </c>
      <c r="O70" s="31">
        <f t="shared" si="14"/>
        <v>722689.23307513888</v>
      </c>
      <c r="P70" s="31">
        <f t="shared" si="14"/>
        <v>729916.12540589029</v>
      </c>
    </row>
    <row r="71" spans="1:16" x14ac:dyDescent="0.25">
      <c r="A71" s="10" t="str">
        <f t="shared" ref="A71:P71" si="15">A7</f>
        <v>Residual ($)</v>
      </c>
      <c r="B71" s="31">
        <f t="shared" si="15"/>
        <v>0</v>
      </c>
      <c r="C71" s="31">
        <f t="shared" si="15"/>
        <v>0</v>
      </c>
      <c r="D71" s="31">
        <f t="shared" si="15"/>
        <v>0</v>
      </c>
      <c r="E71" s="31">
        <f t="shared" si="15"/>
        <v>0</v>
      </c>
      <c r="F71" s="31">
        <f t="shared" si="15"/>
        <v>0</v>
      </c>
      <c r="G71" s="31">
        <f t="shared" si="15"/>
        <v>0</v>
      </c>
      <c r="H71" s="31">
        <f t="shared" si="15"/>
        <v>0</v>
      </c>
      <c r="I71" s="31">
        <f t="shared" si="15"/>
        <v>0</v>
      </c>
      <c r="J71" s="31">
        <f t="shared" si="15"/>
        <v>0</v>
      </c>
      <c r="K71" s="31">
        <f t="shared" si="15"/>
        <v>0</v>
      </c>
      <c r="L71" s="31">
        <f t="shared" si="15"/>
        <v>56000</v>
      </c>
      <c r="M71" s="31">
        <f t="shared" si="15"/>
        <v>112000</v>
      </c>
      <c r="N71" s="31">
        <f t="shared" si="15"/>
        <v>99484</v>
      </c>
      <c r="O71" s="31">
        <f t="shared" si="15"/>
        <v>112000</v>
      </c>
      <c r="P71" s="31">
        <f t="shared" si="15"/>
        <v>56000</v>
      </c>
    </row>
    <row r="72" spans="1:16" x14ac:dyDescent="0.25">
      <c r="A72" s="10" t="str">
        <f t="shared" ref="A72:P72" si="16">A8</f>
        <v>Mother Goat Sale ($)</v>
      </c>
      <c r="B72" s="31">
        <f t="shared" si="16"/>
        <v>0</v>
      </c>
      <c r="C72" s="31">
        <f t="shared" si="16"/>
        <v>0</v>
      </c>
      <c r="D72" s="31">
        <f t="shared" si="16"/>
        <v>0</v>
      </c>
      <c r="E72" s="31">
        <f t="shared" si="16"/>
        <v>0</v>
      </c>
      <c r="F72" s="31">
        <f t="shared" si="16"/>
        <v>0</v>
      </c>
      <c r="G72" s="31">
        <f t="shared" si="16"/>
        <v>0</v>
      </c>
      <c r="H72" s="31">
        <f t="shared" si="16"/>
        <v>0</v>
      </c>
      <c r="I72" s="31">
        <f t="shared" si="16"/>
        <v>0</v>
      </c>
      <c r="J72" s="31">
        <f t="shared" si="16"/>
        <v>0</v>
      </c>
      <c r="K72" s="31">
        <f t="shared" si="16"/>
        <v>0</v>
      </c>
      <c r="L72" s="31">
        <f t="shared" si="16"/>
        <v>412500</v>
      </c>
      <c r="M72" s="31">
        <f t="shared" si="16"/>
        <v>825000</v>
      </c>
      <c r="N72" s="31">
        <f t="shared" si="16"/>
        <v>825000</v>
      </c>
      <c r="O72" s="31">
        <f t="shared" si="16"/>
        <v>825000</v>
      </c>
      <c r="P72" s="31">
        <f t="shared" si="16"/>
        <v>412500</v>
      </c>
    </row>
    <row r="73" spans="1:16" s="377" customFormat="1" ht="30" x14ac:dyDescent="0.25">
      <c r="A73" s="376" t="str">
        <f>A39</f>
        <v>Consumption of Goat Milk by Familty memebers</v>
      </c>
      <c r="B73" s="136">
        <f>B39</f>
        <v>0</v>
      </c>
      <c r="C73" s="136">
        <f t="shared" ref="C73:P73" si="17">C39</f>
        <v>9000</v>
      </c>
      <c r="D73" s="136">
        <f t="shared" si="17"/>
        <v>27000</v>
      </c>
      <c r="E73" s="136">
        <f t="shared" si="17"/>
        <v>45000</v>
      </c>
      <c r="F73" s="136">
        <f t="shared" si="17"/>
        <v>63000</v>
      </c>
      <c r="G73" s="136">
        <f t="shared" si="17"/>
        <v>72000</v>
      </c>
      <c r="H73" s="136">
        <f t="shared" si="17"/>
        <v>72000</v>
      </c>
      <c r="I73" s="136">
        <f t="shared" si="17"/>
        <v>72000</v>
      </c>
      <c r="J73" s="136">
        <f t="shared" si="17"/>
        <v>72000</v>
      </c>
      <c r="K73" s="136">
        <f t="shared" si="17"/>
        <v>72000</v>
      </c>
      <c r="L73" s="136">
        <f t="shared" si="17"/>
        <v>63000</v>
      </c>
      <c r="M73" s="136">
        <f t="shared" si="17"/>
        <v>45000</v>
      </c>
      <c r="N73" s="136">
        <f t="shared" si="17"/>
        <v>27000</v>
      </c>
      <c r="O73" s="136">
        <f t="shared" si="17"/>
        <v>9000</v>
      </c>
      <c r="P73" s="136">
        <f t="shared" si="17"/>
        <v>9000</v>
      </c>
    </row>
    <row r="74" spans="1:16" s="377" customFormat="1" x14ac:dyDescent="0.25">
      <c r="A74" s="376" t="str">
        <f>A40</f>
        <v>Social benefit from export of goat leather</v>
      </c>
      <c r="B74" s="136">
        <f>B40</f>
        <v>0</v>
      </c>
      <c r="C74" s="136">
        <f t="shared" ref="C74:P74" si="18">C40</f>
        <v>75000</v>
      </c>
      <c r="D74" s="136">
        <f t="shared" si="18"/>
        <v>225000</v>
      </c>
      <c r="E74" s="136">
        <f t="shared" si="18"/>
        <v>375000</v>
      </c>
      <c r="F74" s="136">
        <f t="shared" si="18"/>
        <v>525000</v>
      </c>
      <c r="G74" s="136">
        <f t="shared" si="18"/>
        <v>600000</v>
      </c>
      <c r="H74" s="136">
        <f t="shared" si="18"/>
        <v>600000</v>
      </c>
      <c r="I74" s="136">
        <f t="shared" si="18"/>
        <v>600000</v>
      </c>
      <c r="J74" s="136">
        <f t="shared" si="18"/>
        <v>600000</v>
      </c>
      <c r="K74" s="136">
        <f t="shared" si="18"/>
        <v>600000</v>
      </c>
      <c r="L74" s="136">
        <f t="shared" si="18"/>
        <v>525000</v>
      </c>
      <c r="M74" s="136">
        <f t="shared" si="18"/>
        <v>375000</v>
      </c>
      <c r="N74" s="136">
        <f t="shared" si="18"/>
        <v>225000</v>
      </c>
      <c r="O74" s="136">
        <f t="shared" si="18"/>
        <v>75000</v>
      </c>
      <c r="P74" s="136">
        <f t="shared" si="18"/>
        <v>75000</v>
      </c>
    </row>
    <row r="75" spans="1:16" s="12" customFormat="1" x14ac:dyDescent="0.25">
      <c r="A75" s="23" t="s">
        <v>53</v>
      </c>
      <c r="B75" s="38">
        <f>(B70+B71+B72+B73+B74)</f>
        <v>0</v>
      </c>
      <c r="C75" s="38">
        <f t="shared" ref="C75:P75" si="19">(C70+C71+C72+C73+C74)</f>
        <v>84000</v>
      </c>
      <c r="D75" s="38">
        <f t="shared" si="19"/>
        <v>2195290.5</v>
      </c>
      <c r="E75" s="38">
        <f t="shared" si="19"/>
        <v>2924435.0647800001</v>
      </c>
      <c r="F75" s="38">
        <f t="shared" si="19"/>
        <v>5213484.8244500002</v>
      </c>
      <c r="G75" s="38">
        <f t="shared" si="19"/>
        <v>6011131.0545079997</v>
      </c>
      <c r="H75" s="38">
        <f t="shared" si="19"/>
        <v>4800515.1226846389</v>
      </c>
      <c r="I75" s="38">
        <f t="shared" si="19"/>
        <v>6118447.58870361</v>
      </c>
      <c r="J75" s="38">
        <f t="shared" si="19"/>
        <v>6172912.0645906478</v>
      </c>
      <c r="K75" s="38">
        <f t="shared" si="19"/>
        <v>4925613.2594171064</v>
      </c>
      <c r="L75" s="38">
        <f t="shared" si="19"/>
        <v>5966545.3474528054</v>
      </c>
      <c r="M75" s="38">
        <f t="shared" si="19"/>
        <v>4899247.0006623799</v>
      </c>
      <c r="N75" s="38">
        <f t="shared" si="19"/>
        <v>2819922.2480465136</v>
      </c>
      <c r="O75" s="38">
        <f t="shared" si="19"/>
        <v>1743689.2330751389</v>
      </c>
      <c r="P75" s="38">
        <f t="shared" si="19"/>
        <v>1282416.1254058904</v>
      </c>
    </row>
    <row r="76" spans="1:16" x14ac:dyDescent="0.25">
      <c r="A76" s="23"/>
      <c r="B76" s="41"/>
      <c r="C76" s="41"/>
      <c r="D76" s="41"/>
      <c r="E76" s="41"/>
      <c r="F76" s="41"/>
      <c r="G76" s="41"/>
      <c r="H76" s="41"/>
      <c r="I76" s="41"/>
      <c r="J76" s="41"/>
      <c r="K76" s="41"/>
    </row>
    <row r="77" spans="1:16" x14ac:dyDescent="0.25">
      <c r="A77" s="23" t="s">
        <v>20</v>
      </c>
    </row>
    <row r="78" spans="1:16" x14ac:dyDescent="0.25">
      <c r="A78" s="9" t="str">
        <f t="shared" ref="A78:P78" si="20">A12</f>
        <v>Slated House Construction</v>
      </c>
      <c r="B78" s="33">
        <f t="shared" si="20"/>
        <v>0</v>
      </c>
      <c r="C78" s="33">
        <f t="shared" si="20"/>
        <v>280000</v>
      </c>
      <c r="D78" s="33">
        <f t="shared" si="20"/>
        <v>560000</v>
      </c>
      <c r="E78" s="33">
        <f t="shared" si="20"/>
        <v>560000</v>
      </c>
      <c r="F78" s="33">
        <f t="shared" si="20"/>
        <v>560000</v>
      </c>
      <c r="G78" s="33">
        <f t="shared" si="20"/>
        <v>280000</v>
      </c>
      <c r="H78" s="33">
        <f t="shared" si="20"/>
        <v>0</v>
      </c>
      <c r="I78" s="33">
        <f t="shared" si="20"/>
        <v>0</v>
      </c>
      <c r="J78" s="33">
        <f t="shared" si="20"/>
        <v>0</v>
      </c>
      <c r="K78" s="33">
        <f t="shared" si="20"/>
        <v>0</v>
      </c>
      <c r="L78" s="33">
        <f t="shared" si="20"/>
        <v>0</v>
      </c>
      <c r="M78" s="33">
        <f t="shared" si="20"/>
        <v>0</v>
      </c>
      <c r="N78" s="33">
        <f t="shared" si="20"/>
        <v>0</v>
      </c>
      <c r="O78" s="33">
        <f t="shared" si="20"/>
        <v>0</v>
      </c>
      <c r="P78" s="33">
        <f t="shared" si="20"/>
        <v>0</v>
      </c>
    </row>
    <row r="79" spans="1:16" x14ac:dyDescent="0.25">
      <c r="A79" s="9" t="str">
        <f t="shared" ref="A79:P79" si="21">A13</f>
        <v>Mother Goat Purchase</v>
      </c>
      <c r="B79" s="33">
        <f t="shared" si="21"/>
        <v>0</v>
      </c>
      <c r="C79" s="33">
        <f t="shared" si="21"/>
        <v>375000</v>
      </c>
      <c r="D79" s="33">
        <f t="shared" si="21"/>
        <v>750000</v>
      </c>
      <c r="E79" s="33">
        <f t="shared" si="21"/>
        <v>750000</v>
      </c>
      <c r="F79" s="33">
        <f t="shared" si="21"/>
        <v>750000</v>
      </c>
      <c r="G79" s="33">
        <f t="shared" si="21"/>
        <v>375000</v>
      </c>
      <c r="H79" s="33">
        <f t="shared" si="21"/>
        <v>0</v>
      </c>
      <c r="I79" s="33">
        <f t="shared" si="21"/>
        <v>0</v>
      </c>
      <c r="J79" s="33">
        <f t="shared" si="21"/>
        <v>0</v>
      </c>
      <c r="K79" s="33">
        <f t="shared" si="21"/>
        <v>0</v>
      </c>
      <c r="L79" s="33">
        <f t="shared" si="21"/>
        <v>0</v>
      </c>
      <c r="M79" s="33">
        <f t="shared" si="21"/>
        <v>0</v>
      </c>
      <c r="N79" s="33">
        <f t="shared" si="21"/>
        <v>0</v>
      </c>
      <c r="O79" s="33">
        <f t="shared" si="21"/>
        <v>0</v>
      </c>
      <c r="P79" s="33">
        <f t="shared" si="21"/>
        <v>0</v>
      </c>
    </row>
    <row r="80" spans="1:16" x14ac:dyDescent="0.25">
      <c r="A80" s="9" t="str">
        <f t="shared" ref="A80:P80" si="22">A14</f>
        <v>Maintenance Cost</v>
      </c>
      <c r="B80" s="33">
        <f t="shared" si="22"/>
        <v>0</v>
      </c>
      <c r="C80" s="33">
        <f t="shared" si="22"/>
        <v>0</v>
      </c>
      <c r="D80" s="33">
        <f t="shared" si="22"/>
        <v>90000</v>
      </c>
      <c r="E80" s="33">
        <f t="shared" si="22"/>
        <v>166950.00000000003</v>
      </c>
      <c r="F80" s="33">
        <f t="shared" si="22"/>
        <v>210000</v>
      </c>
      <c r="G80" s="33">
        <f t="shared" si="22"/>
        <v>240000</v>
      </c>
      <c r="H80" s="33">
        <f t="shared" si="22"/>
        <v>267120.00000000006</v>
      </c>
      <c r="I80" s="33">
        <f t="shared" si="22"/>
        <v>240000</v>
      </c>
      <c r="J80" s="33">
        <f t="shared" si="22"/>
        <v>240000</v>
      </c>
      <c r="K80" s="33">
        <f t="shared" si="22"/>
        <v>267120.00000000006</v>
      </c>
      <c r="L80" s="33">
        <f t="shared" si="22"/>
        <v>210000</v>
      </c>
      <c r="M80" s="33">
        <f t="shared" si="22"/>
        <v>150000</v>
      </c>
      <c r="N80" s="33">
        <f t="shared" si="22"/>
        <v>100170.00000000001</v>
      </c>
      <c r="O80" s="33">
        <f t="shared" si="22"/>
        <v>30000</v>
      </c>
      <c r="P80" s="33">
        <f t="shared" si="22"/>
        <v>30000</v>
      </c>
    </row>
    <row r="81" spans="1:17" x14ac:dyDescent="0.25">
      <c r="A81" s="9" t="str">
        <f t="shared" ref="A81:P81" si="23">A15</f>
        <v>Medicine</v>
      </c>
      <c r="B81" s="33">
        <f t="shared" si="23"/>
        <v>0</v>
      </c>
      <c r="C81" s="33">
        <f t="shared" si="23"/>
        <v>50595.454545454544</v>
      </c>
      <c r="D81" s="33">
        <f t="shared" si="23"/>
        <v>151786.36363636365</v>
      </c>
      <c r="E81" s="33">
        <f t="shared" si="23"/>
        <v>285586.04318181821</v>
      </c>
      <c r="F81" s="33">
        <f t="shared" si="23"/>
        <v>354168.18181818182</v>
      </c>
      <c r="G81" s="33">
        <f t="shared" si="23"/>
        <v>404763.63636363635</v>
      </c>
      <c r="H81" s="33">
        <f t="shared" si="23"/>
        <v>456937.66909090907</v>
      </c>
      <c r="I81" s="33">
        <f t="shared" si="23"/>
        <v>404763.63636363635</v>
      </c>
      <c r="J81" s="33">
        <f t="shared" si="23"/>
        <v>404763.63636363635</v>
      </c>
      <c r="K81" s="33">
        <f t="shared" si="23"/>
        <v>456937.66909090907</v>
      </c>
      <c r="L81" s="33">
        <f t="shared" si="23"/>
        <v>354168.18181818182</v>
      </c>
      <c r="M81" s="33">
        <f t="shared" si="23"/>
        <v>252977.27272727274</v>
      </c>
      <c r="N81" s="33">
        <f t="shared" si="23"/>
        <v>171351.62590909092</v>
      </c>
      <c r="O81" s="33">
        <f t="shared" si="23"/>
        <v>50595.454545454544</v>
      </c>
      <c r="P81" s="33">
        <f t="shared" si="23"/>
        <v>50595.454545454544</v>
      </c>
    </row>
    <row r="82" spans="1:17" x14ac:dyDescent="0.25">
      <c r="A82" s="9" t="str">
        <f t="shared" ref="A82:P82" si="24">A16</f>
        <v>Labor</v>
      </c>
      <c r="B82" s="33">
        <f t="shared" si="24"/>
        <v>0</v>
      </c>
      <c r="C82" s="33">
        <f t="shared" si="24"/>
        <v>335825</v>
      </c>
      <c r="D82" s="33">
        <f t="shared" si="24"/>
        <v>1017549.75</v>
      </c>
      <c r="E82" s="33">
        <f t="shared" si="24"/>
        <v>1712875.4124999999</v>
      </c>
      <c r="F82" s="33">
        <f t="shared" si="24"/>
        <v>2422005.8332750001</v>
      </c>
      <c r="G82" s="33">
        <f t="shared" si="24"/>
        <v>2795686.7332659997</v>
      </c>
      <c r="H82" s="33">
        <f t="shared" si="24"/>
        <v>2823643.6005986603</v>
      </c>
      <c r="I82" s="33">
        <f t="shared" si="24"/>
        <v>2851880.0366046461</v>
      </c>
      <c r="J82" s="33">
        <f t="shared" si="24"/>
        <v>2880398.8369706934</v>
      </c>
      <c r="K82" s="33">
        <f t="shared" si="24"/>
        <v>2909202.8253404004</v>
      </c>
      <c r="L82" s="33">
        <f t="shared" si="24"/>
        <v>2571007.9968945789</v>
      </c>
      <c r="M82" s="33">
        <f t="shared" si="24"/>
        <v>1854798.6263310888</v>
      </c>
      <c r="N82" s="33">
        <f t="shared" si="24"/>
        <v>1124007.9675566398</v>
      </c>
      <c r="O82" s="33">
        <f t="shared" si="24"/>
        <v>378416.01574406878</v>
      </c>
      <c r="P82" s="33">
        <f t="shared" si="24"/>
        <v>382200.17590150947</v>
      </c>
    </row>
    <row r="83" spans="1:17" s="50" customFormat="1" x14ac:dyDescent="0.25">
      <c r="A83" s="52" t="s">
        <v>131</v>
      </c>
      <c r="B83" s="49">
        <f>B17*'Eco Assumption_Goat'!$C26</f>
        <v>0</v>
      </c>
      <c r="C83" s="49">
        <f>C17*'Eco Assumption_Goat'!$C26</f>
        <v>0</v>
      </c>
      <c r="D83" s="49">
        <f>D17*'Eco Assumption_Goat'!$C26</f>
        <v>0</v>
      </c>
      <c r="E83" s="49">
        <f>E17*'Eco Assumption_Goat'!$C26</f>
        <v>0</v>
      </c>
      <c r="F83" s="49">
        <f>F17*'Eco Assumption_Goat'!$C26</f>
        <v>0</v>
      </c>
      <c r="G83" s="49">
        <f>G17*'Eco Assumption_Goat'!$C26</f>
        <v>0</v>
      </c>
      <c r="H83" s="49">
        <f>H17*'Eco Assumption_Goat'!$C26</f>
        <v>0</v>
      </c>
      <c r="I83" s="49">
        <f>I17*'Eco Assumption_Goat'!$C26</f>
        <v>0</v>
      </c>
      <c r="J83" s="49">
        <f>J17*'Eco Assumption_Goat'!$C26</f>
        <v>0</v>
      </c>
      <c r="K83" s="49">
        <f>K17*'Eco Assumption_Goat'!$C26</f>
        <v>0</v>
      </c>
      <c r="L83" s="49">
        <f>L17*'Eco Assumption_Goat'!$C26</f>
        <v>0</v>
      </c>
      <c r="M83" s="49">
        <f>M17*'Eco Assumption_Goat'!$C26</f>
        <v>0</v>
      </c>
      <c r="N83" s="49">
        <f>N17*'Eco Assumption_Goat'!$C26</f>
        <v>0</v>
      </c>
      <c r="O83" s="49">
        <f>O17*'Eco Assumption_Goat'!$C26</f>
        <v>0</v>
      </c>
      <c r="P83" s="49">
        <f>P17*'Eco Assumption_Goat'!$C26</f>
        <v>0</v>
      </c>
    </row>
    <row r="84" spans="1:17" s="377" customFormat="1" ht="30" x14ac:dyDescent="0.25">
      <c r="A84" s="121" t="str">
        <f>A50</f>
        <v>Opportunity cost of labor by women households</v>
      </c>
      <c r="B84" s="137">
        <f>B50</f>
        <v>0</v>
      </c>
      <c r="C84" s="137">
        <f t="shared" ref="C84:P84" si="25">C50</f>
        <v>43750</v>
      </c>
      <c r="D84" s="137">
        <f t="shared" si="25"/>
        <v>131250</v>
      </c>
      <c r="E84" s="137">
        <f t="shared" si="25"/>
        <v>218750</v>
      </c>
      <c r="F84" s="137">
        <f t="shared" si="25"/>
        <v>306250</v>
      </c>
      <c r="G84" s="137">
        <f t="shared" si="25"/>
        <v>350000</v>
      </c>
      <c r="H84" s="137">
        <f t="shared" si="25"/>
        <v>350000</v>
      </c>
      <c r="I84" s="137">
        <f t="shared" si="25"/>
        <v>350000</v>
      </c>
      <c r="J84" s="137">
        <f t="shared" si="25"/>
        <v>350000</v>
      </c>
      <c r="K84" s="137">
        <f t="shared" si="25"/>
        <v>350000</v>
      </c>
      <c r="L84" s="137">
        <f t="shared" si="25"/>
        <v>306250</v>
      </c>
      <c r="M84" s="137">
        <f t="shared" si="25"/>
        <v>218750</v>
      </c>
      <c r="N84" s="137">
        <f t="shared" si="25"/>
        <v>131250</v>
      </c>
      <c r="O84" s="137">
        <f t="shared" si="25"/>
        <v>43750</v>
      </c>
      <c r="P84" s="137">
        <f t="shared" si="25"/>
        <v>43750</v>
      </c>
    </row>
    <row r="85" spans="1:17" x14ac:dyDescent="0.25">
      <c r="A85" s="117" t="s">
        <v>54</v>
      </c>
      <c r="B85" s="37">
        <f>SUM(B78:B84)</f>
        <v>0</v>
      </c>
      <c r="C85" s="37">
        <f>SUM(C78:C84)</f>
        <v>1085170.4545454546</v>
      </c>
      <c r="D85" s="37">
        <f t="shared" ref="D85:P85" si="26">SUM(D78:D84)</f>
        <v>2700586.1136363638</v>
      </c>
      <c r="E85" s="37">
        <f t="shared" si="26"/>
        <v>3694161.4556818181</v>
      </c>
      <c r="F85" s="37">
        <f t="shared" si="26"/>
        <v>4602424.0150931822</v>
      </c>
      <c r="G85" s="37">
        <f t="shared" si="26"/>
        <v>4445450.3696296364</v>
      </c>
      <c r="H85" s="37">
        <f t="shared" si="26"/>
        <v>3897701.2696895692</v>
      </c>
      <c r="I85" s="37">
        <f t="shared" si="26"/>
        <v>3846643.6729682824</v>
      </c>
      <c r="J85" s="37">
        <f t="shared" si="26"/>
        <v>3875162.4733343297</v>
      </c>
      <c r="K85" s="37">
        <f t="shared" si="26"/>
        <v>3983260.4944313094</v>
      </c>
      <c r="L85" s="37">
        <f t="shared" si="26"/>
        <v>3441426.178712761</v>
      </c>
      <c r="M85" s="37">
        <f t="shared" si="26"/>
        <v>2476525.8990583615</v>
      </c>
      <c r="N85" s="37">
        <f t="shared" si="26"/>
        <v>1526779.5934657308</v>
      </c>
      <c r="O85" s="37">
        <f t="shared" si="26"/>
        <v>502761.47028952331</v>
      </c>
      <c r="P85" s="37">
        <f t="shared" si="26"/>
        <v>506545.630446964</v>
      </c>
    </row>
    <row r="86" spans="1:17" x14ac:dyDescent="0.25">
      <c r="B86" s="32"/>
      <c r="C86" s="32"/>
      <c r="D86" s="32"/>
      <c r="E86" s="32"/>
      <c r="F86" s="32"/>
      <c r="G86" s="32"/>
      <c r="H86" s="32"/>
      <c r="I86" s="32"/>
      <c r="J86" s="32"/>
      <c r="K86" s="32"/>
      <c r="L86" s="32"/>
    </row>
    <row r="87" spans="1:17" x14ac:dyDescent="0.25">
      <c r="A87" s="23" t="str">
        <f>A20</f>
        <v>Net Resource Flow ($)</v>
      </c>
      <c r="B87" s="34">
        <f t="shared" ref="B87:P87" si="27">B75-B85</f>
        <v>0</v>
      </c>
      <c r="C87" s="34">
        <f t="shared" si="27"/>
        <v>-1001170.4545454546</v>
      </c>
      <c r="D87" s="34">
        <f t="shared" si="27"/>
        <v>-505295.61363636376</v>
      </c>
      <c r="E87" s="34">
        <f t="shared" si="27"/>
        <v>-769726.39090181794</v>
      </c>
      <c r="F87" s="34">
        <f t="shared" si="27"/>
        <v>611060.80935681798</v>
      </c>
      <c r="G87" s="34">
        <f t="shared" si="27"/>
        <v>1565680.6848783633</v>
      </c>
      <c r="H87" s="34">
        <f t="shared" si="27"/>
        <v>902813.8529950697</v>
      </c>
      <c r="I87" s="34">
        <f t="shared" si="27"/>
        <v>2271803.9157353276</v>
      </c>
      <c r="J87" s="34">
        <f t="shared" si="27"/>
        <v>2297749.5912563181</v>
      </c>
      <c r="K87" s="34">
        <f t="shared" si="27"/>
        <v>942352.764985797</v>
      </c>
      <c r="L87" s="34">
        <f t="shared" si="27"/>
        <v>2525119.1687400443</v>
      </c>
      <c r="M87" s="34">
        <f t="shared" si="27"/>
        <v>2422721.1016040184</v>
      </c>
      <c r="N87" s="34">
        <f t="shared" si="27"/>
        <v>1293142.6545807829</v>
      </c>
      <c r="O87" s="34">
        <f t="shared" si="27"/>
        <v>1240927.7627856156</v>
      </c>
      <c r="P87" s="34">
        <f t="shared" si="27"/>
        <v>775870.49495892646</v>
      </c>
    </row>
    <row r="88" spans="1:17" x14ac:dyDescent="0.25">
      <c r="B88" s="32"/>
      <c r="C88" s="32"/>
      <c r="D88" s="32"/>
      <c r="E88" s="32"/>
      <c r="F88" s="32"/>
      <c r="G88" s="32"/>
      <c r="H88" s="32"/>
      <c r="I88" s="32"/>
      <c r="J88" s="32"/>
      <c r="K88" s="32"/>
      <c r="L88" s="32"/>
    </row>
    <row r="89" spans="1:17" s="12" customFormat="1" x14ac:dyDescent="0.25">
      <c r="A89" s="23" t="str">
        <f>A22</f>
        <v>Economic Benefits in Present Value</v>
      </c>
      <c r="B89" s="39">
        <f>B75/(1+'Eco Assumption_Goat'!$C69)^'Eco RCP 4.5_Goat'!B68</f>
        <v>0</v>
      </c>
      <c r="C89" s="39">
        <f>C75/(1+'Eco Assumption_Goat'!$C69)^'Eco RCP 4.5_Goat'!C68</f>
        <v>79245.283018867922</v>
      </c>
      <c r="D89" s="39">
        <f>D75/(1+'Eco Assumption_Goat'!$C69)^'Eco RCP 4.5_Goat'!D68</f>
        <v>1953800.7297970806</v>
      </c>
      <c r="E89" s="39">
        <f>E75/(1+'Eco Assumption_Goat'!$C69)^'Eco RCP 4.5_Goat'!E68</f>
        <v>2455412.0723651061</v>
      </c>
      <c r="F89" s="39">
        <f>F75/(1+'Eco Assumption_Goat'!$C69)^'Eco RCP 4.5_Goat'!F68</f>
        <v>4129568.2928344281</v>
      </c>
      <c r="G89" s="39">
        <f>G75/(1+'Eco Assumption_Goat'!$C69)^'Eco RCP 4.5_Goat'!G68</f>
        <v>4491866.8086500615</v>
      </c>
      <c r="H89" s="39">
        <f>H75/(1+'Eco Assumption_Goat'!$C69)^'Eco RCP 4.5_Goat'!H68</f>
        <v>3384173.7352766017</v>
      </c>
      <c r="I89" s="39">
        <f>I75/(1+'Eco Assumption_Goat'!$C69)^'Eco RCP 4.5_Goat'!I68</f>
        <v>4069117.0931927646</v>
      </c>
      <c r="J89" s="39">
        <f>J75/(1+'Eco Assumption_Goat'!$C69)^'Eco RCP 4.5_Goat'!J68</f>
        <v>3872961.3965293886</v>
      </c>
      <c r="K89" s="39">
        <f>K75/(1+'Eco Assumption_Goat'!$C69)^'Eco RCP 4.5_Goat'!K68</f>
        <v>2915462.9201921038</v>
      </c>
      <c r="L89" s="39">
        <f>L75/(1+'Eco Assumption_Goat'!$C69)^'Eco RCP 4.5_Goat'!L68</f>
        <v>3331687.7582448437</v>
      </c>
      <c r="M89" s="39">
        <f>M75/(1+'Eco Assumption_Goat'!$C69)^'Eco RCP 4.5_Goat'!M68</f>
        <v>2580862.2037612544</v>
      </c>
      <c r="N89" s="39">
        <f>N75/(1+'Eco Assumption_Goat'!$C69)^'Eco RCP 4.5_Goat'!N68</f>
        <v>1401414.9649483005</v>
      </c>
      <c r="O89" s="39">
        <f>O75/(1+'Eco Assumption_Goat'!$C69)^'Eco RCP 4.5_Goat'!O68</f>
        <v>817509.55512964132</v>
      </c>
      <c r="P89" s="39">
        <f>P75/(1+'Eco Assumption_Goat'!$C69)^'Eco RCP 4.5_Goat'!P68</f>
        <v>567213.88900306891</v>
      </c>
      <c r="Q89" s="343">
        <f>SUM(B89:P89)</f>
        <v>36050296.702943511</v>
      </c>
    </row>
    <row r="90" spans="1:17" s="12" customFormat="1" x14ac:dyDescent="0.25">
      <c r="A90" s="23" t="str">
        <f>A23</f>
        <v>Economic Costs in Present Value</v>
      </c>
      <c r="B90" s="39">
        <f>B85/(1+'Eco Assumption_Goat'!$C69)^'Eco RCP 4.5_Goat'!B68</f>
        <v>0</v>
      </c>
      <c r="C90" s="39">
        <f>C85/(1+'Eco Assumption_Goat'!$C69)^'Eco RCP 4.5_Goat'!C68</f>
        <v>1023745.7118353344</v>
      </c>
      <c r="D90" s="39">
        <f>D85/(1+'Eco Assumption_Goat'!$C69)^'Eco RCP 4.5_Goat'!D68</f>
        <v>2403512.0270882552</v>
      </c>
      <c r="E90" s="39">
        <f>E85/(1+'Eco Assumption_Goat'!$C69)^'Eco RCP 4.5_Goat'!E68</f>
        <v>3101689.1928251316</v>
      </c>
      <c r="F90" s="39">
        <f>F85/(1+'Eco Assumption_Goat'!$C69)^'Eco RCP 4.5_Goat'!F68</f>
        <v>3645550.8978897966</v>
      </c>
      <c r="G90" s="39">
        <f>G85/(1+'Eco Assumption_Goat'!$C69)^'Eco RCP 4.5_Goat'!G68</f>
        <v>3321899.1207761792</v>
      </c>
      <c r="H90" s="39">
        <f>H85/(1+'Eco Assumption_Goat'!$C69)^'Eco RCP 4.5_Goat'!H68</f>
        <v>2747725.593552771</v>
      </c>
      <c r="I90" s="39">
        <f>I85/(1+'Eco Assumption_Goat'!$C69)^'Eco RCP 4.5_Goat'!I68</f>
        <v>2558237.738277907</v>
      </c>
      <c r="J90" s="39">
        <f>J85/(1+'Eco Assumption_Goat'!$C69)^'Eco RCP 4.5_Goat'!J68</f>
        <v>2431324.8767295494</v>
      </c>
      <c r="K90" s="39">
        <f>K85/(1+'Eco Assumption_Goat'!$C69)^'Eco RCP 4.5_Goat'!K68</f>
        <v>2357685.7664937396</v>
      </c>
      <c r="L90" s="39">
        <f>L85/(1+'Eco Assumption_Goat'!$C69)^'Eco RCP 4.5_Goat'!L68</f>
        <v>1921674.4033321587</v>
      </c>
      <c r="M90" s="39">
        <f>M85/(1+'Eco Assumption_Goat'!$C69)^'Eco RCP 4.5_Goat'!M68</f>
        <v>1304602.9499332125</v>
      </c>
      <c r="N90" s="39">
        <f>N85/(1+'Eco Assumption_Goat'!$C69)^'Eco RCP 4.5_Goat'!N68</f>
        <v>758762.68288701575</v>
      </c>
      <c r="O90" s="39">
        <f>O85/(1+'Eco Assumption_Goat'!$C69)^'Eco RCP 4.5_Goat'!O68</f>
        <v>235714.19615171832</v>
      </c>
      <c r="P90" s="39">
        <f>P85/(1+'Eco Assumption_Goat'!$C69)^'Eco RCP 4.5_Goat'!P68</f>
        <v>224045.62084900157</v>
      </c>
      <c r="Q90" s="343">
        <f>SUM(B90:P90)</f>
        <v>28036170.778621774</v>
      </c>
    </row>
    <row r="91" spans="1:17" x14ac:dyDescent="0.25">
      <c r="B91" s="32"/>
      <c r="C91" s="32"/>
      <c r="D91" s="32"/>
      <c r="E91" s="32"/>
      <c r="F91" s="32"/>
      <c r="G91" s="32"/>
      <c r="H91" s="32"/>
      <c r="I91" s="32"/>
      <c r="J91" s="32"/>
      <c r="K91" s="32"/>
      <c r="L91" s="32"/>
    </row>
    <row r="92" spans="1:17" s="12" customFormat="1" x14ac:dyDescent="0.25">
      <c r="A92" s="25" t="str">
        <f>A25</f>
        <v>ENPV ($)</v>
      </c>
      <c r="B92" s="35">
        <f>NPV('Eco Assumption_Goat'!C69,C87:P87)+B87</f>
        <v>8014125.9243217399</v>
      </c>
      <c r="C92" s="40"/>
      <c r="D92" s="40"/>
      <c r="E92" s="40"/>
      <c r="F92" s="40"/>
      <c r="G92" s="40"/>
      <c r="H92" s="40"/>
      <c r="I92" s="40"/>
      <c r="J92" s="40"/>
      <c r="K92" s="40"/>
      <c r="L92" s="40"/>
    </row>
    <row r="94" spans="1:17" s="12" customFormat="1" x14ac:dyDescent="0.25">
      <c r="A94" s="25" t="str">
        <f>A27</f>
        <v>EIRR</v>
      </c>
      <c r="B94" s="36">
        <f>IRR(B87:P87)</f>
        <v>0.38379543580689113</v>
      </c>
      <c r="C94" s="4"/>
      <c r="D94" s="4"/>
      <c r="E94" s="4"/>
      <c r="F94" s="4"/>
      <c r="G94" s="4"/>
      <c r="H94" s="4"/>
      <c r="I94" s="4"/>
      <c r="J94" s="4"/>
      <c r="K94" s="4"/>
      <c r="L94" s="4"/>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7030A0"/>
  </sheetPr>
  <dimension ref="A2:Q94"/>
  <sheetViews>
    <sheetView showGridLines="0" zoomScale="70" zoomScaleNormal="70" workbookViewId="0">
      <selection activeCell="B85" sqref="B85:P85"/>
    </sheetView>
  </sheetViews>
  <sheetFormatPr defaultColWidth="9" defaultRowHeight="15" x14ac:dyDescent="0.25"/>
  <cols>
    <col min="1" max="1" width="40.7109375" style="10" customWidth="1"/>
    <col min="2" max="2" width="16.28515625" style="26" customWidth="1"/>
    <col min="3" max="3" width="16.140625" style="26" customWidth="1"/>
    <col min="4" max="4" width="17" style="26" customWidth="1"/>
    <col min="5" max="5" width="17.140625" style="26" customWidth="1"/>
    <col min="6" max="6" width="18" style="26" customWidth="1"/>
    <col min="7" max="7" width="18.5703125" style="26" customWidth="1"/>
    <col min="8" max="8" width="18.7109375" style="26" customWidth="1"/>
    <col min="9" max="9" width="16.5703125" style="26" customWidth="1"/>
    <col min="10" max="10" width="18.7109375" style="26" customWidth="1"/>
    <col min="11" max="11" width="16.28515625" style="26" customWidth="1"/>
    <col min="12" max="12" width="16.7109375" style="26" customWidth="1"/>
    <col min="13" max="13" width="16.140625" style="3" customWidth="1"/>
    <col min="14" max="14" width="16.28515625" style="3" customWidth="1"/>
    <col min="15" max="15" width="15.85546875" style="3" customWidth="1"/>
    <col min="16" max="16" width="16.5703125" style="3" customWidth="1"/>
    <col min="17" max="17" width="14.5703125" style="3" customWidth="1"/>
    <col min="18" max="16384" width="9" style="3"/>
  </cols>
  <sheetData>
    <row r="2" spans="1:16" ht="38.25" customHeight="1" x14ac:dyDescent="0.25">
      <c r="A2" s="11" t="s">
        <v>315</v>
      </c>
      <c r="B2" s="30"/>
      <c r="C2" s="69"/>
      <c r="D2" s="70"/>
      <c r="E2" s="30"/>
      <c r="F2" s="116" t="s">
        <v>91</v>
      </c>
      <c r="G2" s="30"/>
      <c r="H2" s="30"/>
      <c r="I2" s="30"/>
      <c r="J2" s="30"/>
      <c r="K2" s="30"/>
      <c r="L2" s="30"/>
      <c r="M2" s="11"/>
    </row>
    <row r="3" spans="1:16" ht="15" customHeight="1" x14ac:dyDescent="0.25">
      <c r="A3" s="22"/>
      <c r="B3" s="30"/>
      <c r="C3" s="30"/>
      <c r="D3" s="30"/>
      <c r="E3" s="30"/>
      <c r="F3" s="30"/>
      <c r="G3" s="30"/>
      <c r="H3" s="30"/>
      <c r="I3" s="30"/>
      <c r="J3" s="30"/>
      <c r="K3" s="30"/>
      <c r="L3" s="30"/>
      <c r="M3" s="11"/>
    </row>
    <row r="4" spans="1:16" x14ac:dyDescent="0.25">
      <c r="A4" s="10" t="s">
        <v>19</v>
      </c>
      <c r="B4" s="26">
        <v>0</v>
      </c>
      <c r="C4" s="26">
        <v>1</v>
      </c>
      <c r="D4" s="26">
        <v>2</v>
      </c>
      <c r="E4" s="26">
        <v>3</v>
      </c>
      <c r="F4" s="26">
        <v>4</v>
      </c>
      <c r="G4" s="26">
        <v>5</v>
      </c>
      <c r="H4" s="26">
        <v>6</v>
      </c>
      <c r="I4" s="26">
        <v>7</v>
      </c>
      <c r="J4" s="26">
        <v>8</v>
      </c>
      <c r="K4" s="26">
        <v>9</v>
      </c>
      <c r="L4" s="26">
        <v>10</v>
      </c>
      <c r="M4" s="26">
        <v>11</v>
      </c>
      <c r="N4" s="26">
        <v>12</v>
      </c>
      <c r="O4" s="26">
        <v>13</v>
      </c>
      <c r="P4" s="26">
        <v>14</v>
      </c>
    </row>
    <row r="5" spans="1:16" x14ac:dyDescent="0.25">
      <c r="A5" s="23" t="s">
        <v>3</v>
      </c>
    </row>
    <row r="6" spans="1:16" x14ac:dyDescent="0.25">
      <c r="A6" s="10" t="s">
        <v>174</v>
      </c>
      <c r="B6" s="31">
        <f>'Eco Assumption_Goat'!D11*'Eco Assumption_Goat'!D176*'Eco Assumption_Goat'!D177*'Eco Assumption_Goat'!D177*(1+'Eco Assumption_Goat'!D178)^'Eco Assumption_Goat'!D175</f>
        <v>0</v>
      </c>
      <c r="C6" s="31">
        <v>0</v>
      </c>
      <c r="D6" s="31">
        <f>'Eco Assumption_Goat'!F11*'Eco Assumption_Goat'!F176*'Eco Assumption_Goat'!F177*(1+'Eco Assumption_Goat'!F178)^'Eco Assumption_Goat'!F175</f>
        <v>1943290.5</v>
      </c>
      <c r="E6" s="188">
        <f>'Eco Assumption_Goat'!G11*'Eco Assumption_Goat'!G176*'Eco Assumption_Goat'!G177*(1+'Eco Assumption_Goat'!G178)^'Eco Assumption_Goat'!G175*(1+'Eco Assumption_Goat'!$X151)</f>
        <v>2446861.8448999999</v>
      </c>
      <c r="F6" s="31">
        <f>'Eco Assumption_Goat'!H11*'Eco Assumption_Goat'!H176*'Eco Assumption_Goat'!H177*(1+'Eco Assumption_Goat'!H178)^'Eco Assumption_Goat'!H175</f>
        <v>4625484.8244500002</v>
      </c>
      <c r="G6" s="31">
        <f>'Eco Assumption_Goat'!I11*'Eco Assumption_Goat'!I176*'Eco Assumption_Goat'!I177*(1+'Eco Assumption_Goat'!I178)^'Eco Assumption_Goat'!I175</f>
        <v>5339131.0545079997</v>
      </c>
      <c r="H6" s="188">
        <f>'Eco Assumption_Goat'!J11*'Eco Assumption_Goat'!J176*'Eco Assumption_Goat'!J177*(1+'Eco Assumption_Goat'!J178)^'Eco Assumption_Goat'!J175*(1+'Eco Assumption_Goat'!$X151)</f>
        <v>4033606.7290597041</v>
      </c>
      <c r="I6" s="31">
        <f>'Eco Assumption_Goat'!K11*'Eco Assumption_Goat'!K176*'Eco Assumption_Goat'!K177*(1+'Eco Assumption_Goat'!K178)^'Eco Assumption_Goat'!K175</f>
        <v>5446447.58870361</v>
      </c>
      <c r="J6" s="31">
        <f>'Eco Assumption_Goat'!L11*'Eco Assumption_Goat'!L176*'Eco Assumption_Goat'!L177*(1+'Eco Assumption_Goat'!L178)^'Eco Assumption_Goat'!L175</f>
        <v>5500912.0645906478</v>
      </c>
      <c r="K6" s="188">
        <f>'Eco Assumption_Goat'!M11*'Eco Assumption_Goat'!M176*'Eco Assumption_Goat'!M177*(1+'Eco Assumption_Goat'!M178)^'Eco Assumption_Goat'!M175*(1+'Eco Assumption_Goat'!$X151)</f>
        <v>4155829.0465569426</v>
      </c>
      <c r="L6" s="31">
        <f>'Eco Assumption_Goat'!N11*'Eco Assumption_Goat'!N176*'Eco Assumption_Goat'!N177*(1+'Eco Assumption_Goat'!N178)^'Eco Assumption_Goat'!N175</f>
        <v>4910045.3474528054</v>
      </c>
      <c r="M6" s="31">
        <f>'Eco Assumption_Goat'!O11*'Eco Assumption_Goat'!O176*'Eco Assumption_Goat'!O177*(1+'Eco Assumption_Goat'!O178)^'Eco Assumption_Goat'!O175</f>
        <v>3542247.0006623799</v>
      </c>
      <c r="N6" s="188">
        <f>'Eco Assumption_Goat'!P11*'Eco Assumption_Goat'!P176*'Eco Assumption_Goat'!P177*(1+'Eco Assumption_Goat'!P178)^'Eco Assumption_Goat'!P175*(1+'Eco Assumption_Goat'!$X151)</f>
        <v>1605658.0584362489</v>
      </c>
      <c r="O6" s="31">
        <f>'Eco Assumption_Goat'!Q11*'Eco Assumption_Goat'!Q176*'Eco Assumption_Goat'!Q177*(1+'Eco Assumption_Goat'!Q178)^'Eco Assumption_Goat'!Q175</f>
        <v>722689.23307513888</v>
      </c>
      <c r="P6" s="31">
        <f>'Eco Assumption_Goat'!R11*'Eco Assumption_Goat'!R176*'Eco Assumption_Goat'!R177*(1+'Eco Assumption_Goat'!R178)^'Eco Assumption_Goat'!R175</f>
        <v>729916.12540589029</v>
      </c>
    </row>
    <row r="7" spans="1:16" x14ac:dyDescent="0.25">
      <c r="A7" s="10" t="s">
        <v>52</v>
      </c>
      <c r="B7" s="31">
        <f>'Eco Assumption_Goat'!D10*'Eco Assumption_Goat'!D179*'Eco Assumption_Goat'!D185</f>
        <v>0</v>
      </c>
      <c r="C7" s="31">
        <f>'Eco Assumption_Goat'!E10*'Eco Assumption_Goat'!E179*'Eco Assumption_Goat'!E185</f>
        <v>0</v>
      </c>
      <c r="D7" s="31">
        <f>'Eco Assumption_Goat'!F10*'Eco Assumption_Goat'!F179*'Eco Assumption_Goat'!F185</f>
        <v>0</v>
      </c>
      <c r="E7" s="31">
        <f>'Eco Assumption_Goat'!G10*'Eco Assumption_Goat'!G179*'Eco Assumption_Goat'!G185</f>
        <v>0</v>
      </c>
      <c r="F7" s="31">
        <f>'Eco Assumption_Goat'!H10*'Eco Assumption_Goat'!H179*'Eco Assumption_Goat'!H185</f>
        <v>0</v>
      </c>
      <c r="G7" s="31">
        <f>'Eco Assumption_Goat'!I10*'Eco Assumption_Goat'!I179*'Eco Assumption_Goat'!I185</f>
        <v>0</v>
      </c>
      <c r="H7" s="31">
        <f>'Eco Assumption_Goat'!J10*'Eco Assumption_Goat'!J179*'Eco Assumption_Goat'!J185</f>
        <v>0</v>
      </c>
      <c r="I7" s="31">
        <f>'Eco Assumption_Goat'!K10*'Eco Assumption_Goat'!K179*'Eco Assumption_Goat'!K185</f>
        <v>0</v>
      </c>
      <c r="J7" s="31">
        <f>'Eco Assumption_Goat'!L10*'Eco Assumption_Goat'!L179*'Eco Assumption_Goat'!L185</f>
        <v>0</v>
      </c>
      <c r="K7" s="31">
        <f>'Eco Assumption_Goat'!M10*'Eco Assumption_Goat'!M179*'Eco Assumption_Goat'!M185</f>
        <v>0</v>
      </c>
      <c r="L7" s="31">
        <f>'Eco Assumption_Goat'!N10*'Eco Assumption_Goat'!N179*'Eco Assumption_Goat'!N185</f>
        <v>56000</v>
      </c>
      <c r="M7" s="31">
        <f>'Eco Assumption_Goat'!O10*'Eco Assumption_Goat'!O179*'Eco Assumption_Goat'!O185</f>
        <v>112000</v>
      </c>
      <c r="N7" s="31">
        <f>'Eco Assumption_Goat'!P10*'Eco Assumption_Goat'!P179*'Eco Assumption_Goat'!P185</f>
        <v>106400</v>
      </c>
      <c r="O7" s="31">
        <f>'Eco Assumption_Goat'!Q10*'Eco Assumption_Goat'!Q179*'Eco Assumption_Goat'!Q185</f>
        <v>112000</v>
      </c>
      <c r="P7" s="31">
        <f>'Eco Assumption_Goat'!R10*'Eco Assumption_Goat'!R179*'Eco Assumption_Goat'!R185</f>
        <v>56000</v>
      </c>
    </row>
    <row r="8" spans="1:16" x14ac:dyDescent="0.25">
      <c r="A8" s="10" t="s">
        <v>190</v>
      </c>
      <c r="B8" s="31">
        <f>'Eco Assumption_Goat'!D10*'Eco Assumption_Goat'!D180</f>
        <v>0</v>
      </c>
      <c r="C8" s="31">
        <f>'Eco Assumption_Goat'!E10*'Eco Assumption_Goat'!E180</f>
        <v>0</v>
      </c>
      <c r="D8" s="31">
        <f>'Eco Assumption_Goat'!F10*'Eco Assumption_Goat'!F180</f>
        <v>0</v>
      </c>
      <c r="E8" s="31">
        <f>'Eco Assumption_Goat'!G10*'Eco Assumption_Goat'!G180</f>
        <v>0</v>
      </c>
      <c r="F8" s="31">
        <f>'Eco Assumption_Goat'!H10*'Eco Assumption_Goat'!H180</f>
        <v>0</v>
      </c>
      <c r="G8" s="31">
        <f>'Eco Assumption_Goat'!I10*'Eco Assumption_Goat'!I180</f>
        <v>0</v>
      </c>
      <c r="H8" s="31">
        <f>'Eco Assumption_Goat'!J10*'Eco Assumption_Goat'!J180</f>
        <v>0</v>
      </c>
      <c r="I8" s="31">
        <f>'Eco Assumption_Goat'!K10*'Eco Assumption_Goat'!K180</f>
        <v>0</v>
      </c>
      <c r="J8" s="31">
        <f>'Eco Assumption_Goat'!L10*'Eco Assumption_Goat'!L180</f>
        <v>0</v>
      </c>
      <c r="K8" s="188">
        <f>'Eco Assumption_Goat'!M10*'Eco Assumption_Goat'!M180</f>
        <v>0</v>
      </c>
      <c r="L8" s="31">
        <f>'Eco Assumption_Goat'!N10*'Eco Assumption_Goat'!N180</f>
        <v>412500</v>
      </c>
      <c r="M8" s="31">
        <f>'Eco Assumption_Goat'!O10*'Eco Assumption_Goat'!O180</f>
        <v>825000</v>
      </c>
      <c r="N8" s="188">
        <f>'Eco Assumption_Goat'!P10*'Eco Assumption_Goat'!P180</f>
        <v>825000</v>
      </c>
      <c r="O8" s="31">
        <f>'Eco Assumption_Goat'!Q10*'Eco Assumption_Goat'!Q180</f>
        <v>825000</v>
      </c>
      <c r="P8" s="31">
        <f>'Eco Assumption_Goat'!R10*'Eco Assumption_Goat'!R180</f>
        <v>412500</v>
      </c>
    </row>
    <row r="9" spans="1:16" s="12" customFormat="1" x14ac:dyDescent="0.25">
      <c r="A9" s="23" t="s">
        <v>53</v>
      </c>
      <c r="B9" s="38">
        <f>B6+B7+B8</f>
        <v>0</v>
      </c>
      <c r="C9" s="38">
        <f t="shared" ref="C9:P9" si="0">C6+C7+C8</f>
        <v>0</v>
      </c>
      <c r="D9" s="38">
        <f t="shared" si="0"/>
        <v>1943290.5</v>
      </c>
      <c r="E9" s="38">
        <f t="shared" si="0"/>
        <v>2446861.8448999999</v>
      </c>
      <c r="F9" s="38">
        <f t="shared" si="0"/>
        <v>4625484.8244500002</v>
      </c>
      <c r="G9" s="38">
        <f t="shared" si="0"/>
        <v>5339131.0545079997</v>
      </c>
      <c r="H9" s="38">
        <f t="shared" si="0"/>
        <v>4033606.7290597041</v>
      </c>
      <c r="I9" s="38">
        <f t="shared" si="0"/>
        <v>5446447.58870361</v>
      </c>
      <c r="J9" s="38">
        <f t="shared" si="0"/>
        <v>5500912.0645906478</v>
      </c>
      <c r="K9" s="38">
        <f t="shared" si="0"/>
        <v>4155829.0465569426</v>
      </c>
      <c r="L9" s="38">
        <f t="shared" si="0"/>
        <v>5378545.3474528054</v>
      </c>
      <c r="M9" s="38">
        <f t="shared" si="0"/>
        <v>4479247.0006623799</v>
      </c>
      <c r="N9" s="38">
        <f t="shared" si="0"/>
        <v>2537058.0584362489</v>
      </c>
      <c r="O9" s="38">
        <f t="shared" si="0"/>
        <v>1659689.2330751389</v>
      </c>
      <c r="P9" s="38">
        <f t="shared" si="0"/>
        <v>1198416.1254058904</v>
      </c>
    </row>
    <row r="10" spans="1:16" x14ac:dyDescent="0.25">
      <c r="A10" s="23"/>
      <c r="B10" s="41"/>
      <c r="C10" s="41"/>
      <c r="D10" s="41"/>
      <c r="E10" s="41"/>
      <c r="F10" s="41"/>
      <c r="G10" s="41"/>
      <c r="H10" s="41"/>
      <c r="I10" s="41"/>
      <c r="J10" s="41"/>
      <c r="K10" s="41"/>
    </row>
    <row r="11" spans="1:16" x14ac:dyDescent="0.25">
      <c r="A11" s="23" t="s">
        <v>20</v>
      </c>
    </row>
    <row r="12" spans="1:16" x14ac:dyDescent="0.25">
      <c r="A12" s="9" t="str">
        <f>'Eco Assumption_Goat'!B185</f>
        <v>Slated House Construction</v>
      </c>
      <c r="B12" s="33">
        <f>'Eco Assumption_Goat'!D9*'Eco Assumption_Goat'!D185</f>
        <v>0</v>
      </c>
      <c r="C12" s="33">
        <f>'Eco Assumption_Goat'!E9*'Eco Assumption_Goat'!E185</f>
        <v>280000</v>
      </c>
      <c r="D12" s="33">
        <f>'Eco Assumption_Goat'!F9*'Eco Assumption_Goat'!F185</f>
        <v>560000</v>
      </c>
      <c r="E12" s="33">
        <f>'Eco Assumption_Goat'!G9*'Eco Assumption_Goat'!G185</f>
        <v>560000</v>
      </c>
      <c r="F12" s="33">
        <f>'Eco Assumption_Goat'!H9*'Eco Assumption_Goat'!H185</f>
        <v>560000</v>
      </c>
      <c r="G12" s="33">
        <f>'Eco Assumption_Goat'!I9*'Eco Assumption_Goat'!I185</f>
        <v>280000</v>
      </c>
      <c r="H12" s="33">
        <f>'Eco Assumption_Goat'!J9*'Eco Assumption_Goat'!J185</f>
        <v>0</v>
      </c>
      <c r="I12" s="33">
        <f>'Eco Assumption_Goat'!K9*'Eco Assumption_Goat'!K185</f>
        <v>0</v>
      </c>
      <c r="J12" s="33">
        <f>'Eco Assumption_Goat'!L9*'Eco Assumption_Goat'!L185</f>
        <v>0</v>
      </c>
      <c r="K12" s="33">
        <f>'Eco Assumption_Goat'!M9*'Eco Assumption_Goat'!M185</f>
        <v>0</v>
      </c>
      <c r="L12" s="33">
        <f>'Eco Assumption_Goat'!N9*'Eco Assumption_Goat'!N185</f>
        <v>0</v>
      </c>
      <c r="M12" s="33">
        <f>'Eco Assumption_Goat'!O9*'Eco Assumption_Goat'!O185</f>
        <v>0</v>
      </c>
      <c r="N12" s="33">
        <f>'Eco Assumption_Goat'!P9*'Eco Assumption_Goat'!P185</f>
        <v>0</v>
      </c>
      <c r="O12" s="33">
        <f>'Eco Assumption_Goat'!Q9*'Eco Assumption_Goat'!Q185</f>
        <v>0</v>
      </c>
      <c r="P12" s="33">
        <f>'Eco Assumption_Goat'!R9*'Eco Assumption_Goat'!R185</f>
        <v>0</v>
      </c>
    </row>
    <row r="13" spans="1:16" x14ac:dyDescent="0.25">
      <c r="A13" s="9" t="str">
        <f>'Eco Assumption_Goat'!B186</f>
        <v>Mother Goat Purchase</v>
      </c>
      <c r="B13" s="33">
        <f>'Eco Assumption_Goat'!D9*'Eco Assumption_Goat'!D186</f>
        <v>0</v>
      </c>
      <c r="C13" s="33">
        <f>'Eco Assumption_Goat'!E9*'Eco Assumption_Goat'!E186</f>
        <v>375000</v>
      </c>
      <c r="D13" s="33">
        <f>'Eco Assumption_Goat'!F9*'Eco Assumption_Goat'!F186</f>
        <v>750000</v>
      </c>
      <c r="E13" s="33">
        <f>'Eco Assumption_Goat'!G9*'Eco Assumption_Goat'!G186</f>
        <v>750000</v>
      </c>
      <c r="F13" s="33">
        <f>'Eco Assumption_Goat'!H9*'Eco Assumption_Goat'!H186</f>
        <v>750000</v>
      </c>
      <c r="G13" s="33">
        <f>'Eco Assumption_Goat'!I9*'Eco Assumption_Goat'!I186</f>
        <v>375000</v>
      </c>
      <c r="H13" s="33">
        <f>'Eco Assumption_Goat'!J9*'Eco Assumption_Goat'!J186</f>
        <v>0</v>
      </c>
      <c r="I13" s="33">
        <f>'Eco Assumption_Goat'!K9*'Eco Assumption_Goat'!K186</f>
        <v>0</v>
      </c>
      <c r="J13" s="33">
        <f>'Eco Assumption_Goat'!L9*'Eco Assumption_Goat'!L186</f>
        <v>0</v>
      </c>
      <c r="K13" s="33">
        <f>'Eco Assumption_Goat'!M9*'Eco Assumption_Goat'!M186</f>
        <v>0</v>
      </c>
      <c r="L13" s="33">
        <f>'Eco Assumption_Goat'!N9*'Eco Assumption_Goat'!N186</f>
        <v>0</v>
      </c>
      <c r="M13" s="33">
        <f>'Eco Assumption_Goat'!O9*'Eco Assumption_Goat'!O186</f>
        <v>0</v>
      </c>
      <c r="N13" s="33">
        <f>'Eco Assumption_Goat'!P9*'Eco Assumption_Goat'!P186</f>
        <v>0</v>
      </c>
      <c r="O13" s="33">
        <f>'Eco Assumption_Goat'!Q9*'Eco Assumption_Goat'!Q186</f>
        <v>0</v>
      </c>
      <c r="P13" s="33">
        <f>'Eco Assumption_Goat'!R9*'Eco Assumption_Goat'!R186</f>
        <v>0</v>
      </c>
    </row>
    <row r="14" spans="1:16" x14ac:dyDescent="0.25">
      <c r="A14" s="9" t="str">
        <f>'Eco Assumption_Goat'!B187</f>
        <v>Maintenance Cost</v>
      </c>
      <c r="B14" s="33">
        <f>'Eco Assumption_Goat'!D11*'Eco Assumption_Goat'!D187</f>
        <v>0</v>
      </c>
      <c r="C14" s="33">
        <v>0</v>
      </c>
      <c r="D14" s="33">
        <f>'Eco Assumption_Goat'!F11*'Eco Assumption_Goat'!F187</f>
        <v>90000</v>
      </c>
      <c r="E14" s="189">
        <f>'Eco Assumption_Goat'!G11*'Eco Assumption_Goat'!G187*(1+'Eco Assumption_Goat'!$X161)</f>
        <v>173250.00000000006</v>
      </c>
      <c r="F14" s="33">
        <f>'Eco Assumption_Goat'!H11*'Eco Assumption_Goat'!H187</f>
        <v>210000</v>
      </c>
      <c r="G14" s="33">
        <f>'Eco Assumption_Goat'!I11*'Eco Assumption_Goat'!I187</f>
        <v>240000</v>
      </c>
      <c r="H14" s="189">
        <f>'Eco Assumption_Goat'!J11*'Eco Assumption_Goat'!J187*(1+'Eco Assumption_Goat'!$X161)</f>
        <v>277200.00000000006</v>
      </c>
      <c r="I14" s="33">
        <f>'Eco Assumption_Goat'!K11*'Eco Assumption_Goat'!K187</f>
        <v>240000</v>
      </c>
      <c r="J14" s="33">
        <f>'Eco Assumption_Goat'!L11*'Eco Assumption_Goat'!L187</f>
        <v>240000</v>
      </c>
      <c r="K14" s="189">
        <f>'Eco Assumption_Goat'!M11*'Eco Assumption_Goat'!M187*(1+'Eco Assumption_Goat'!$X161)</f>
        <v>277200.00000000006</v>
      </c>
      <c r="L14" s="33">
        <f>'Eco Assumption_Goat'!N11*'Eco Assumption_Goat'!N187</f>
        <v>210000</v>
      </c>
      <c r="M14" s="33">
        <f>'Eco Assumption_Goat'!O11*'Eco Assumption_Goat'!O187</f>
        <v>150000</v>
      </c>
      <c r="N14" s="189">
        <f>'Eco Assumption_Goat'!P11*'Eco Assumption_Goat'!P187*(1+'Eco Assumption_Goat'!$X161)</f>
        <v>103950.00000000003</v>
      </c>
      <c r="O14" s="33">
        <f>'Eco Assumption_Goat'!Q11*'Eco Assumption_Goat'!Q187</f>
        <v>30000</v>
      </c>
      <c r="P14" s="33">
        <f>'Eco Assumption_Goat'!R11*'Eco Assumption_Goat'!R187</f>
        <v>30000</v>
      </c>
    </row>
    <row r="15" spans="1:16" x14ac:dyDescent="0.25">
      <c r="A15" s="109" t="str">
        <f>'Eco Assumption_Goat'!B188</f>
        <v>Medicine</v>
      </c>
      <c r="B15" s="33">
        <f>'Eco Assumption_Goat'!D11*'Eco Assumption_Goat'!D188</f>
        <v>0</v>
      </c>
      <c r="C15" s="33">
        <f>'Eco Assumption_Goat'!E11*'Eco Assumption_Goat'!E188</f>
        <v>50595.454545454544</v>
      </c>
      <c r="D15" s="33">
        <f>'Eco Assumption_Goat'!F11*'Eco Assumption_Goat'!F188</f>
        <v>151786.36363636365</v>
      </c>
      <c r="E15" s="189">
        <f>'Eco Assumption_Goat'!G11*'Eco Assumption_Goat'!G188*(1+'Eco Assumption_Goat'!$X162)</f>
        <v>294971.50000000006</v>
      </c>
      <c r="F15" s="33">
        <f>'Eco Assumption_Goat'!H11*'Eco Assumption_Goat'!H188</f>
        <v>354168.18181818182</v>
      </c>
      <c r="G15" s="33">
        <f>'Eco Assumption_Goat'!I11*'Eco Assumption_Goat'!I188</f>
        <v>404763.63636363635</v>
      </c>
      <c r="H15" s="189">
        <f>'Eco Assumption_Goat'!J11*'Eco Assumption_Goat'!J188*(1+'Eco Assumption_Goat'!$X162)</f>
        <v>471954.4</v>
      </c>
      <c r="I15" s="33">
        <f>'Eco Assumption_Goat'!K11*'Eco Assumption_Goat'!K188</f>
        <v>404763.63636363635</v>
      </c>
      <c r="J15" s="33">
        <f>'Eco Assumption_Goat'!L11*'Eco Assumption_Goat'!L188</f>
        <v>404763.63636363635</v>
      </c>
      <c r="K15" s="189">
        <f>'Eco Assumption_Goat'!M11*'Eco Assumption_Goat'!M188*(1+'Eco Assumption_Goat'!$X162)</f>
        <v>471954.4</v>
      </c>
      <c r="L15" s="33">
        <f>'Eco Assumption_Goat'!N11*'Eco Assumption_Goat'!N188</f>
        <v>354168.18181818182</v>
      </c>
      <c r="M15" s="33">
        <f>'Eco Assumption_Goat'!O11*'Eco Assumption_Goat'!O188</f>
        <v>252977.27272727274</v>
      </c>
      <c r="N15" s="189">
        <f>'Eco Assumption_Goat'!P11*'Eco Assumption_Goat'!P188*(1+'Eco Assumption_Goat'!$X162)</f>
        <v>176982.90000000002</v>
      </c>
      <c r="O15" s="33">
        <f>'Eco Assumption_Goat'!Q11*'Eco Assumption_Goat'!Q188</f>
        <v>50595.454545454544</v>
      </c>
      <c r="P15" s="33">
        <f>'Eco Assumption_Goat'!R11*'Eco Assumption_Goat'!R188</f>
        <v>50595.454545454544</v>
      </c>
    </row>
    <row r="16" spans="1:16" x14ac:dyDescent="0.25">
      <c r="A16" s="109" t="s">
        <v>12</v>
      </c>
      <c r="B16" s="33">
        <f>'Eco Assumption_Goat'!D11*'Eco Assumption_Goat'!D189*'Eco Assumption_Goat'!D190*(1+'Eco Assumption_Goat'!D191)^'Eco Assumption_Goat'!D184</f>
        <v>0</v>
      </c>
      <c r="C16" s="33">
        <f>'Eco Assumption_Goat'!E11*'Eco Assumption_Goat'!E189*'Eco Assumption_Goat'!E190*(1+'Eco Assumption_Goat'!E191)^'Eco Assumption_Goat'!E184</f>
        <v>335825</v>
      </c>
      <c r="D16" s="33">
        <f>'Eco Assumption_Goat'!F11*'Eco Assumption_Goat'!F189*'Eco Assumption_Goat'!F190*(1+'Eco Assumption_Goat'!F191)^'Eco Assumption_Goat'!F184</f>
        <v>1017549.75</v>
      </c>
      <c r="E16" s="33">
        <f>'Eco Assumption_Goat'!G11*'Eco Assumption_Goat'!G189*'Eco Assumption_Goat'!G190*(1+'Eco Assumption_Goat'!G191)^'Eco Assumption_Goat'!G184</f>
        <v>1712875.4124999999</v>
      </c>
      <c r="F16" s="33">
        <f>'Eco Assumption_Goat'!H11*'Eco Assumption_Goat'!H189*'Eco Assumption_Goat'!H190*(1+'Eco Assumption_Goat'!H191)^'Eco Assumption_Goat'!H184</f>
        <v>2422005.8332750001</v>
      </c>
      <c r="G16" s="33">
        <f>'Eco Assumption_Goat'!I11*'Eco Assumption_Goat'!I189*'Eco Assumption_Goat'!I190*(1+'Eco Assumption_Goat'!I191)^'Eco Assumption_Goat'!I184</f>
        <v>2795686.7332659997</v>
      </c>
      <c r="H16" s="33">
        <f>'Eco Assumption_Goat'!J11*'Eco Assumption_Goat'!J189*'Eco Assumption_Goat'!J190*(1+'Eco Assumption_Goat'!J191)^'Eco Assumption_Goat'!J184</f>
        <v>2823643.6005986603</v>
      </c>
      <c r="I16" s="33">
        <f>'Eco Assumption_Goat'!K11*'Eco Assumption_Goat'!K189*'Eco Assumption_Goat'!K190*(1+'Eco Assumption_Goat'!K191)^'Eco Assumption_Goat'!K184</f>
        <v>2851880.0366046461</v>
      </c>
      <c r="J16" s="33">
        <f>'Eco Assumption_Goat'!L11*'Eco Assumption_Goat'!L189*'Eco Assumption_Goat'!L190*(1+'Eco Assumption_Goat'!L191)^'Eco Assumption_Goat'!L184</f>
        <v>2880398.8369706934</v>
      </c>
      <c r="K16" s="33">
        <f>'Eco Assumption_Goat'!M11*'Eco Assumption_Goat'!M189*'Eco Assumption_Goat'!M190*(1+'Eco Assumption_Goat'!M191)^'Eco Assumption_Goat'!M184</f>
        <v>2909202.8253404004</v>
      </c>
      <c r="L16" s="33">
        <f>'Eco Assumption_Goat'!N11*'Eco Assumption_Goat'!N189*'Eco Assumption_Goat'!N190*(1+'Eco Assumption_Goat'!N191)^'Eco Assumption_Goat'!N184</f>
        <v>2571007.9968945789</v>
      </c>
      <c r="M16" s="33">
        <f>'Eco Assumption_Goat'!O11*'Eco Assumption_Goat'!O189*'Eco Assumption_Goat'!O190*(1+'Eco Assumption_Goat'!O191)^'Eco Assumption_Goat'!O184</f>
        <v>1854798.6263310888</v>
      </c>
      <c r="N16" s="33">
        <f>'Eco Assumption_Goat'!P11*'Eco Assumption_Goat'!P189*'Eco Assumption_Goat'!P190*(1+'Eco Assumption_Goat'!P191)^'Eco Assumption_Goat'!P184</f>
        <v>1124007.9675566398</v>
      </c>
      <c r="O16" s="33">
        <f>'Eco Assumption_Goat'!Q11*'Eco Assumption_Goat'!Q189*'Eco Assumption_Goat'!Q190*(1+'Eco Assumption_Goat'!Q191)^'Eco Assumption_Goat'!Q184</f>
        <v>378416.01574406878</v>
      </c>
      <c r="P16" s="33">
        <f>'Eco Assumption_Goat'!R11*'Eco Assumption_Goat'!R189*'Eco Assumption_Goat'!R190*(1+'Eco Assumption_Goat'!R191)^'Eco Assumption_Goat'!R184</f>
        <v>382200.17590150947</v>
      </c>
    </row>
    <row r="17" spans="1:17" s="50" customFormat="1" x14ac:dyDescent="0.25">
      <c r="A17" s="52" t="s">
        <v>131</v>
      </c>
      <c r="B17" s="49">
        <f>'Eco Assumption_Goat'!D36</f>
        <v>0</v>
      </c>
      <c r="C17" s="49">
        <f>'Eco Assumption_Goat'!E36</f>
        <v>0</v>
      </c>
      <c r="D17" s="49">
        <f>'Eco Assumption_Goat'!F36</f>
        <v>969400</v>
      </c>
      <c r="E17" s="49">
        <f>'Eco Assumption_Goat'!G36</f>
        <v>1938800</v>
      </c>
      <c r="F17" s="49">
        <f>'Eco Assumption_Goat'!H36</f>
        <v>1938800</v>
      </c>
      <c r="G17" s="49">
        <f>'Eco Assumption_Goat'!I36</f>
        <v>1938800</v>
      </c>
      <c r="H17" s="49">
        <f>'Eco Assumption_Goat'!J36</f>
        <v>969400</v>
      </c>
      <c r="I17" s="49">
        <f>'Eco Assumption_Goat'!K36</f>
        <v>0</v>
      </c>
      <c r="J17" s="49">
        <f>'Eco Assumption_Goat'!L36</f>
        <v>0</v>
      </c>
      <c r="K17" s="49">
        <f>'Eco Assumption_Goat'!M36</f>
        <v>0</v>
      </c>
      <c r="L17" s="49">
        <f>'Eco Assumption_Goat'!N36</f>
        <v>0</v>
      </c>
      <c r="M17" s="49">
        <f>'Eco Assumption_Goat'!O36</f>
        <v>0</v>
      </c>
      <c r="N17" s="49">
        <f>'Eco Assumption_Goat'!P36</f>
        <v>0</v>
      </c>
      <c r="O17" s="49">
        <f>'Eco Assumption_Goat'!Q36</f>
        <v>0</v>
      </c>
      <c r="P17" s="49">
        <f>'Eco Assumption_Goat'!R36</f>
        <v>0</v>
      </c>
    </row>
    <row r="18" spans="1:17" x14ac:dyDescent="0.25">
      <c r="A18" s="117" t="s">
        <v>54</v>
      </c>
      <c r="B18" s="37">
        <f t="shared" ref="B18:P18" si="1">SUM(B12:B17)</f>
        <v>0</v>
      </c>
      <c r="C18" s="37">
        <f t="shared" si="1"/>
        <v>1041420.4545454546</v>
      </c>
      <c r="D18" s="37">
        <f t="shared" si="1"/>
        <v>3538736.1136363638</v>
      </c>
      <c r="E18" s="37">
        <f t="shared" si="1"/>
        <v>5429896.9124999996</v>
      </c>
      <c r="F18" s="37">
        <f t="shared" si="1"/>
        <v>6234974.0150931822</v>
      </c>
      <c r="G18" s="37">
        <f t="shared" si="1"/>
        <v>6034250.3696296364</v>
      </c>
      <c r="H18" s="37">
        <f t="shared" si="1"/>
        <v>4542198.0005986607</v>
      </c>
      <c r="I18" s="37">
        <f t="shared" si="1"/>
        <v>3496643.6729682824</v>
      </c>
      <c r="J18" s="37">
        <f t="shared" si="1"/>
        <v>3525162.4733343297</v>
      </c>
      <c r="K18" s="37">
        <f t="shared" si="1"/>
        <v>3658357.2253404008</v>
      </c>
      <c r="L18" s="37">
        <f t="shared" si="1"/>
        <v>3135176.178712761</v>
      </c>
      <c r="M18" s="37">
        <f t="shared" si="1"/>
        <v>2257775.8990583615</v>
      </c>
      <c r="N18" s="37">
        <f t="shared" si="1"/>
        <v>1404940.8675566399</v>
      </c>
      <c r="O18" s="37">
        <f t="shared" si="1"/>
        <v>459011.47028952331</v>
      </c>
      <c r="P18" s="37">
        <f t="shared" si="1"/>
        <v>462795.630446964</v>
      </c>
    </row>
    <row r="19" spans="1:17" x14ac:dyDescent="0.25">
      <c r="B19" s="32"/>
      <c r="C19" s="32"/>
      <c r="D19" s="32"/>
      <c r="E19" s="32"/>
      <c r="F19" s="32"/>
      <c r="G19" s="32"/>
      <c r="H19" s="32"/>
      <c r="I19" s="32"/>
      <c r="J19" s="32"/>
      <c r="K19" s="32"/>
      <c r="L19" s="32"/>
    </row>
    <row r="20" spans="1:17" x14ac:dyDescent="0.25">
      <c r="A20" s="23" t="s">
        <v>317</v>
      </c>
      <c r="B20" s="34">
        <f t="shared" ref="B20:P20" si="2">B9-B18</f>
        <v>0</v>
      </c>
      <c r="C20" s="34">
        <f t="shared" si="2"/>
        <v>-1041420.4545454546</v>
      </c>
      <c r="D20" s="34">
        <f t="shared" si="2"/>
        <v>-1595445.6136363638</v>
      </c>
      <c r="E20" s="34">
        <f t="shared" si="2"/>
        <v>-2983035.0675999997</v>
      </c>
      <c r="F20" s="34">
        <f t="shared" si="2"/>
        <v>-1609489.190643182</v>
      </c>
      <c r="G20" s="34">
        <f t="shared" si="2"/>
        <v>-695119.31512163673</v>
      </c>
      <c r="H20" s="34">
        <f t="shared" si="2"/>
        <v>-508591.27153895656</v>
      </c>
      <c r="I20" s="34">
        <f t="shared" si="2"/>
        <v>1949803.9157353276</v>
      </c>
      <c r="J20" s="34">
        <f t="shared" si="2"/>
        <v>1975749.5912563181</v>
      </c>
      <c r="K20" s="34">
        <f t="shared" si="2"/>
        <v>497471.82121654181</v>
      </c>
      <c r="L20" s="34">
        <f t="shared" si="2"/>
        <v>2243369.1687400443</v>
      </c>
      <c r="M20" s="34">
        <f t="shared" si="2"/>
        <v>2221471.1016040184</v>
      </c>
      <c r="N20" s="34">
        <f t="shared" si="2"/>
        <v>1132117.190879609</v>
      </c>
      <c r="O20" s="34">
        <f t="shared" si="2"/>
        <v>1200677.7627856156</v>
      </c>
      <c r="P20" s="34">
        <f t="shared" si="2"/>
        <v>735620.49495892646</v>
      </c>
    </row>
    <row r="21" spans="1:17" x14ac:dyDescent="0.25">
      <c r="B21" s="32"/>
      <c r="C21" s="32"/>
      <c r="D21" s="32"/>
      <c r="E21" s="32"/>
      <c r="F21" s="32"/>
      <c r="G21" s="32"/>
      <c r="H21" s="32"/>
      <c r="I21" s="32"/>
      <c r="J21" s="32"/>
      <c r="K21" s="32"/>
      <c r="L21" s="32"/>
    </row>
    <row r="22" spans="1:17" s="12" customFormat="1" x14ac:dyDescent="0.25">
      <c r="A22" s="10" t="s">
        <v>319</v>
      </c>
      <c r="B22" s="39">
        <f>B9/(1+'Eco Assumption_Goat'!$C69)^'Eco RCP 8.5_Goat'!B4</f>
        <v>0</v>
      </c>
      <c r="C22" s="39">
        <f>C9/(1+'Eco Assumption_Goat'!$C69)^'Eco RCP 8.5_Goat'!C4</f>
        <v>0</v>
      </c>
      <c r="D22" s="39">
        <f>D9/(1+'Eco Assumption_Goat'!$C69)^'Eco RCP 8.5_Goat'!D4</f>
        <v>1729521.6269134921</v>
      </c>
      <c r="E22" s="39">
        <f>E9/(1+'Eco Assumption_Goat'!$C69)^'Eco RCP 8.5_Goat'!E4</f>
        <v>2054432.3878940328</v>
      </c>
      <c r="F22" s="39">
        <f>F9/(1+'Eco Assumption_Goat'!$C69)^'Eco RCP 8.5_Goat'!F4</f>
        <v>3663817.2188504725</v>
      </c>
      <c r="G22" s="39">
        <f>G9/(1+'Eco Assumption_Goat'!$C69)^'Eco RCP 8.5_Goat'!G4</f>
        <v>3989709.3164840713</v>
      </c>
      <c r="H22" s="39">
        <f>H9/(1+'Eco Assumption_Goat'!$C69)^'Eco RCP 8.5_Goat'!H4</f>
        <v>2843533.5796390441</v>
      </c>
      <c r="I22" s="39">
        <f>I9/(1+'Eco Assumption_Goat'!$C69)^'Eco RCP 8.5_Goat'!I4</f>
        <v>3622198.7128385548</v>
      </c>
      <c r="J22" s="39">
        <f>J9/(1+'Eco Assumption_Goat'!$C69)^'Eco RCP 8.5_Goat'!J4</f>
        <v>3451340.2829876812</v>
      </c>
      <c r="K22" s="39">
        <f>K9/(1+'Eco Assumption_Goat'!$C69)^'Eco RCP 8.5_Goat'!K4</f>
        <v>2459828.8273505033</v>
      </c>
      <c r="L22" s="39">
        <f>L9/(1+'Eco Assumption_Goat'!$C69)^'Eco RCP 8.5_Goat'!L4</f>
        <v>3003351.6294187545</v>
      </c>
      <c r="M22" s="39">
        <f>M9/(1+'Eco Assumption_Goat'!$C69)^'Eco RCP 8.5_Goat'!M4</f>
        <v>2359611.4430967737</v>
      </c>
      <c r="N22" s="39">
        <f>N9/(1+'Eco Assumption_Goat'!$C69)^'Eco RCP 8.5_Goat'!N4</f>
        <v>1260840.1286589631</v>
      </c>
      <c r="O22" s="39">
        <f>O9/(1+'Eco Assumption_Goat'!$C69)^'Eco RCP 8.5_Goat'!O4</f>
        <v>778127.07726127526</v>
      </c>
      <c r="P22" s="39">
        <f>P9/(1+'Eco Assumption_Goat'!$C69)^'Eco RCP 8.5_Goat'!P4</f>
        <v>530060.60799517634</v>
      </c>
      <c r="Q22" s="343">
        <f>SUM(B22:P22)</f>
        <v>31746372.839388791</v>
      </c>
    </row>
    <row r="23" spans="1:17" s="12" customFormat="1" x14ac:dyDescent="0.25">
      <c r="A23" s="10" t="s">
        <v>320</v>
      </c>
      <c r="B23" s="39">
        <f>B18/(1+'Eco Assumption_Goat'!$C69)^'Eco RCP 8.5_Goat'!B4</f>
        <v>0</v>
      </c>
      <c r="C23" s="39">
        <f>C18/(1+'Eco Assumption_Goat'!$C69)^'Eco RCP 8.5_Goat'!C4</f>
        <v>982472.12692967406</v>
      </c>
      <c r="D23" s="39">
        <f>D18/(1+'Eco Assumption_Goat'!$C69)^'Eco RCP 8.5_Goat'!D4</f>
        <v>3149462.5432861904</v>
      </c>
      <c r="E23" s="39">
        <f>E18/(1+'Eco Assumption_Goat'!$C69)^'Eco RCP 8.5_Goat'!E4</f>
        <v>4559046.1526125576</v>
      </c>
      <c r="F23" s="39">
        <f>F18/(1+'Eco Assumption_Goat'!$C69)^'Eco RCP 8.5_Goat'!F4</f>
        <v>4938683.4078090265</v>
      </c>
      <c r="G23" s="39">
        <f>G18/(1+'Eco Assumption_Goat'!$C69)^'Eco RCP 8.5_Goat'!G4</f>
        <v>4509142.9058257705</v>
      </c>
      <c r="H23" s="39">
        <f>H18/(1+'Eco Assumption_Goat'!$C69)^'Eco RCP 8.5_Goat'!H4</f>
        <v>3202070.3572860491</v>
      </c>
      <c r="I23" s="39">
        <f>I18/(1+'Eco Assumption_Goat'!$C69)^'Eco RCP 8.5_Goat'!I4</f>
        <v>2325467.7485100892</v>
      </c>
      <c r="J23" s="39">
        <f>J18/(1+'Eco Assumption_Goat'!$C69)^'Eco RCP 8.5_Goat'!J4</f>
        <v>2211730.54675991</v>
      </c>
      <c r="K23" s="39">
        <f>K18/(1+'Eco Assumption_Goat'!$C69)^'Eco RCP 8.5_Goat'!K4</f>
        <v>2165376.0207229485</v>
      </c>
      <c r="L23" s="39">
        <f>L18/(1+'Eco Assumption_Goat'!$C69)^'Eco RCP 8.5_Goat'!L4</f>
        <v>1750666.0029019038</v>
      </c>
      <c r="M23" s="39">
        <f>M18/(1+'Eco Assumption_Goat'!$C69)^'Eco RCP 8.5_Goat'!M4</f>
        <v>1189368.1787537956</v>
      </c>
      <c r="N23" s="39">
        <f>N18/(1+'Eco Assumption_Goat'!$C69)^'Eco RCP 8.5_Goat'!N4</f>
        <v>698212.56881294225</v>
      </c>
      <c r="O23" s="39">
        <f>O18/(1+'Eco Assumption_Goat'!$C69)^'Eco RCP 8.5_Goat'!O4</f>
        <v>215202.48892861098</v>
      </c>
      <c r="P23" s="39">
        <f>P18/(1+'Eco Assumption_Goat'!$C69)^'Eco RCP 8.5_Goat'!P4</f>
        <v>204694.9536573909</v>
      </c>
      <c r="Q23" s="343">
        <f>SUM(B23:P23)</f>
        <v>32101596.002796866</v>
      </c>
    </row>
    <row r="24" spans="1:17" x14ac:dyDescent="0.25">
      <c r="B24" s="32"/>
      <c r="C24" s="32"/>
      <c r="D24" s="32"/>
      <c r="E24" s="32"/>
      <c r="F24" s="32"/>
      <c r="G24" s="32"/>
      <c r="H24" s="32"/>
      <c r="I24" s="32"/>
      <c r="J24" s="32"/>
      <c r="K24" s="32"/>
      <c r="L24" s="32"/>
    </row>
    <row r="25" spans="1:17" s="12" customFormat="1" x14ac:dyDescent="0.25">
      <c r="A25" s="25" t="s">
        <v>318</v>
      </c>
      <c r="B25" s="35">
        <f>NPV('Eco Assumption_Goat'!C69,C20:P20)+B20</f>
        <v>-355223.16340806475</v>
      </c>
      <c r="C25" s="40"/>
      <c r="D25" s="40"/>
      <c r="E25" s="40"/>
      <c r="F25" s="40"/>
      <c r="G25" s="40"/>
      <c r="H25" s="40"/>
      <c r="I25" s="40"/>
      <c r="J25" s="40"/>
      <c r="K25" s="40"/>
      <c r="L25" s="40"/>
    </row>
    <row r="27" spans="1:17" s="12" customFormat="1" x14ac:dyDescent="0.25">
      <c r="A27" s="25" t="s">
        <v>238</v>
      </c>
      <c r="B27" s="36">
        <f>IRR(B20:P20)</f>
        <v>5.1988295842635424E-2</v>
      </c>
      <c r="C27" s="4"/>
      <c r="D27" s="4"/>
      <c r="E27" s="4"/>
      <c r="F27" s="4"/>
      <c r="G27" s="4"/>
      <c r="H27" s="4"/>
      <c r="I27" s="4"/>
      <c r="J27" s="4"/>
      <c r="K27" s="4"/>
      <c r="L27" s="4"/>
    </row>
    <row r="30" spans="1:17" s="1" customFormat="1" x14ac:dyDescent="0.25">
      <c r="A30" s="24"/>
      <c r="B30" s="42"/>
      <c r="C30" s="42"/>
      <c r="D30" s="42"/>
      <c r="E30" s="42"/>
      <c r="F30" s="42"/>
      <c r="G30" s="42"/>
      <c r="H30" s="42"/>
      <c r="I30" s="42"/>
      <c r="J30" s="42"/>
      <c r="K30" s="42"/>
      <c r="L30" s="42"/>
    </row>
    <row r="32" spans="1:17" ht="38.25" customHeight="1" x14ac:dyDescent="0.25">
      <c r="A32" s="11" t="str">
        <f>A2</f>
        <v>Aggregate Economic Analysis_Goat Rearing</v>
      </c>
      <c r="B32" s="30"/>
      <c r="C32" s="69"/>
      <c r="D32" s="70"/>
      <c r="E32" s="30"/>
      <c r="F32" s="116" t="s">
        <v>90</v>
      </c>
      <c r="G32" s="30"/>
      <c r="H32" s="30"/>
      <c r="I32" s="30"/>
      <c r="J32" s="30"/>
      <c r="K32" s="30"/>
      <c r="L32" s="30"/>
      <c r="M32" s="11"/>
    </row>
    <row r="33" spans="1:16" ht="38.25" customHeight="1" x14ac:dyDescent="0.25">
      <c r="A33" s="11"/>
      <c r="B33" s="30"/>
      <c r="C33" s="69"/>
      <c r="D33" s="70"/>
      <c r="E33" s="30"/>
      <c r="F33" s="116"/>
      <c r="G33" s="30"/>
      <c r="H33" s="30"/>
      <c r="I33" s="30"/>
      <c r="J33" s="30"/>
      <c r="K33" s="30"/>
      <c r="L33" s="30"/>
      <c r="M33" s="11"/>
    </row>
    <row r="34" spans="1:16" x14ac:dyDescent="0.25">
      <c r="A34" s="10" t="s">
        <v>19</v>
      </c>
      <c r="B34" s="26">
        <v>0</v>
      </c>
      <c r="C34" s="26">
        <v>1</v>
      </c>
      <c r="D34" s="26">
        <v>2</v>
      </c>
      <c r="E34" s="26">
        <v>3</v>
      </c>
      <c r="F34" s="26">
        <v>4</v>
      </c>
      <c r="G34" s="26">
        <v>5</v>
      </c>
      <c r="H34" s="26">
        <v>6</v>
      </c>
      <c r="I34" s="26">
        <v>7</v>
      </c>
      <c r="J34" s="26">
        <v>8</v>
      </c>
      <c r="K34" s="26">
        <v>9</v>
      </c>
      <c r="L34" s="26">
        <v>10</v>
      </c>
      <c r="M34" s="26">
        <v>11</v>
      </c>
      <c r="N34" s="26">
        <v>12</v>
      </c>
      <c r="O34" s="26">
        <v>13</v>
      </c>
      <c r="P34" s="26">
        <v>14</v>
      </c>
    </row>
    <row r="35" spans="1:16" x14ac:dyDescent="0.25">
      <c r="A35" s="23" t="s">
        <v>3</v>
      </c>
    </row>
    <row r="36" spans="1:16" x14ac:dyDescent="0.25">
      <c r="A36" s="10" t="str">
        <f t="shared" ref="A36:P36" si="3">A6</f>
        <v>Goat Sale ($)</v>
      </c>
      <c r="B36" s="31">
        <f t="shared" si="3"/>
        <v>0</v>
      </c>
      <c r="C36" s="31">
        <f t="shared" si="3"/>
        <v>0</v>
      </c>
      <c r="D36" s="31">
        <f t="shared" si="3"/>
        <v>1943290.5</v>
      </c>
      <c r="E36" s="31">
        <f t="shared" si="3"/>
        <v>2446861.8448999999</v>
      </c>
      <c r="F36" s="31">
        <f t="shared" si="3"/>
        <v>4625484.8244500002</v>
      </c>
      <c r="G36" s="31">
        <f t="shared" si="3"/>
        <v>5339131.0545079997</v>
      </c>
      <c r="H36" s="31">
        <f t="shared" si="3"/>
        <v>4033606.7290597041</v>
      </c>
      <c r="I36" s="31">
        <f t="shared" si="3"/>
        <v>5446447.58870361</v>
      </c>
      <c r="J36" s="31">
        <f t="shared" si="3"/>
        <v>5500912.0645906478</v>
      </c>
      <c r="K36" s="31">
        <f t="shared" si="3"/>
        <v>4155829.0465569426</v>
      </c>
      <c r="L36" s="31">
        <f t="shared" si="3"/>
        <v>4910045.3474528054</v>
      </c>
      <c r="M36" s="31">
        <f t="shared" si="3"/>
        <v>3542247.0006623799</v>
      </c>
      <c r="N36" s="31">
        <f t="shared" si="3"/>
        <v>1605658.0584362489</v>
      </c>
      <c r="O36" s="31">
        <f t="shared" si="3"/>
        <v>722689.23307513888</v>
      </c>
      <c r="P36" s="31">
        <f t="shared" si="3"/>
        <v>729916.12540589029</v>
      </c>
    </row>
    <row r="37" spans="1:16" x14ac:dyDescent="0.25">
      <c r="A37" s="10" t="str">
        <f t="shared" ref="A37:P37" si="4">A7</f>
        <v>Residual ($)</v>
      </c>
      <c r="B37" s="31">
        <f t="shared" si="4"/>
        <v>0</v>
      </c>
      <c r="C37" s="31">
        <f t="shared" si="4"/>
        <v>0</v>
      </c>
      <c r="D37" s="31">
        <f t="shared" si="4"/>
        <v>0</v>
      </c>
      <c r="E37" s="31">
        <f t="shared" si="4"/>
        <v>0</v>
      </c>
      <c r="F37" s="31">
        <f t="shared" si="4"/>
        <v>0</v>
      </c>
      <c r="G37" s="31">
        <f t="shared" si="4"/>
        <v>0</v>
      </c>
      <c r="H37" s="31">
        <f t="shared" si="4"/>
        <v>0</v>
      </c>
      <c r="I37" s="31">
        <f t="shared" si="4"/>
        <v>0</v>
      </c>
      <c r="J37" s="31">
        <f t="shared" si="4"/>
        <v>0</v>
      </c>
      <c r="K37" s="31">
        <f t="shared" si="4"/>
        <v>0</v>
      </c>
      <c r="L37" s="31">
        <f t="shared" si="4"/>
        <v>56000</v>
      </c>
      <c r="M37" s="31">
        <f t="shared" si="4"/>
        <v>112000</v>
      </c>
      <c r="N37" s="31">
        <f t="shared" si="4"/>
        <v>106400</v>
      </c>
      <c r="O37" s="31">
        <f t="shared" si="4"/>
        <v>112000</v>
      </c>
      <c r="P37" s="31">
        <f t="shared" si="4"/>
        <v>56000</v>
      </c>
    </row>
    <row r="38" spans="1:16" x14ac:dyDescent="0.25">
      <c r="A38" s="10" t="str">
        <f t="shared" ref="A38:P38" si="5">A8</f>
        <v>Mother Goat Sale ($)</v>
      </c>
      <c r="B38" s="31">
        <f t="shared" si="5"/>
        <v>0</v>
      </c>
      <c r="C38" s="31">
        <f t="shared" si="5"/>
        <v>0</v>
      </c>
      <c r="D38" s="31">
        <f t="shared" si="5"/>
        <v>0</v>
      </c>
      <c r="E38" s="31">
        <f t="shared" si="5"/>
        <v>0</v>
      </c>
      <c r="F38" s="31">
        <f t="shared" si="5"/>
        <v>0</v>
      </c>
      <c r="G38" s="31">
        <f t="shared" si="5"/>
        <v>0</v>
      </c>
      <c r="H38" s="31">
        <f t="shared" si="5"/>
        <v>0</v>
      </c>
      <c r="I38" s="31">
        <f t="shared" si="5"/>
        <v>0</v>
      </c>
      <c r="J38" s="31">
        <f t="shared" si="5"/>
        <v>0</v>
      </c>
      <c r="K38" s="31">
        <f t="shared" si="5"/>
        <v>0</v>
      </c>
      <c r="L38" s="31">
        <f t="shared" si="5"/>
        <v>412500</v>
      </c>
      <c r="M38" s="31">
        <f t="shared" si="5"/>
        <v>825000</v>
      </c>
      <c r="N38" s="31">
        <f t="shared" si="5"/>
        <v>825000</v>
      </c>
      <c r="O38" s="31">
        <f t="shared" si="5"/>
        <v>825000</v>
      </c>
      <c r="P38" s="31">
        <f t="shared" si="5"/>
        <v>412500</v>
      </c>
    </row>
    <row r="39" spans="1:16" s="377" customFormat="1" ht="30" x14ac:dyDescent="0.25">
      <c r="A39" s="376" t="str">
        <f>'Eco BaU_Goat'!A39</f>
        <v>Consumption of Goat Milk by Familty memebers</v>
      </c>
      <c r="B39" s="136">
        <f>'Eco BaU_Goat'!B39</f>
        <v>0</v>
      </c>
      <c r="C39" s="136">
        <f>'Eco BaU_Goat'!C39</f>
        <v>9000</v>
      </c>
      <c r="D39" s="136">
        <f>'Eco BaU_Goat'!D39</f>
        <v>27000</v>
      </c>
      <c r="E39" s="136">
        <f>'Eco BaU_Goat'!E39</f>
        <v>45000</v>
      </c>
      <c r="F39" s="136">
        <f>'Eco BaU_Goat'!F39</f>
        <v>63000</v>
      </c>
      <c r="G39" s="136">
        <f>'Eco BaU_Goat'!G39</f>
        <v>72000</v>
      </c>
      <c r="H39" s="136">
        <f>'Eco BaU_Goat'!H39</f>
        <v>72000</v>
      </c>
      <c r="I39" s="136">
        <f>'Eco BaU_Goat'!I39</f>
        <v>72000</v>
      </c>
      <c r="J39" s="136">
        <f>'Eco BaU_Goat'!J39</f>
        <v>72000</v>
      </c>
      <c r="K39" s="136">
        <f>'Eco BaU_Goat'!K39</f>
        <v>72000</v>
      </c>
      <c r="L39" s="136">
        <f>'Eco BaU_Goat'!L39</f>
        <v>63000</v>
      </c>
      <c r="M39" s="136">
        <f>'Eco BaU_Goat'!M39</f>
        <v>45000</v>
      </c>
      <c r="N39" s="136">
        <f>'Eco BaU_Goat'!N39</f>
        <v>27000</v>
      </c>
      <c r="O39" s="136">
        <f>'Eco BaU_Goat'!O39</f>
        <v>9000</v>
      </c>
      <c r="P39" s="136">
        <f>'Eco BaU_Goat'!P39</f>
        <v>9000</v>
      </c>
    </row>
    <row r="40" spans="1:16" s="377" customFormat="1" x14ac:dyDescent="0.25">
      <c r="A40" s="376" t="str">
        <f>'Eco BaU_Goat'!A40</f>
        <v>Social benefit from export of goat leather</v>
      </c>
      <c r="B40" s="136">
        <f>'Eco BaU_Goat'!B40</f>
        <v>0</v>
      </c>
      <c r="C40" s="136">
        <f>'Eco BaU_Goat'!C40</f>
        <v>75000</v>
      </c>
      <c r="D40" s="136">
        <f>'Eco BaU_Goat'!D40</f>
        <v>225000</v>
      </c>
      <c r="E40" s="136">
        <f>'Eco BaU_Goat'!E40</f>
        <v>375000</v>
      </c>
      <c r="F40" s="136">
        <f>'Eco BaU_Goat'!F40</f>
        <v>525000</v>
      </c>
      <c r="G40" s="136">
        <f>'Eco BaU_Goat'!G40</f>
        <v>600000</v>
      </c>
      <c r="H40" s="136">
        <f>'Eco BaU_Goat'!H40</f>
        <v>600000</v>
      </c>
      <c r="I40" s="136">
        <f>'Eco BaU_Goat'!I40</f>
        <v>600000</v>
      </c>
      <c r="J40" s="136">
        <f>'Eco BaU_Goat'!J40</f>
        <v>600000</v>
      </c>
      <c r="K40" s="136">
        <f>'Eco BaU_Goat'!K40</f>
        <v>600000</v>
      </c>
      <c r="L40" s="136">
        <f>'Eco BaU_Goat'!L40</f>
        <v>525000</v>
      </c>
      <c r="M40" s="136">
        <f>'Eco BaU_Goat'!M40</f>
        <v>375000</v>
      </c>
      <c r="N40" s="136">
        <f>'Eco BaU_Goat'!N40</f>
        <v>225000</v>
      </c>
      <c r="O40" s="136">
        <f>'Eco BaU_Goat'!O40</f>
        <v>75000</v>
      </c>
      <c r="P40" s="136">
        <f>'Eco BaU_Goat'!P40</f>
        <v>75000</v>
      </c>
    </row>
    <row r="41" spans="1:16" s="12" customFormat="1" x14ac:dyDescent="0.25">
      <c r="A41" s="23" t="s">
        <v>53</v>
      </c>
      <c r="B41" s="38">
        <f>B36+B37+B38+B39+B40</f>
        <v>0</v>
      </c>
      <c r="C41" s="38">
        <f t="shared" ref="C41:P41" si="6">C36+C37+C38+C39+C40</f>
        <v>84000</v>
      </c>
      <c r="D41" s="38">
        <f t="shared" si="6"/>
        <v>2195290.5</v>
      </c>
      <c r="E41" s="38">
        <f t="shared" si="6"/>
        <v>2866861.8448999999</v>
      </c>
      <c r="F41" s="38">
        <f t="shared" si="6"/>
        <v>5213484.8244500002</v>
      </c>
      <c r="G41" s="38">
        <f t="shared" si="6"/>
        <v>6011131.0545079997</v>
      </c>
      <c r="H41" s="38">
        <f t="shared" si="6"/>
        <v>4705606.7290597036</v>
      </c>
      <c r="I41" s="38">
        <f t="shared" si="6"/>
        <v>6118447.58870361</v>
      </c>
      <c r="J41" s="38">
        <f t="shared" si="6"/>
        <v>6172912.0645906478</v>
      </c>
      <c r="K41" s="38">
        <f t="shared" si="6"/>
        <v>4827829.0465569422</v>
      </c>
      <c r="L41" s="38">
        <f t="shared" si="6"/>
        <v>5966545.3474528054</v>
      </c>
      <c r="M41" s="38">
        <f t="shared" si="6"/>
        <v>4899247.0006623799</v>
      </c>
      <c r="N41" s="38">
        <f t="shared" si="6"/>
        <v>2789058.0584362489</v>
      </c>
      <c r="O41" s="38">
        <f t="shared" si="6"/>
        <v>1743689.2330751389</v>
      </c>
      <c r="P41" s="38">
        <f t="shared" si="6"/>
        <v>1282416.1254058904</v>
      </c>
    </row>
    <row r="42" spans="1:16" x14ac:dyDescent="0.25">
      <c r="A42" s="23"/>
      <c r="B42" s="41"/>
      <c r="C42" s="41"/>
      <c r="D42" s="41"/>
      <c r="E42" s="41"/>
      <c r="F42" s="41"/>
      <c r="G42" s="41"/>
      <c r="H42" s="41"/>
      <c r="I42" s="41"/>
      <c r="J42" s="41"/>
      <c r="K42" s="41"/>
    </row>
    <row r="43" spans="1:16" x14ac:dyDescent="0.25">
      <c r="A43" s="23" t="s">
        <v>20</v>
      </c>
    </row>
    <row r="44" spans="1:16" x14ac:dyDescent="0.25">
      <c r="A44" s="9" t="str">
        <f t="shared" ref="A44:P44" si="7">A12</f>
        <v>Slated House Construction</v>
      </c>
      <c r="B44" s="33">
        <f t="shared" si="7"/>
        <v>0</v>
      </c>
      <c r="C44" s="33">
        <f t="shared" si="7"/>
        <v>280000</v>
      </c>
      <c r="D44" s="33">
        <f t="shared" si="7"/>
        <v>560000</v>
      </c>
      <c r="E44" s="33">
        <f t="shared" si="7"/>
        <v>560000</v>
      </c>
      <c r="F44" s="33">
        <f t="shared" si="7"/>
        <v>560000</v>
      </c>
      <c r="G44" s="33">
        <f t="shared" si="7"/>
        <v>280000</v>
      </c>
      <c r="H44" s="33">
        <f t="shared" si="7"/>
        <v>0</v>
      </c>
      <c r="I44" s="33">
        <f t="shared" si="7"/>
        <v>0</v>
      </c>
      <c r="J44" s="33">
        <f t="shared" si="7"/>
        <v>0</v>
      </c>
      <c r="K44" s="33">
        <f t="shared" si="7"/>
        <v>0</v>
      </c>
      <c r="L44" s="33">
        <f t="shared" si="7"/>
        <v>0</v>
      </c>
      <c r="M44" s="33">
        <f t="shared" si="7"/>
        <v>0</v>
      </c>
      <c r="N44" s="33">
        <f t="shared" si="7"/>
        <v>0</v>
      </c>
      <c r="O44" s="33">
        <f t="shared" si="7"/>
        <v>0</v>
      </c>
      <c r="P44" s="33">
        <f t="shared" si="7"/>
        <v>0</v>
      </c>
    </row>
    <row r="45" spans="1:16" x14ac:dyDescent="0.25">
      <c r="A45" s="9" t="str">
        <f t="shared" ref="A45:P45" si="8">A13</f>
        <v>Mother Goat Purchase</v>
      </c>
      <c r="B45" s="33">
        <f t="shared" si="8"/>
        <v>0</v>
      </c>
      <c r="C45" s="33">
        <f t="shared" si="8"/>
        <v>375000</v>
      </c>
      <c r="D45" s="33">
        <f t="shared" si="8"/>
        <v>750000</v>
      </c>
      <c r="E45" s="33">
        <f t="shared" si="8"/>
        <v>750000</v>
      </c>
      <c r="F45" s="33">
        <f t="shared" si="8"/>
        <v>750000</v>
      </c>
      <c r="G45" s="33">
        <f t="shared" si="8"/>
        <v>375000</v>
      </c>
      <c r="H45" s="33">
        <f t="shared" si="8"/>
        <v>0</v>
      </c>
      <c r="I45" s="33">
        <f t="shared" si="8"/>
        <v>0</v>
      </c>
      <c r="J45" s="33">
        <f t="shared" si="8"/>
        <v>0</v>
      </c>
      <c r="K45" s="33">
        <f t="shared" si="8"/>
        <v>0</v>
      </c>
      <c r="L45" s="33">
        <f t="shared" si="8"/>
        <v>0</v>
      </c>
      <c r="M45" s="33">
        <f t="shared" si="8"/>
        <v>0</v>
      </c>
      <c r="N45" s="33">
        <f t="shared" si="8"/>
        <v>0</v>
      </c>
      <c r="O45" s="33">
        <f t="shared" si="8"/>
        <v>0</v>
      </c>
      <c r="P45" s="33">
        <f t="shared" si="8"/>
        <v>0</v>
      </c>
    </row>
    <row r="46" spans="1:16" x14ac:dyDescent="0.25">
      <c r="A46" s="9" t="str">
        <f t="shared" ref="A46:P46" si="9">A14</f>
        <v>Maintenance Cost</v>
      </c>
      <c r="B46" s="33">
        <f t="shared" si="9"/>
        <v>0</v>
      </c>
      <c r="C46" s="33">
        <f t="shared" si="9"/>
        <v>0</v>
      </c>
      <c r="D46" s="33">
        <f t="shared" si="9"/>
        <v>90000</v>
      </c>
      <c r="E46" s="33">
        <f t="shared" si="9"/>
        <v>173250.00000000006</v>
      </c>
      <c r="F46" s="33">
        <f t="shared" si="9"/>
        <v>210000</v>
      </c>
      <c r="G46" s="33">
        <f t="shared" si="9"/>
        <v>240000</v>
      </c>
      <c r="H46" s="33">
        <f t="shared" si="9"/>
        <v>277200.00000000006</v>
      </c>
      <c r="I46" s="33">
        <f t="shared" si="9"/>
        <v>240000</v>
      </c>
      <c r="J46" s="33">
        <f t="shared" si="9"/>
        <v>240000</v>
      </c>
      <c r="K46" s="33">
        <f t="shared" si="9"/>
        <v>277200.00000000006</v>
      </c>
      <c r="L46" s="33">
        <f t="shared" si="9"/>
        <v>210000</v>
      </c>
      <c r="M46" s="33">
        <f t="shared" si="9"/>
        <v>150000</v>
      </c>
      <c r="N46" s="33">
        <f t="shared" si="9"/>
        <v>103950.00000000003</v>
      </c>
      <c r="O46" s="33">
        <f t="shared" si="9"/>
        <v>30000</v>
      </c>
      <c r="P46" s="33">
        <f t="shared" si="9"/>
        <v>30000</v>
      </c>
    </row>
    <row r="47" spans="1:16" x14ac:dyDescent="0.25">
      <c r="A47" s="9" t="str">
        <f t="shared" ref="A47:P47" si="10">A15</f>
        <v>Medicine</v>
      </c>
      <c r="B47" s="33">
        <f t="shared" si="10"/>
        <v>0</v>
      </c>
      <c r="C47" s="33">
        <f t="shared" si="10"/>
        <v>50595.454545454544</v>
      </c>
      <c r="D47" s="33">
        <f t="shared" si="10"/>
        <v>151786.36363636365</v>
      </c>
      <c r="E47" s="33">
        <f t="shared" si="10"/>
        <v>294971.50000000006</v>
      </c>
      <c r="F47" s="33">
        <f t="shared" si="10"/>
        <v>354168.18181818182</v>
      </c>
      <c r="G47" s="33">
        <f t="shared" si="10"/>
        <v>404763.63636363635</v>
      </c>
      <c r="H47" s="33">
        <f t="shared" si="10"/>
        <v>471954.4</v>
      </c>
      <c r="I47" s="33">
        <f t="shared" si="10"/>
        <v>404763.63636363635</v>
      </c>
      <c r="J47" s="33">
        <f t="shared" si="10"/>
        <v>404763.63636363635</v>
      </c>
      <c r="K47" s="33">
        <f t="shared" si="10"/>
        <v>471954.4</v>
      </c>
      <c r="L47" s="33">
        <f t="shared" si="10"/>
        <v>354168.18181818182</v>
      </c>
      <c r="M47" s="33">
        <f t="shared" si="10"/>
        <v>252977.27272727274</v>
      </c>
      <c r="N47" s="33">
        <f t="shared" si="10"/>
        <v>176982.90000000002</v>
      </c>
      <c r="O47" s="33">
        <f t="shared" si="10"/>
        <v>50595.454545454544</v>
      </c>
      <c r="P47" s="33">
        <f t="shared" si="10"/>
        <v>50595.454545454544</v>
      </c>
    </row>
    <row r="48" spans="1:16" x14ac:dyDescent="0.25">
      <c r="A48" s="9" t="str">
        <f t="shared" ref="A48:P48" si="11">A16</f>
        <v>Labor</v>
      </c>
      <c r="B48" s="33">
        <f t="shared" si="11"/>
        <v>0</v>
      </c>
      <c r="C48" s="33">
        <f t="shared" si="11"/>
        <v>335825</v>
      </c>
      <c r="D48" s="33">
        <f t="shared" si="11"/>
        <v>1017549.75</v>
      </c>
      <c r="E48" s="33">
        <f t="shared" si="11"/>
        <v>1712875.4124999999</v>
      </c>
      <c r="F48" s="33">
        <f t="shared" si="11"/>
        <v>2422005.8332750001</v>
      </c>
      <c r="G48" s="33">
        <f t="shared" si="11"/>
        <v>2795686.7332659997</v>
      </c>
      <c r="H48" s="33">
        <f t="shared" si="11"/>
        <v>2823643.6005986603</v>
      </c>
      <c r="I48" s="33">
        <f t="shared" si="11"/>
        <v>2851880.0366046461</v>
      </c>
      <c r="J48" s="33">
        <f t="shared" si="11"/>
        <v>2880398.8369706934</v>
      </c>
      <c r="K48" s="33">
        <f t="shared" si="11"/>
        <v>2909202.8253404004</v>
      </c>
      <c r="L48" s="33">
        <f t="shared" si="11"/>
        <v>2571007.9968945789</v>
      </c>
      <c r="M48" s="33">
        <f t="shared" si="11"/>
        <v>1854798.6263310888</v>
      </c>
      <c r="N48" s="33">
        <f t="shared" si="11"/>
        <v>1124007.9675566398</v>
      </c>
      <c r="O48" s="33">
        <f t="shared" si="11"/>
        <v>378416.01574406878</v>
      </c>
      <c r="P48" s="33">
        <f t="shared" si="11"/>
        <v>382200.17590150947</v>
      </c>
    </row>
    <row r="49" spans="1:17" s="50" customFormat="1" x14ac:dyDescent="0.25">
      <c r="A49" s="52" t="s">
        <v>131</v>
      </c>
      <c r="B49" s="49">
        <f>'Eco Assumption_Goat'!D46</f>
        <v>0</v>
      </c>
      <c r="C49" s="49">
        <f>'Eco Assumption_Goat'!E46</f>
        <v>0</v>
      </c>
      <c r="D49" s="49">
        <f>'Eco Assumption_Goat'!F46</f>
        <v>555000</v>
      </c>
      <c r="E49" s="49">
        <f>'Eco Assumption_Goat'!G46</f>
        <v>1110000</v>
      </c>
      <c r="F49" s="49">
        <f>'Eco Assumption_Goat'!H46</f>
        <v>1110000</v>
      </c>
      <c r="G49" s="49">
        <f>'Eco Assumption_Goat'!I46</f>
        <v>1110000</v>
      </c>
      <c r="H49" s="49">
        <f>'Eco Assumption_Goat'!J46</f>
        <v>555000</v>
      </c>
      <c r="I49" s="49">
        <f>'Eco Assumption_Goat'!K46</f>
        <v>0</v>
      </c>
      <c r="J49" s="49">
        <f>'Eco Assumption_Goat'!L46</f>
        <v>0</v>
      </c>
      <c r="K49" s="49">
        <f>'Eco Assumption_Goat'!M46</f>
        <v>0</v>
      </c>
      <c r="L49" s="49">
        <f>'Eco Assumption_Goat'!N46</f>
        <v>0</v>
      </c>
      <c r="M49" s="49">
        <f>'Eco Assumption_Goat'!O46</f>
        <v>0</v>
      </c>
      <c r="N49" s="49">
        <f>'Eco Assumption_Goat'!P46</f>
        <v>0</v>
      </c>
      <c r="O49" s="49">
        <f>'Eco Assumption_Goat'!Q46</f>
        <v>0</v>
      </c>
      <c r="P49" s="49">
        <f>'Eco Assumption_Goat'!R46</f>
        <v>0</v>
      </c>
    </row>
    <row r="50" spans="1:17" s="377" customFormat="1" ht="30" x14ac:dyDescent="0.25">
      <c r="A50" s="121" t="str">
        <f>'Eco BaU_Goat'!A50</f>
        <v>Opportunity cost of labor by women households</v>
      </c>
      <c r="B50" s="137">
        <f>'Eco BaU_Goat'!B50</f>
        <v>0</v>
      </c>
      <c r="C50" s="137">
        <f>'Eco BaU_Goat'!C50</f>
        <v>43750</v>
      </c>
      <c r="D50" s="137">
        <f>'Eco BaU_Goat'!D50</f>
        <v>131250</v>
      </c>
      <c r="E50" s="137">
        <f>'Eco BaU_Goat'!E50</f>
        <v>218750</v>
      </c>
      <c r="F50" s="137">
        <f>'Eco BaU_Goat'!F50</f>
        <v>306250</v>
      </c>
      <c r="G50" s="137">
        <f>'Eco BaU_Goat'!G50</f>
        <v>350000</v>
      </c>
      <c r="H50" s="137">
        <f>'Eco BaU_Goat'!H50</f>
        <v>350000</v>
      </c>
      <c r="I50" s="137">
        <f>'Eco BaU_Goat'!I50</f>
        <v>350000</v>
      </c>
      <c r="J50" s="137">
        <f>'Eco BaU_Goat'!J50</f>
        <v>350000</v>
      </c>
      <c r="K50" s="137">
        <f>'Eco BaU_Goat'!K50</f>
        <v>350000</v>
      </c>
      <c r="L50" s="137">
        <f>'Eco BaU_Goat'!L50</f>
        <v>306250</v>
      </c>
      <c r="M50" s="137">
        <f>'Eco BaU_Goat'!M50</f>
        <v>218750</v>
      </c>
      <c r="N50" s="137">
        <f>'Eco BaU_Goat'!N50</f>
        <v>131250</v>
      </c>
      <c r="O50" s="137">
        <f>'Eco BaU_Goat'!O50</f>
        <v>43750</v>
      </c>
      <c r="P50" s="137">
        <f>'Eco BaU_Goat'!P50</f>
        <v>43750</v>
      </c>
    </row>
    <row r="51" spans="1:17" x14ac:dyDescent="0.25">
      <c r="A51" s="117" t="s">
        <v>54</v>
      </c>
      <c r="B51" s="37">
        <f>SUM(B44:B50)</f>
        <v>0</v>
      </c>
      <c r="C51" s="37">
        <f>SUM(C44:C50)</f>
        <v>1085170.4545454546</v>
      </c>
      <c r="D51" s="37">
        <f t="shared" ref="D51:P51" si="12">SUM(D44:D50)</f>
        <v>3255586.1136363638</v>
      </c>
      <c r="E51" s="37">
        <f t="shared" si="12"/>
        <v>4819846.9124999996</v>
      </c>
      <c r="F51" s="37">
        <f t="shared" si="12"/>
        <v>5712424.0150931822</v>
      </c>
      <c r="G51" s="37">
        <f t="shared" si="12"/>
        <v>5555450.3696296364</v>
      </c>
      <c r="H51" s="37">
        <f t="shared" si="12"/>
        <v>4477798.0005986607</v>
      </c>
      <c r="I51" s="37">
        <f t="shared" si="12"/>
        <v>3846643.6729682824</v>
      </c>
      <c r="J51" s="37">
        <f t="shared" si="12"/>
        <v>3875162.4733343297</v>
      </c>
      <c r="K51" s="37">
        <f t="shared" si="12"/>
        <v>4008357.2253404008</v>
      </c>
      <c r="L51" s="37">
        <f t="shared" si="12"/>
        <v>3441426.178712761</v>
      </c>
      <c r="M51" s="37">
        <f t="shared" si="12"/>
        <v>2476525.8990583615</v>
      </c>
      <c r="N51" s="37">
        <f t="shared" si="12"/>
        <v>1536190.8675566399</v>
      </c>
      <c r="O51" s="37">
        <f t="shared" si="12"/>
        <v>502761.47028952331</v>
      </c>
      <c r="P51" s="37">
        <f t="shared" si="12"/>
        <v>506545.630446964</v>
      </c>
    </row>
    <row r="52" spans="1:17" x14ac:dyDescent="0.25">
      <c r="B52" s="32"/>
      <c r="C52" s="32"/>
      <c r="D52" s="32"/>
      <c r="E52" s="32"/>
      <c r="F52" s="32"/>
      <c r="G52" s="32"/>
      <c r="H52" s="32"/>
      <c r="I52" s="32"/>
      <c r="J52" s="32"/>
      <c r="K52" s="32"/>
      <c r="L52" s="32"/>
    </row>
    <row r="53" spans="1:17" x14ac:dyDescent="0.25">
      <c r="A53" s="23" t="str">
        <f>A20</f>
        <v>Net Resource Flow ($)</v>
      </c>
      <c r="B53" s="34">
        <f t="shared" ref="B53:P53" si="13">B41-B51</f>
        <v>0</v>
      </c>
      <c r="C53" s="34">
        <f t="shared" si="13"/>
        <v>-1001170.4545454546</v>
      </c>
      <c r="D53" s="34">
        <f t="shared" si="13"/>
        <v>-1060295.6136363638</v>
      </c>
      <c r="E53" s="34">
        <f t="shared" si="13"/>
        <v>-1952985.0675999997</v>
      </c>
      <c r="F53" s="34">
        <f t="shared" si="13"/>
        <v>-498939.19064318202</v>
      </c>
      <c r="G53" s="34">
        <f t="shared" si="13"/>
        <v>455680.68487836327</v>
      </c>
      <c r="H53" s="34">
        <f t="shared" si="13"/>
        <v>227808.72846104298</v>
      </c>
      <c r="I53" s="34">
        <f t="shared" si="13"/>
        <v>2271803.9157353276</v>
      </c>
      <c r="J53" s="34">
        <f t="shared" si="13"/>
        <v>2297749.5912563181</v>
      </c>
      <c r="K53" s="34">
        <f t="shared" si="13"/>
        <v>819471.82121654134</v>
      </c>
      <c r="L53" s="34">
        <f t="shared" si="13"/>
        <v>2525119.1687400443</v>
      </c>
      <c r="M53" s="34">
        <f t="shared" si="13"/>
        <v>2422721.1016040184</v>
      </c>
      <c r="N53" s="34">
        <f t="shared" si="13"/>
        <v>1252867.190879609</v>
      </c>
      <c r="O53" s="34">
        <f t="shared" si="13"/>
        <v>1240927.7627856156</v>
      </c>
      <c r="P53" s="34">
        <f t="shared" si="13"/>
        <v>775870.49495892646</v>
      </c>
    </row>
    <row r="54" spans="1:17" x14ac:dyDescent="0.25">
      <c r="B54" s="32"/>
      <c r="C54" s="32"/>
      <c r="D54" s="32"/>
      <c r="E54" s="32"/>
      <c r="F54" s="32"/>
      <c r="G54" s="32"/>
      <c r="H54" s="32"/>
      <c r="I54" s="32"/>
      <c r="J54" s="32"/>
      <c r="K54" s="32"/>
      <c r="L54" s="32"/>
    </row>
    <row r="55" spans="1:17" x14ac:dyDescent="0.25">
      <c r="A55" s="10" t="str">
        <f>A22</f>
        <v>Economic Benefits in Present Value</v>
      </c>
      <c r="B55" s="345">
        <f>B41/(1+'Eco Assumption_Goat'!$C69)^'Eco RCP 8.5_Goat'!B34</f>
        <v>0</v>
      </c>
      <c r="C55" s="345">
        <f>C41/(1+'Eco Assumption_Goat'!$C69)^'Eco RCP 8.5_Goat'!C34</f>
        <v>79245.283018867922</v>
      </c>
      <c r="D55" s="345">
        <f>D41/(1+'Eco Assumption_Goat'!$C69)^'Eco RCP 8.5_Goat'!D34</f>
        <v>1953800.7297970806</v>
      </c>
      <c r="E55" s="345">
        <f>E41/(1+'Eco Assumption_Goat'!$C69)^'Eco RCP 8.5_Goat'!E34</f>
        <v>2407072.4867675994</v>
      </c>
      <c r="F55" s="345">
        <f>F41/(1+'Eco Assumption_Goat'!$C69)^'Eco RCP 8.5_Goat'!F34</f>
        <v>4129568.2928344281</v>
      </c>
      <c r="G55" s="345">
        <f>G41/(1+'Eco Assumption_Goat'!$C69)^'Eco RCP 8.5_Goat'!G34</f>
        <v>4491866.8086500615</v>
      </c>
      <c r="H55" s="345">
        <f>H41/(1+'Eco Assumption_Goat'!$C69)^'Eco RCP 8.5_Goat'!H34</f>
        <v>3317267.0628145062</v>
      </c>
      <c r="I55" s="345">
        <f>I41/(1+'Eco Assumption_Goat'!$C69)^'Eco RCP 8.5_Goat'!I34</f>
        <v>4069117.0931927646</v>
      </c>
      <c r="J55" s="345">
        <f>J41/(1+'Eco Assumption_Goat'!$C69)^'Eco RCP 8.5_Goat'!J34</f>
        <v>3872961.3965293886</v>
      </c>
      <c r="K55" s="345">
        <f>K41/(1+'Eco Assumption_Goat'!$C69)^'Eco RCP 8.5_Goat'!K34</f>
        <v>2857584.5948426798</v>
      </c>
      <c r="L55" s="345">
        <f>L41/(1+'Eco Assumption_Goat'!$C69)^'Eco RCP 8.5_Goat'!L34</f>
        <v>3331687.7582448437</v>
      </c>
      <c r="M55" s="345">
        <f>M41/(1+'Eco Assumption_Goat'!$C69)^'Eco RCP 8.5_Goat'!M34</f>
        <v>2580862.2037612544</v>
      </c>
      <c r="N55" s="345">
        <f>N41/(1+'Eco Assumption_Goat'!$C69)^'Eco RCP 8.5_Goat'!N34</f>
        <v>1386076.4082803673</v>
      </c>
      <c r="O55" s="345">
        <f>O41/(1+'Eco Assumption_Goat'!$C69)^'Eco RCP 8.5_Goat'!O34</f>
        <v>817509.55512964132</v>
      </c>
      <c r="P55" s="345">
        <f>P41/(1+'Eco Assumption_Goat'!$C69)^'Eco RCP 8.5_Goat'!P34</f>
        <v>567213.88900306891</v>
      </c>
      <c r="Q55" s="343">
        <f>SUM(B55:P55)</f>
        <v>35861833.562866546</v>
      </c>
    </row>
    <row r="56" spans="1:17" s="12" customFormat="1" x14ac:dyDescent="0.25">
      <c r="A56" s="10" t="str">
        <f>A23</f>
        <v>Economic Costs in Present Value</v>
      </c>
      <c r="B56" s="346">
        <f>B51/(1+'Eco Assumption_Goat'!$C69)^'Eco RCP 8.5_Goat'!B34</f>
        <v>0</v>
      </c>
      <c r="C56" s="346">
        <f>C51/(1+'Eco Assumption_Goat'!$C69)^'Eco RCP 8.5_Goat'!C34</f>
        <v>1023745.7118353344</v>
      </c>
      <c r="D56" s="346">
        <f>D51/(1+'Eco Assumption_Goat'!$C69)^'Eco RCP 8.5_Goat'!D34</f>
        <v>2897460.0512961582</v>
      </c>
      <c r="E56" s="346">
        <f>E51/(1+'Eco Assumption_Goat'!$C69)^'Eco RCP 8.5_Goat'!E34</f>
        <v>4046836.4089987022</v>
      </c>
      <c r="F56" s="346">
        <f>F51/(1+'Eco Assumption_Goat'!$C69)^'Eco RCP 8.5_Goat'!F34</f>
        <v>4524774.8640839998</v>
      </c>
      <c r="G56" s="346">
        <f>G51/(1+'Eco Assumption_Goat'!$C69)^'Eco RCP 8.5_Goat'!G34</f>
        <v>4151355.6926575024</v>
      </c>
      <c r="H56" s="346">
        <f>H51/(1+'Eco Assumption_Goat'!$C69)^'Eco RCP 8.5_Goat'!H34</f>
        <v>3156670.8984817336</v>
      </c>
      <c r="I56" s="346">
        <f>I51/(1+'Eco Assumption_Goat'!$C69)^'Eco RCP 8.5_Goat'!I34</f>
        <v>2558237.738277907</v>
      </c>
      <c r="J56" s="346">
        <f>J51/(1+'Eco Assumption_Goat'!$C69)^'Eco RCP 8.5_Goat'!J34</f>
        <v>2431324.8767295494</v>
      </c>
      <c r="K56" s="346">
        <f>K51/(1+'Eco Assumption_Goat'!$C69)^'Eco RCP 8.5_Goat'!K34</f>
        <v>2372540.4829584574</v>
      </c>
      <c r="L56" s="346">
        <f>L51/(1+'Eco Assumption_Goat'!$C69)^'Eco RCP 8.5_Goat'!L34</f>
        <v>1921674.4033321587</v>
      </c>
      <c r="M56" s="346">
        <f>M51/(1+'Eco Assumption_Goat'!$C69)^'Eco RCP 8.5_Goat'!M34</f>
        <v>1304602.9499332125</v>
      </c>
      <c r="N56" s="346">
        <f>N51/(1+'Eco Assumption_Goat'!$C69)^'Eco RCP 8.5_Goat'!N34</f>
        <v>763439.79778242356</v>
      </c>
      <c r="O56" s="346">
        <f>O51/(1+'Eco Assumption_Goat'!$C69)^'Eco RCP 8.5_Goat'!O34</f>
        <v>235714.19615171832</v>
      </c>
      <c r="P56" s="346">
        <f>P51/(1+'Eco Assumption_Goat'!$C69)^'Eco RCP 8.5_Goat'!P34</f>
        <v>224045.62084900157</v>
      </c>
      <c r="Q56" s="343">
        <f>SUM(B56:P56)</f>
        <v>31612423.693367861</v>
      </c>
    </row>
    <row r="57" spans="1:17" x14ac:dyDescent="0.25">
      <c r="B57" s="32"/>
      <c r="C57" s="32"/>
      <c r="D57" s="32"/>
      <c r="E57" s="32"/>
      <c r="F57" s="32"/>
      <c r="G57" s="32"/>
      <c r="H57" s="32"/>
      <c r="I57" s="32"/>
      <c r="J57" s="32"/>
      <c r="K57" s="32"/>
      <c r="L57" s="32"/>
    </row>
    <row r="58" spans="1:17" s="12" customFormat="1" x14ac:dyDescent="0.25">
      <c r="A58" s="25" t="str">
        <f>A25</f>
        <v>ENPV ($)</v>
      </c>
      <c r="B58" s="35">
        <f>NPV('Eco Assumption_Goat'!C69,C53:P53)+B53</f>
        <v>4249409.8694986934</v>
      </c>
      <c r="C58" s="40"/>
      <c r="D58" s="40"/>
      <c r="E58" s="40"/>
      <c r="F58" s="40"/>
      <c r="G58" s="40"/>
      <c r="H58" s="40"/>
      <c r="I58" s="40"/>
      <c r="J58" s="40"/>
      <c r="K58" s="40"/>
      <c r="L58" s="40"/>
    </row>
    <row r="60" spans="1:17" s="12" customFormat="1" x14ac:dyDescent="0.25">
      <c r="A60" s="25" t="str">
        <f>A27</f>
        <v>EIRR</v>
      </c>
      <c r="B60" s="36">
        <f>IRR(B53:P53)</f>
        <v>0.18025040704035344</v>
      </c>
      <c r="C60" s="4"/>
      <c r="D60" s="4"/>
      <c r="E60" s="4"/>
      <c r="F60" s="4"/>
      <c r="G60" s="4"/>
      <c r="H60" s="4"/>
      <c r="I60" s="4"/>
      <c r="J60" s="4"/>
      <c r="K60" s="4"/>
      <c r="L60" s="4"/>
    </row>
    <row r="62" spans="1:17" ht="38.25" customHeight="1" x14ac:dyDescent="0.25">
      <c r="A62" s="11"/>
      <c r="B62" s="30"/>
      <c r="C62" s="69"/>
      <c r="D62" s="70"/>
      <c r="E62" s="30"/>
      <c r="F62" s="116"/>
      <c r="G62" s="30"/>
      <c r="H62" s="30"/>
      <c r="I62" s="30"/>
      <c r="J62" s="30"/>
      <c r="K62" s="30"/>
      <c r="L62" s="30"/>
      <c r="M62" s="11"/>
    </row>
    <row r="63" spans="1:17" s="1" customFormat="1" x14ac:dyDescent="0.25">
      <c r="A63" s="24"/>
      <c r="B63" s="42"/>
      <c r="C63" s="42"/>
      <c r="D63" s="42"/>
      <c r="E63" s="42"/>
      <c r="F63" s="42"/>
      <c r="G63" s="42"/>
      <c r="H63" s="42"/>
      <c r="I63" s="42"/>
      <c r="J63" s="42"/>
      <c r="K63" s="42"/>
      <c r="L63" s="42"/>
    </row>
    <row r="65" spans="1:16" ht="26.25" x14ac:dyDescent="0.25">
      <c r="F65" s="19" t="s">
        <v>92</v>
      </c>
    </row>
    <row r="66" spans="1:16" ht="38.25" customHeight="1" x14ac:dyDescent="0.25">
      <c r="A66" s="11" t="str">
        <f>A2</f>
        <v>Aggregate Economic Analysis_Goat Rearing</v>
      </c>
      <c r="B66" s="30"/>
      <c r="C66" s="69"/>
      <c r="D66" s="70"/>
      <c r="E66" s="30"/>
      <c r="F66" s="30"/>
      <c r="G66" s="30"/>
      <c r="H66" s="30"/>
      <c r="I66" s="30"/>
      <c r="J66" s="30"/>
      <c r="K66" s="30"/>
      <c r="L66" s="30"/>
      <c r="M66" s="11"/>
    </row>
    <row r="68" spans="1:16" x14ac:dyDescent="0.25">
      <c r="A68" s="10" t="s">
        <v>19</v>
      </c>
      <c r="B68" s="26">
        <v>0</v>
      </c>
      <c r="C68" s="26">
        <v>1</v>
      </c>
      <c r="D68" s="26">
        <v>2</v>
      </c>
      <c r="E68" s="26">
        <v>3</v>
      </c>
      <c r="F68" s="26">
        <v>4</v>
      </c>
      <c r="G68" s="26">
        <v>5</v>
      </c>
      <c r="H68" s="26">
        <v>6</v>
      </c>
      <c r="I68" s="26">
        <v>7</v>
      </c>
      <c r="J68" s="26">
        <v>8</v>
      </c>
      <c r="K68" s="26">
        <v>9</v>
      </c>
      <c r="L68" s="26">
        <v>10</v>
      </c>
      <c r="M68" s="26">
        <v>11</v>
      </c>
      <c r="N68" s="26">
        <v>12</v>
      </c>
      <c r="O68" s="26">
        <v>13</v>
      </c>
      <c r="P68" s="26">
        <v>14</v>
      </c>
    </row>
    <row r="69" spans="1:16" x14ac:dyDescent="0.25">
      <c r="A69" s="23" t="s">
        <v>3</v>
      </c>
    </row>
    <row r="70" spans="1:16" x14ac:dyDescent="0.25">
      <c r="A70" s="10" t="str">
        <f t="shared" ref="A70:P70" si="14">A6</f>
        <v>Goat Sale ($)</v>
      </c>
      <c r="B70" s="31">
        <f t="shared" si="14"/>
        <v>0</v>
      </c>
      <c r="C70" s="31">
        <f t="shared" si="14"/>
        <v>0</v>
      </c>
      <c r="D70" s="31">
        <f t="shared" si="14"/>
        <v>1943290.5</v>
      </c>
      <c r="E70" s="31">
        <f t="shared" si="14"/>
        <v>2446861.8448999999</v>
      </c>
      <c r="F70" s="31">
        <f t="shared" si="14"/>
        <v>4625484.8244500002</v>
      </c>
      <c r="G70" s="31">
        <f t="shared" si="14"/>
        <v>5339131.0545079997</v>
      </c>
      <c r="H70" s="31">
        <f t="shared" si="14"/>
        <v>4033606.7290597041</v>
      </c>
      <c r="I70" s="31">
        <f t="shared" si="14"/>
        <v>5446447.58870361</v>
      </c>
      <c r="J70" s="31">
        <f t="shared" si="14"/>
        <v>5500912.0645906478</v>
      </c>
      <c r="K70" s="31">
        <f t="shared" si="14"/>
        <v>4155829.0465569426</v>
      </c>
      <c r="L70" s="31">
        <f t="shared" si="14"/>
        <v>4910045.3474528054</v>
      </c>
      <c r="M70" s="31">
        <f t="shared" si="14"/>
        <v>3542247.0006623799</v>
      </c>
      <c r="N70" s="31">
        <f t="shared" si="14"/>
        <v>1605658.0584362489</v>
      </c>
      <c r="O70" s="31">
        <f t="shared" si="14"/>
        <v>722689.23307513888</v>
      </c>
      <c r="P70" s="31">
        <f t="shared" si="14"/>
        <v>729916.12540589029</v>
      </c>
    </row>
    <row r="71" spans="1:16" x14ac:dyDescent="0.25">
      <c r="A71" s="10" t="str">
        <f t="shared" ref="A71:P71" si="15">A7</f>
        <v>Residual ($)</v>
      </c>
      <c r="B71" s="31">
        <f t="shared" si="15"/>
        <v>0</v>
      </c>
      <c r="C71" s="31">
        <f t="shared" si="15"/>
        <v>0</v>
      </c>
      <c r="D71" s="31">
        <f t="shared" si="15"/>
        <v>0</v>
      </c>
      <c r="E71" s="31">
        <f t="shared" si="15"/>
        <v>0</v>
      </c>
      <c r="F71" s="31">
        <f t="shared" si="15"/>
        <v>0</v>
      </c>
      <c r="G71" s="31">
        <f t="shared" si="15"/>
        <v>0</v>
      </c>
      <c r="H71" s="31">
        <f t="shared" si="15"/>
        <v>0</v>
      </c>
      <c r="I71" s="31">
        <f t="shared" si="15"/>
        <v>0</v>
      </c>
      <c r="J71" s="31">
        <f t="shared" si="15"/>
        <v>0</v>
      </c>
      <c r="K71" s="31">
        <f t="shared" si="15"/>
        <v>0</v>
      </c>
      <c r="L71" s="31">
        <f t="shared" si="15"/>
        <v>56000</v>
      </c>
      <c r="M71" s="31">
        <f t="shared" si="15"/>
        <v>112000</v>
      </c>
      <c r="N71" s="31">
        <f t="shared" si="15"/>
        <v>106400</v>
      </c>
      <c r="O71" s="31">
        <f t="shared" si="15"/>
        <v>112000</v>
      </c>
      <c r="P71" s="31">
        <f t="shared" si="15"/>
        <v>56000</v>
      </c>
    </row>
    <row r="72" spans="1:16" x14ac:dyDescent="0.25">
      <c r="A72" s="10" t="str">
        <f t="shared" ref="A72:P72" si="16">A8</f>
        <v>Mother Goat Sale ($)</v>
      </c>
      <c r="B72" s="31">
        <f t="shared" si="16"/>
        <v>0</v>
      </c>
      <c r="C72" s="31">
        <f t="shared" si="16"/>
        <v>0</v>
      </c>
      <c r="D72" s="31">
        <f t="shared" si="16"/>
        <v>0</v>
      </c>
      <c r="E72" s="31">
        <f t="shared" si="16"/>
        <v>0</v>
      </c>
      <c r="F72" s="31">
        <f t="shared" si="16"/>
        <v>0</v>
      </c>
      <c r="G72" s="31">
        <f t="shared" si="16"/>
        <v>0</v>
      </c>
      <c r="H72" s="31">
        <f t="shared" si="16"/>
        <v>0</v>
      </c>
      <c r="I72" s="31">
        <f t="shared" si="16"/>
        <v>0</v>
      </c>
      <c r="J72" s="31">
        <f t="shared" si="16"/>
        <v>0</v>
      </c>
      <c r="K72" s="31">
        <f t="shared" si="16"/>
        <v>0</v>
      </c>
      <c r="L72" s="31">
        <f t="shared" si="16"/>
        <v>412500</v>
      </c>
      <c r="M72" s="31">
        <f t="shared" si="16"/>
        <v>825000</v>
      </c>
      <c r="N72" s="31">
        <f t="shared" si="16"/>
        <v>825000</v>
      </c>
      <c r="O72" s="31">
        <f t="shared" si="16"/>
        <v>825000</v>
      </c>
      <c r="P72" s="31">
        <f t="shared" si="16"/>
        <v>412500</v>
      </c>
    </row>
    <row r="73" spans="1:16" s="377" customFormat="1" ht="30" x14ac:dyDescent="0.25">
      <c r="A73" s="376" t="str">
        <f>A39</f>
        <v>Consumption of Goat Milk by Familty memebers</v>
      </c>
      <c r="B73" s="136">
        <f>B39</f>
        <v>0</v>
      </c>
      <c r="C73" s="136">
        <f t="shared" ref="C73:P73" si="17">C39</f>
        <v>9000</v>
      </c>
      <c r="D73" s="136">
        <f t="shared" si="17"/>
        <v>27000</v>
      </c>
      <c r="E73" s="136">
        <f t="shared" si="17"/>
        <v>45000</v>
      </c>
      <c r="F73" s="136">
        <f t="shared" si="17"/>
        <v>63000</v>
      </c>
      <c r="G73" s="136">
        <f t="shared" si="17"/>
        <v>72000</v>
      </c>
      <c r="H73" s="136">
        <f t="shared" si="17"/>
        <v>72000</v>
      </c>
      <c r="I73" s="136">
        <f t="shared" si="17"/>
        <v>72000</v>
      </c>
      <c r="J73" s="136">
        <f t="shared" si="17"/>
        <v>72000</v>
      </c>
      <c r="K73" s="136">
        <f t="shared" si="17"/>
        <v>72000</v>
      </c>
      <c r="L73" s="136">
        <f t="shared" si="17"/>
        <v>63000</v>
      </c>
      <c r="M73" s="136">
        <f t="shared" si="17"/>
        <v>45000</v>
      </c>
      <c r="N73" s="136">
        <f t="shared" si="17"/>
        <v>27000</v>
      </c>
      <c r="O73" s="136">
        <f t="shared" si="17"/>
        <v>9000</v>
      </c>
      <c r="P73" s="136">
        <f t="shared" si="17"/>
        <v>9000</v>
      </c>
    </row>
    <row r="74" spans="1:16" s="377" customFormat="1" x14ac:dyDescent="0.25">
      <c r="A74" s="376" t="str">
        <f>A40</f>
        <v>Social benefit from export of goat leather</v>
      </c>
      <c r="B74" s="136">
        <f>B40</f>
        <v>0</v>
      </c>
      <c r="C74" s="136">
        <f t="shared" ref="C74:P74" si="18">C40</f>
        <v>75000</v>
      </c>
      <c r="D74" s="136">
        <f t="shared" si="18"/>
        <v>225000</v>
      </c>
      <c r="E74" s="136">
        <f t="shared" si="18"/>
        <v>375000</v>
      </c>
      <c r="F74" s="136">
        <f t="shared" si="18"/>
        <v>525000</v>
      </c>
      <c r="G74" s="136">
        <f t="shared" si="18"/>
        <v>600000</v>
      </c>
      <c r="H74" s="136">
        <f t="shared" si="18"/>
        <v>600000</v>
      </c>
      <c r="I74" s="136">
        <f t="shared" si="18"/>
        <v>600000</v>
      </c>
      <c r="J74" s="136">
        <f t="shared" si="18"/>
        <v>600000</v>
      </c>
      <c r="K74" s="136">
        <f t="shared" si="18"/>
        <v>600000</v>
      </c>
      <c r="L74" s="136">
        <f t="shared" si="18"/>
        <v>525000</v>
      </c>
      <c r="M74" s="136">
        <f t="shared" si="18"/>
        <v>375000</v>
      </c>
      <c r="N74" s="136">
        <f t="shared" si="18"/>
        <v>225000</v>
      </c>
      <c r="O74" s="136">
        <f t="shared" si="18"/>
        <v>75000</v>
      </c>
      <c r="P74" s="136">
        <f t="shared" si="18"/>
        <v>75000</v>
      </c>
    </row>
    <row r="75" spans="1:16" s="12" customFormat="1" x14ac:dyDescent="0.25">
      <c r="A75" s="23" t="s">
        <v>53</v>
      </c>
      <c r="B75" s="38">
        <f>(B70+B71+B72+B73+B74)</f>
        <v>0</v>
      </c>
      <c r="C75" s="38">
        <f t="shared" ref="C75:P75" si="19">(C70+C71+C72+C73+C74)</f>
        <v>84000</v>
      </c>
      <c r="D75" s="38">
        <f t="shared" si="19"/>
        <v>2195290.5</v>
      </c>
      <c r="E75" s="38">
        <f t="shared" si="19"/>
        <v>2866861.8448999999</v>
      </c>
      <c r="F75" s="38">
        <f t="shared" si="19"/>
        <v>5213484.8244500002</v>
      </c>
      <c r="G75" s="38">
        <f t="shared" si="19"/>
        <v>6011131.0545079997</v>
      </c>
      <c r="H75" s="38">
        <f t="shared" si="19"/>
        <v>4705606.7290597036</v>
      </c>
      <c r="I75" s="38">
        <f t="shared" si="19"/>
        <v>6118447.58870361</v>
      </c>
      <c r="J75" s="38">
        <f t="shared" si="19"/>
        <v>6172912.0645906478</v>
      </c>
      <c r="K75" s="38">
        <f t="shared" si="19"/>
        <v>4827829.0465569422</v>
      </c>
      <c r="L75" s="38">
        <f t="shared" si="19"/>
        <v>5966545.3474528054</v>
      </c>
      <c r="M75" s="38">
        <f t="shared" si="19"/>
        <v>4899247.0006623799</v>
      </c>
      <c r="N75" s="38">
        <f t="shared" si="19"/>
        <v>2789058.0584362489</v>
      </c>
      <c r="O75" s="38">
        <f t="shared" si="19"/>
        <v>1743689.2330751389</v>
      </c>
      <c r="P75" s="38">
        <f t="shared" si="19"/>
        <v>1282416.1254058904</v>
      </c>
    </row>
    <row r="76" spans="1:16" x14ac:dyDescent="0.25">
      <c r="A76" s="23"/>
      <c r="B76" s="41"/>
      <c r="C76" s="41"/>
      <c r="D76" s="41"/>
      <c r="E76" s="41"/>
      <c r="F76" s="41"/>
      <c r="G76" s="41"/>
      <c r="H76" s="41"/>
      <c r="I76" s="41"/>
      <c r="J76" s="41"/>
      <c r="K76" s="41"/>
    </row>
    <row r="77" spans="1:16" x14ac:dyDescent="0.25">
      <c r="A77" s="23" t="s">
        <v>20</v>
      </c>
    </row>
    <row r="78" spans="1:16" x14ac:dyDescent="0.25">
      <c r="A78" s="9" t="str">
        <f t="shared" ref="A78:P78" si="20">A12</f>
        <v>Slated House Construction</v>
      </c>
      <c r="B78" s="33">
        <f t="shared" si="20"/>
        <v>0</v>
      </c>
      <c r="C78" s="33">
        <f t="shared" si="20"/>
        <v>280000</v>
      </c>
      <c r="D78" s="33">
        <f t="shared" si="20"/>
        <v>560000</v>
      </c>
      <c r="E78" s="33">
        <f t="shared" si="20"/>
        <v>560000</v>
      </c>
      <c r="F78" s="33">
        <f t="shared" si="20"/>
        <v>560000</v>
      </c>
      <c r="G78" s="33">
        <f t="shared" si="20"/>
        <v>280000</v>
      </c>
      <c r="H78" s="33">
        <f t="shared" si="20"/>
        <v>0</v>
      </c>
      <c r="I78" s="33">
        <f t="shared" si="20"/>
        <v>0</v>
      </c>
      <c r="J78" s="33">
        <f t="shared" si="20"/>
        <v>0</v>
      </c>
      <c r="K78" s="33">
        <f t="shared" si="20"/>
        <v>0</v>
      </c>
      <c r="L78" s="33">
        <f t="shared" si="20"/>
        <v>0</v>
      </c>
      <c r="M78" s="33">
        <f t="shared" si="20"/>
        <v>0</v>
      </c>
      <c r="N78" s="33">
        <f t="shared" si="20"/>
        <v>0</v>
      </c>
      <c r="O78" s="33">
        <f t="shared" si="20"/>
        <v>0</v>
      </c>
      <c r="P78" s="33">
        <f t="shared" si="20"/>
        <v>0</v>
      </c>
    </row>
    <row r="79" spans="1:16" x14ac:dyDescent="0.25">
      <c r="A79" s="9" t="str">
        <f t="shared" ref="A79:P79" si="21">A13</f>
        <v>Mother Goat Purchase</v>
      </c>
      <c r="B79" s="33">
        <f t="shared" si="21"/>
        <v>0</v>
      </c>
      <c r="C79" s="33">
        <f t="shared" si="21"/>
        <v>375000</v>
      </c>
      <c r="D79" s="33">
        <f t="shared" si="21"/>
        <v>750000</v>
      </c>
      <c r="E79" s="33">
        <f t="shared" si="21"/>
        <v>750000</v>
      </c>
      <c r="F79" s="33">
        <f t="shared" si="21"/>
        <v>750000</v>
      </c>
      <c r="G79" s="33">
        <f t="shared" si="21"/>
        <v>375000</v>
      </c>
      <c r="H79" s="33">
        <f t="shared" si="21"/>
        <v>0</v>
      </c>
      <c r="I79" s="33">
        <f t="shared" si="21"/>
        <v>0</v>
      </c>
      <c r="J79" s="33">
        <f t="shared" si="21"/>
        <v>0</v>
      </c>
      <c r="K79" s="33">
        <f t="shared" si="21"/>
        <v>0</v>
      </c>
      <c r="L79" s="33">
        <f t="shared" si="21"/>
        <v>0</v>
      </c>
      <c r="M79" s="33">
        <f t="shared" si="21"/>
        <v>0</v>
      </c>
      <c r="N79" s="33">
        <f t="shared" si="21"/>
        <v>0</v>
      </c>
      <c r="O79" s="33">
        <f t="shared" si="21"/>
        <v>0</v>
      </c>
      <c r="P79" s="33">
        <f t="shared" si="21"/>
        <v>0</v>
      </c>
    </row>
    <row r="80" spans="1:16" x14ac:dyDescent="0.25">
      <c r="A80" s="9" t="str">
        <f t="shared" ref="A80:P80" si="22">A14</f>
        <v>Maintenance Cost</v>
      </c>
      <c r="B80" s="33">
        <f t="shared" si="22"/>
        <v>0</v>
      </c>
      <c r="C80" s="33">
        <f t="shared" si="22"/>
        <v>0</v>
      </c>
      <c r="D80" s="33">
        <f t="shared" si="22"/>
        <v>90000</v>
      </c>
      <c r="E80" s="33">
        <f t="shared" si="22"/>
        <v>173250.00000000006</v>
      </c>
      <c r="F80" s="33">
        <f t="shared" si="22"/>
        <v>210000</v>
      </c>
      <c r="G80" s="33">
        <f t="shared" si="22"/>
        <v>240000</v>
      </c>
      <c r="H80" s="33">
        <f t="shared" si="22"/>
        <v>277200.00000000006</v>
      </c>
      <c r="I80" s="33">
        <f t="shared" si="22"/>
        <v>240000</v>
      </c>
      <c r="J80" s="33">
        <f t="shared" si="22"/>
        <v>240000</v>
      </c>
      <c r="K80" s="33">
        <f t="shared" si="22"/>
        <v>277200.00000000006</v>
      </c>
      <c r="L80" s="33">
        <f t="shared" si="22"/>
        <v>210000</v>
      </c>
      <c r="M80" s="33">
        <f t="shared" si="22"/>
        <v>150000</v>
      </c>
      <c r="N80" s="33">
        <f t="shared" si="22"/>
        <v>103950.00000000003</v>
      </c>
      <c r="O80" s="33">
        <f t="shared" si="22"/>
        <v>30000</v>
      </c>
      <c r="P80" s="33">
        <f t="shared" si="22"/>
        <v>30000</v>
      </c>
    </row>
    <row r="81" spans="1:17" x14ac:dyDescent="0.25">
      <c r="A81" s="9" t="str">
        <f t="shared" ref="A81:P81" si="23">A15</f>
        <v>Medicine</v>
      </c>
      <c r="B81" s="33">
        <f t="shared" si="23"/>
        <v>0</v>
      </c>
      <c r="C81" s="33">
        <f t="shared" si="23"/>
        <v>50595.454545454544</v>
      </c>
      <c r="D81" s="33">
        <f t="shared" si="23"/>
        <v>151786.36363636365</v>
      </c>
      <c r="E81" s="33">
        <f t="shared" si="23"/>
        <v>294971.50000000006</v>
      </c>
      <c r="F81" s="33">
        <f t="shared" si="23"/>
        <v>354168.18181818182</v>
      </c>
      <c r="G81" s="33">
        <f t="shared" si="23"/>
        <v>404763.63636363635</v>
      </c>
      <c r="H81" s="33">
        <f t="shared" si="23"/>
        <v>471954.4</v>
      </c>
      <c r="I81" s="33">
        <f t="shared" si="23"/>
        <v>404763.63636363635</v>
      </c>
      <c r="J81" s="33">
        <f t="shared" si="23"/>
        <v>404763.63636363635</v>
      </c>
      <c r="K81" s="33">
        <f t="shared" si="23"/>
        <v>471954.4</v>
      </c>
      <c r="L81" s="33">
        <f t="shared" si="23"/>
        <v>354168.18181818182</v>
      </c>
      <c r="M81" s="33">
        <f t="shared" si="23"/>
        <v>252977.27272727274</v>
      </c>
      <c r="N81" s="33">
        <f t="shared" si="23"/>
        <v>176982.90000000002</v>
      </c>
      <c r="O81" s="33">
        <f t="shared" si="23"/>
        <v>50595.454545454544</v>
      </c>
      <c r="P81" s="33">
        <f t="shared" si="23"/>
        <v>50595.454545454544</v>
      </c>
    </row>
    <row r="82" spans="1:17" x14ac:dyDescent="0.25">
      <c r="A82" s="9" t="str">
        <f t="shared" ref="A82:P82" si="24">A16</f>
        <v>Labor</v>
      </c>
      <c r="B82" s="33">
        <f t="shared" si="24"/>
        <v>0</v>
      </c>
      <c r="C82" s="33">
        <f t="shared" si="24"/>
        <v>335825</v>
      </c>
      <c r="D82" s="33">
        <f t="shared" si="24"/>
        <v>1017549.75</v>
      </c>
      <c r="E82" s="33">
        <f t="shared" si="24"/>
        <v>1712875.4124999999</v>
      </c>
      <c r="F82" s="33">
        <f t="shared" si="24"/>
        <v>2422005.8332750001</v>
      </c>
      <c r="G82" s="33">
        <f t="shared" si="24"/>
        <v>2795686.7332659997</v>
      </c>
      <c r="H82" s="33">
        <f t="shared" si="24"/>
        <v>2823643.6005986603</v>
      </c>
      <c r="I82" s="33">
        <f t="shared" si="24"/>
        <v>2851880.0366046461</v>
      </c>
      <c r="J82" s="33">
        <f t="shared" si="24"/>
        <v>2880398.8369706934</v>
      </c>
      <c r="K82" s="33">
        <f t="shared" si="24"/>
        <v>2909202.8253404004</v>
      </c>
      <c r="L82" s="33">
        <f t="shared" si="24"/>
        <v>2571007.9968945789</v>
      </c>
      <c r="M82" s="33">
        <f t="shared" si="24"/>
        <v>1854798.6263310888</v>
      </c>
      <c r="N82" s="33">
        <f t="shared" si="24"/>
        <v>1124007.9675566398</v>
      </c>
      <c r="O82" s="33">
        <f t="shared" si="24"/>
        <v>378416.01574406878</v>
      </c>
      <c r="P82" s="33">
        <f t="shared" si="24"/>
        <v>382200.17590150947</v>
      </c>
    </row>
    <row r="83" spans="1:17" s="50" customFormat="1" x14ac:dyDescent="0.25">
      <c r="A83" s="52" t="s">
        <v>131</v>
      </c>
      <c r="B83" s="49">
        <f>B17*'Eco Assumption_Goat'!$C26</f>
        <v>0</v>
      </c>
      <c r="C83" s="49">
        <f>C17*'Eco Assumption_Goat'!$C26</f>
        <v>0</v>
      </c>
      <c r="D83" s="49">
        <f>D17*'Eco Assumption_Goat'!$C26</f>
        <v>0</v>
      </c>
      <c r="E83" s="49">
        <f>E17*'Eco Assumption_Goat'!$C26</f>
        <v>0</v>
      </c>
      <c r="F83" s="49">
        <f>F17*'Eco Assumption_Goat'!$C26</f>
        <v>0</v>
      </c>
      <c r="G83" s="49">
        <f>G17*'Eco Assumption_Goat'!$C26</f>
        <v>0</v>
      </c>
      <c r="H83" s="49">
        <f>H17*'Eco Assumption_Goat'!$C26</f>
        <v>0</v>
      </c>
      <c r="I83" s="49">
        <f>I17*'Eco Assumption_Goat'!$C26</f>
        <v>0</v>
      </c>
      <c r="J83" s="49">
        <f>J17*'Eco Assumption_Goat'!$C26</f>
        <v>0</v>
      </c>
      <c r="K83" s="49">
        <f>K17*'Eco Assumption_Goat'!$C26</f>
        <v>0</v>
      </c>
      <c r="L83" s="49">
        <f>L17*'Eco Assumption_Goat'!$C26</f>
        <v>0</v>
      </c>
      <c r="M83" s="49">
        <f>M17*'Eco Assumption_Goat'!$C26</f>
        <v>0</v>
      </c>
      <c r="N83" s="49">
        <f>N17*'Eco Assumption_Goat'!$C26</f>
        <v>0</v>
      </c>
      <c r="O83" s="49">
        <f>O17*'Eco Assumption_Goat'!$C26</f>
        <v>0</v>
      </c>
      <c r="P83" s="49">
        <f>P17*'Eco Assumption_Goat'!$C26</f>
        <v>0</v>
      </c>
    </row>
    <row r="84" spans="1:17" s="377" customFormat="1" ht="30" x14ac:dyDescent="0.25">
      <c r="A84" s="121" t="str">
        <f>A50</f>
        <v>Opportunity cost of labor by women households</v>
      </c>
      <c r="B84" s="137">
        <f>B50</f>
        <v>0</v>
      </c>
      <c r="C84" s="137">
        <f t="shared" ref="C84:P84" si="25">C50</f>
        <v>43750</v>
      </c>
      <c r="D84" s="137">
        <f t="shared" si="25"/>
        <v>131250</v>
      </c>
      <c r="E84" s="137">
        <f t="shared" si="25"/>
        <v>218750</v>
      </c>
      <c r="F84" s="137">
        <f t="shared" si="25"/>
        <v>306250</v>
      </c>
      <c r="G84" s="137">
        <f t="shared" si="25"/>
        <v>350000</v>
      </c>
      <c r="H84" s="137">
        <f t="shared" si="25"/>
        <v>350000</v>
      </c>
      <c r="I84" s="137">
        <f t="shared" si="25"/>
        <v>350000</v>
      </c>
      <c r="J84" s="137">
        <f t="shared" si="25"/>
        <v>350000</v>
      </c>
      <c r="K84" s="137">
        <f t="shared" si="25"/>
        <v>350000</v>
      </c>
      <c r="L84" s="137">
        <f t="shared" si="25"/>
        <v>306250</v>
      </c>
      <c r="M84" s="137">
        <f t="shared" si="25"/>
        <v>218750</v>
      </c>
      <c r="N84" s="137">
        <f t="shared" si="25"/>
        <v>131250</v>
      </c>
      <c r="O84" s="137">
        <f t="shared" si="25"/>
        <v>43750</v>
      </c>
      <c r="P84" s="137">
        <f t="shared" si="25"/>
        <v>43750</v>
      </c>
    </row>
    <row r="85" spans="1:17" x14ac:dyDescent="0.25">
      <c r="A85" s="117" t="s">
        <v>54</v>
      </c>
      <c r="B85" s="37">
        <f>SUM(B78:B84)</f>
        <v>0</v>
      </c>
      <c r="C85" s="37">
        <f t="shared" ref="C85:P85" si="26">SUM(C78:C84)</f>
        <v>1085170.4545454546</v>
      </c>
      <c r="D85" s="37">
        <f t="shared" si="26"/>
        <v>2700586.1136363638</v>
      </c>
      <c r="E85" s="37">
        <f t="shared" si="26"/>
        <v>3709846.9124999996</v>
      </c>
      <c r="F85" s="37">
        <f t="shared" si="26"/>
        <v>4602424.0150931822</v>
      </c>
      <c r="G85" s="37">
        <f t="shared" si="26"/>
        <v>4445450.3696296364</v>
      </c>
      <c r="H85" s="37">
        <f t="shared" si="26"/>
        <v>3922798.0005986607</v>
      </c>
      <c r="I85" s="37">
        <f t="shared" si="26"/>
        <v>3846643.6729682824</v>
      </c>
      <c r="J85" s="37">
        <f t="shared" si="26"/>
        <v>3875162.4733343297</v>
      </c>
      <c r="K85" s="37">
        <f t="shared" si="26"/>
        <v>4008357.2253404008</v>
      </c>
      <c r="L85" s="37">
        <f t="shared" si="26"/>
        <v>3441426.178712761</v>
      </c>
      <c r="M85" s="37">
        <f t="shared" si="26"/>
        <v>2476525.8990583615</v>
      </c>
      <c r="N85" s="37">
        <f t="shared" si="26"/>
        <v>1536190.8675566399</v>
      </c>
      <c r="O85" s="37">
        <f t="shared" si="26"/>
        <v>502761.47028952331</v>
      </c>
      <c r="P85" s="37">
        <f t="shared" si="26"/>
        <v>506545.630446964</v>
      </c>
    </row>
    <row r="86" spans="1:17" x14ac:dyDescent="0.25">
      <c r="B86" s="32"/>
      <c r="C86" s="32"/>
      <c r="D86" s="32"/>
      <c r="E86" s="32"/>
      <c r="F86" s="32"/>
      <c r="G86" s="32"/>
      <c r="H86" s="32"/>
      <c r="I86" s="32"/>
      <c r="J86" s="32"/>
      <c r="K86" s="32"/>
      <c r="L86" s="32"/>
    </row>
    <row r="87" spans="1:17" x14ac:dyDescent="0.25">
      <c r="A87" s="23" t="str">
        <f>A20</f>
        <v>Net Resource Flow ($)</v>
      </c>
      <c r="B87" s="34">
        <f t="shared" ref="B87:P87" si="27">B75-B85</f>
        <v>0</v>
      </c>
      <c r="C87" s="34">
        <f t="shared" si="27"/>
        <v>-1001170.4545454546</v>
      </c>
      <c r="D87" s="34">
        <f t="shared" si="27"/>
        <v>-505295.61363636376</v>
      </c>
      <c r="E87" s="34">
        <f t="shared" si="27"/>
        <v>-842985.06759999972</v>
      </c>
      <c r="F87" s="34">
        <f t="shared" si="27"/>
        <v>611060.80935681798</v>
      </c>
      <c r="G87" s="34">
        <f t="shared" si="27"/>
        <v>1565680.6848783633</v>
      </c>
      <c r="H87" s="34">
        <f t="shared" si="27"/>
        <v>782808.72846104298</v>
      </c>
      <c r="I87" s="34">
        <f t="shared" si="27"/>
        <v>2271803.9157353276</v>
      </c>
      <c r="J87" s="34">
        <f t="shared" si="27"/>
        <v>2297749.5912563181</v>
      </c>
      <c r="K87" s="34">
        <f t="shared" si="27"/>
        <v>819471.82121654134</v>
      </c>
      <c r="L87" s="34">
        <f t="shared" si="27"/>
        <v>2525119.1687400443</v>
      </c>
      <c r="M87" s="34">
        <f t="shared" si="27"/>
        <v>2422721.1016040184</v>
      </c>
      <c r="N87" s="34">
        <f t="shared" si="27"/>
        <v>1252867.190879609</v>
      </c>
      <c r="O87" s="34">
        <f t="shared" si="27"/>
        <v>1240927.7627856156</v>
      </c>
      <c r="P87" s="34">
        <f t="shared" si="27"/>
        <v>775870.49495892646</v>
      </c>
    </row>
    <row r="88" spans="1:17" x14ac:dyDescent="0.25">
      <c r="A88" s="23"/>
      <c r="B88" s="344"/>
      <c r="C88" s="344"/>
      <c r="D88" s="344"/>
      <c r="E88" s="344"/>
      <c r="F88" s="344"/>
      <c r="G88" s="344"/>
      <c r="H88" s="344"/>
      <c r="I88" s="344"/>
      <c r="J88" s="344"/>
      <c r="K88" s="344"/>
      <c r="L88" s="344"/>
      <c r="M88" s="344"/>
      <c r="N88" s="344"/>
      <c r="O88" s="344"/>
      <c r="P88" s="344"/>
    </row>
    <row r="89" spans="1:17" x14ac:dyDescent="0.25">
      <c r="A89" s="10" t="str">
        <f>A22</f>
        <v>Economic Benefits in Present Value</v>
      </c>
      <c r="B89" s="345">
        <f>B75/(1+'Eco Assumption_Goat'!$C69)^'Eco RCP 8.5_Goat'!B68</f>
        <v>0</v>
      </c>
      <c r="C89" s="345">
        <f>C75/(1+'Eco Assumption_Goat'!$C69)^'Eco RCP 8.5_Goat'!C68</f>
        <v>79245.283018867922</v>
      </c>
      <c r="D89" s="345">
        <f>D75/(1+'Eco Assumption_Goat'!$C69)^'Eco RCP 8.5_Goat'!D68</f>
        <v>1953800.7297970806</v>
      </c>
      <c r="E89" s="345">
        <f>E75/(1+'Eco Assumption_Goat'!$C69)^'Eco RCP 8.5_Goat'!E68</f>
        <v>2407072.4867675994</v>
      </c>
      <c r="F89" s="345">
        <f>F75/(1+'Eco Assumption_Goat'!$C69)^'Eco RCP 8.5_Goat'!F68</f>
        <v>4129568.2928344281</v>
      </c>
      <c r="G89" s="345">
        <f>G75/(1+'Eco Assumption_Goat'!$C69)^'Eco RCP 8.5_Goat'!G68</f>
        <v>4491866.8086500615</v>
      </c>
      <c r="H89" s="345">
        <f>H75/(1+'Eco Assumption_Goat'!$C69)^'Eco RCP 8.5_Goat'!H68</f>
        <v>3317267.0628145062</v>
      </c>
      <c r="I89" s="345">
        <f>I75/(1+'Eco Assumption_Goat'!$C69)^'Eco RCP 8.5_Goat'!I68</f>
        <v>4069117.0931927646</v>
      </c>
      <c r="J89" s="345">
        <f>J75/(1+'Eco Assumption_Goat'!$C69)^'Eco RCP 8.5_Goat'!J68</f>
        <v>3872961.3965293886</v>
      </c>
      <c r="K89" s="345">
        <f>K75/(1+'Eco Assumption_Goat'!$C69)^'Eco RCP 8.5_Goat'!K68</f>
        <v>2857584.5948426798</v>
      </c>
      <c r="L89" s="345">
        <f>L75/(1+'Eco Assumption_Goat'!$C69)^'Eco RCP 8.5_Goat'!L68</f>
        <v>3331687.7582448437</v>
      </c>
      <c r="M89" s="345">
        <f>M75/(1+'Eco Assumption_Goat'!$C69)^'Eco RCP 8.5_Goat'!M68</f>
        <v>2580862.2037612544</v>
      </c>
      <c r="N89" s="345">
        <f>N75/(1+'Eco Assumption_Goat'!$C69)^'Eco RCP 8.5_Goat'!N68</f>
        <v>1386076.4082803673</v>
      </c>
      <c r="O89" s="345">
        <f>O75/(1+'Eco Assumption_Goat'!$C69)^'Eco RCP 8.5_Goat'!O68</f>
        <v>817509.55512964132</v>
      </c>
      <c r="P89" s="345">
        <f>P75/(1+'Eco Assumption_Goat'!$C69)^'Eco RCP 8.5_Goat'!P68</f>
        <v>567213.88900306891</v>
      </c>
      <c r="Q89" s="343">
        <f>SUM(B89:P89)</f>
        <v>35861833.562866546</v>
      </c>
    </row>
    <row r="90" spans="1:17" x14ac:dyDescent="0.25">
      <c r="A90" s="10" t="str">
        <f>A23</f>
        <v>Economic Costs in Present Value</v>
      </c>
      <c r="B90" s="345">
        <f>B85/(1+'Eco Assumption_Goat'!$C69)^'Eco RCP 8.5_Goat'!B68</f>
        <v>0</v>
      </c>
      <c r="C90" s="345">
        <f>C85/(1+'Eco Assumption_Goat'!$C69)^'Eco RCP 8.5_Goat'!C68</f>
        <v>1023745.7118353344</v>
      </c>
      <c r="D90" s="345">
        <f>D85/(1+'Eco Assumption_Goat'!$C69)^'Eco RCP 8.5_Goat'!D68</f>
        <v>2403512.0270882552</v>
      </c>
      <c r="E90" s="345">
        <f>E85/(1+'Eco Assumption_Goat'!$C69)^'Eco RCP 8.5_Goat'!E68</f>
        <v>3114859.0048328475</v>
      </c>
      <c r="F90" s="345">
        <f>F85/(1+'Eco Assumption_Goat'!$C69)^'Eco RCP 8.5_Goat'!F68</f>
        <v>3645550.8978897966</v>
      </c>
      <c r="G90" s="345">
        <f>G85/(1+'Eco Assumption_Goat'!$C69)^'Eco RCP 8.5_Goat'!G68</f>
        <v>3321899.1207761792</v>
      </c>
      <c r="H90" s="345">
        <f>H85/(1+'Eco Assumption_Goat'!$C69)^'Eco RCP 8.5_Goat'!H68</f>
        <v>2765417.7985377135</v>
      </c>
      <c r="I90" s="345">
        <f>I85/(1+'Eco Assumption_Goat'!$C69)^'Eco RCP 8.5_Goat'!I68</f>
        <v>2558237.738277907</v>
      </c>
      <c r="J90" s="345">
        <f>J85/(1+'Eco Assumption_Goat'!$C69)^'Eco RCP 8.5_Goat'!J68</f>
        <v>2431324.8767295494</v>
      </c>
      <c r="K90" s="345">
        <f>K85/(1+'Eco Assumption_Goat'!$C69)^'Eco RCP 8.5_Goat'!K68</f>
        <v>2372540.4829584574</v>
      </c>
      <c r="L90" s="345">
        <f>L85/(1+'Eco Assumption_Goat'!$C69)^'Eco RCP 8.5_Goat'!L68</f>
        <v>1921674.4033321587</v>
      </c>
      <c r="M90" s="345">
        <f>M85/(1+'Eco Assumption_Goat'!$C69)^'Eco RCP 8.5_Goat'!M68</f>
        <v>1304602.9499332125</v>
      </c>
      <c r="N90" s="345">
        <f>N85/(1+'Eco Assumption_Goat'!$C69)^'Eco RCP 8.5_Goat'!N68</f>
        <v>763439.79778242356</v>
      </c>
      <c r="O90" s="345">
        <f>O85/(1+'Eco Assumption_Goat'!$C69)^'Eco RCP 8.5_Goat'!O68</f>
        <v>235714.19615171832</v>
      </c>
      <c r="P90" s="345">
        <f>P85/(1+'Eco Assumption_Goat'!$C69)^'Eco RCP 8.5_Goat'!P68</f>
        <v>224045.62084900157</v>
      </c>
      <c r="Q90" s="343">
        <f>SUM(B90:P90)</f>
        <v>28086564.626974557</v>
      </c>
    </row>
    <row r="91" spans="1:17" x14ac:dyDescent="0.25">
      <c r="B91" s="32"/>
      <c r="C91" s="32"/>
      <c r="D91" s="32"/>
      <c r="E91" s="32"/>
      <c r="F91" s="32"/>
      <c r="G91" s="32"/>
      <c r="H91" s="32"/>
      <c r="I91" s="32"/>
      <c r="J91" s="32"/>
      <c r="K91" s="32"/>
      <c r="L91" s="32"/>
    </row>
    <row r="92" spans="1:17" s="12" customFormat="1" x14ac:dyDescent="0.25">
      <c r="A92" s="25" t="str">
        <f>A25</f>
        <v>ENPV ($)</v>
      </c>
      <c r="B92" s="35">
        <f>NPV('Eco Assumption_Goat'!C69,C87:P87)+B87</f>
        <v>7775268.935891998</v>
      </c>
      <c r="C92" s="40"/>
      <c r="D92" s="40"/>
      <c r="E92" s="40"/>
      <c r="F92" s="40"/>
      <c r="G92" s="40"/>
      <c r="H92" s="40"/>
      <c r="I92" s="40"/>
      <c r="J92" s="40"/>
      <c r="K92" s="40"/>
      <c r="L92" s="40"/>
    </row>
    <row r="94" spans="1:17" s="12" customFormat="1" x14ac:dyDescent="0.25">
      <c r="A94" s="25" t="str">
        <f>A27</f>
        <v>EIRR</v>
      </c>
      <c r="B94" s="36">
        <f>IRR(B87:P87)</f>
        <v>0.37307305250210665</v>
      </c>
      <c r="C94" s="4"/>
      <c r="D94" s="4"/>
      <c r="E94" s="4"/>
      <c r="F94" s="4"/>
      <c r="G94" s="4"/>
      <c r="H94" s="4"/>
      <c r="I94" s="4"/>
      <c r="J94" s="4"/>
      <c r="K94" s="4"/>
      <c r="L94" s="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0" tint="-0.499984740745262"/>
  </sheetPr>
  <dimension ref="A3:AD180"/>
  <sheetViews>
    <sheetView showGridLines="0" zoomScale="70" zoomScaleNormal="70" workbookViewId="0">
      <selection activeCell="Q151" sqref="Q151:X152"/>
    </sheetView>
  </sheetViews>
  <sheetFormatPr defaultRowHeight="15" x14ac:dyDescent="0.25"/>
  <cols>
    <col min="2" max="2" width="50" customWidth="1"/>
    <col min="3" max="3" width="15.7109375" customWidth="1"/>
    <col min="4" max="4" width="15.85546875" customWidth="1"/>
    <col min="5" max="5" width="14.140625" customWidth="1"/>
    <col min="6" max="6" width="13" customWidth="1"/>
    <col min="7" max="7" width="12.7109375" customWidth="1"/>
    <col min="8" max="8" width="12.85546875" customWidth="1"/>
    <col min="9" max="9" width="14.140625" customWidth="1"/>
    <col min="10" max="10" width="12.5703125" customWidth="1"/>
    <col min="11" max="11" width="11.7109375" customWidth="1"/>
    <col min="12" max="12" width="13.85546875" customWidth="1"/>
    <col min="13" max="13" width="12.140625" customWidth="1"/>
    <col min="14" max="14" width="15.28515625" customWidth="1"/>
    <col min="15" max="15" width="12.28515625" customWidth="1"/>
    <col min="16" max="16" width="13.7109375" customWidth="1"/>
    <col min="17" max="17" width="13.28515625" customWidth="1"/>
    <col min="18" max="18" width="13.42578125" customWidth="1"/>
    <col min="19" max="20" width="11.7109375" customWidth="1"/>
    <col min="21" max="21" width="10.7109375" customWidth="1"/>
    <col min="22" max="22" width="12.140625" customWidth="1"/>
    <col min="23" max="23" width="14.85546875" customWidth="1"/>
    <col min="24" max="24" width="16.42578125" customWidth="1"/>
    <col min="25" max="25" width="13.7109375" customWidth="1"/>
    <col min="26" max="27" width="11.42578125" customWidth="1"/>
    <col min="28" max="28" width="15.28515625" customWidth="1"/>
    <col min="29" max="29" width="15.7109375" customWidth="1"/>
  </cols>
  <sheetData>
    <row r="3" spans="1:29" x14ac:dyDescent="0.25">
      <c r="D3" s="105"/>
      <c r="E3" s="105"/>
      <c r="F3" s="105"/>
      <c r="G3" s="105"/>
      <c r="H3" s="105"/>
      <c r="I3" s="105"/>
      <c r="J3" s="105"/>
      <c r="K3" s="105"/>
      <c r="L3" s="105"/>
      <c r="M3" s="105"/>
      <c r="N3" s="105"/>
      <c r="O3" s="105"/>
      <c r="P3" s="105"/>
      <c r="Q3" s="105"/>
      <c r="R3" s="105"/>
      <c r="S3" s="105"/>
      <c r="T3" s="105"/>
      <c r="U3" s="105"/>
      <c r="V3" s="105"/>
      <c r="W3" s="105"/>
      <c r="X3" s="105"/>
      <c r="Y3" s="105"/>
      <c r="Z3" s="105"/>
      <c r="AA3" s="105"/>
      <c r="AB3" s="105"/>
    </row>
    <row r="4" spans="1:29" x14ac:dyDescent="0.25">
      <c r="A4" s="63">
        <v>1</v>
      </c>
      <c r="B4" s="44" t="s">
        <v>193</v>
      </c>
    </row>
    <row r="6" spans="1:29" x14ac:dyDescent="0.25">
      <c r="B6" s="66" t="s">
        <v>203</v>
      </c>
      <c r="C6" s="68">
        <f>SUM(D9:S9)</f>
        <v>40000</v>
      </c>
      <c r="D6" t="s">
        <v>101</v>
      </c>
    </row>
    <row r="8" spans="1:29" x14ac:dyDescent="0.25">
      <c r="C8" s="8" t="s">
        <v>19</v>
      </c>
      <c r="D8" s="15">
        <v>0</v>
      </c>
      <c r="E8" s="15">
        <v>1</v>
      </c>
      <c r="F8" s="15">
        <v>2</v>
      </c>
      <c r="G8" s="15">
        <v>3</v>
      </c>
      <c r="H8" s="15">
        <v>4</v>
      </c>
      <c r="I8" s="15">
        <v>5</v>
      </c>
      <c r="J8" s="15">
        <v>6</v>
      </c>
      <c r="K8" s="15">
        <v>7</v>
      </c>
      <c r="L8" s="15">
        <v>8</v>
      </c>
      <c r="M8" s="15">
        <v>9</v>
      </c>
      <c r="N8" s="53" t="s">
        <v>109</v>
      </c>
      <c r="O8" s="60"/>
      <c r="P8" s="60"/>
      <c r="Q8" s="60"/>
      <c r="R8" s="60"/>
      <c r="S8" s="60"/>
      <c r="T8" s="60"/>
      <c r="U8" s="60"/>
      <c r="V8" s="60"/>
      <c r="W8" s="60"/>
      <c r="X8" s="60"/>
      <c r="Y8" s="60"/>
      <c r="Z8" s="60"/>
      <c r="AA8" s="60"/>
      <c r="AB8" s="60"/>
    </row>
    <row r="9" spans="1:29" x14ac:dyDescent="0.25">
      <c r="B9" s="66" t="s">
        <v>204</v>
      </c>
      <c r="C9" s="47"/>
      <c r="D9" s="98">
        <v>0</v>
      </c>
      <c r="E9" s="98">
        <v>3000</v>
      </c>
      <c r="F9" s="98">
        <v>5000</v>
      </c>
      <c r="G9" s="98">
        <v>5000</v>
      </c>
      <c r="H9" s="98">
        <v>5000</v>
      </c>
      <c r="I9" s="98">
        <v>2000</v>
      </c>
      <c r="J9" s="98">
        <v>0</v>
      </c>
      <c r="K9" s="98">
        <v>0</v>
      </c>
      <c r="L9" s="98">
        <v>0</v>
      </c>
      <c r="M9" s="200">
        <v>0</v>
      </c>
      <c r="N9" s="53">
        <f>SUM(D9:M9)</f>
        <v>20000</v>
      </c>
      <c r="O9" s="77"/>
      <c r="P9" s="77"/>
      <c r="Q9" s="77"/>
      <c r="R9" s="77"/>
      <c r="S9" s="77"/>
      <c r="T9" s="77"/>
      <c r="U9" s="77"/>
      <c r="V9" s="77"/>
      <c r="W9" s="77"/>
      <c r="X9" s="77"/>
      <c r="Y9" s="77"/>
      <c r="Z9" s="77"/>
      <c r="AA9" s="77"/>
      <c r="AB9" s="77"/>
    </row>
    <row r="10" spans="1:29" x14ac:dyDescent="0.25">
      <c r="B10" s="66" t="s">
        <v>205</v>
      </c>
      <c r="C10" s="47"/>
      <c r="D10" s="98"/>
      <c r="E10" s="98"/>
      <c r="F10" s="98"/>
      <c r="G10" s="98"/>
      <c r="H10" s="98"/>
      <c r="I10" s="98">
        <f>E9</f>
        <v>3000</v>
      </c>
      <c r="J10" s="98">
        <f t="shared" ref="J10:M10" si="0">F9</f>
        <v>5000</v>
      </c>
      <c r="K10" s="98">
        <f t="shared" si="0"/>
        <v>5000</v>
      </c>
      <c r="L10" s="98">
        <f t="shared" si="0"/>
        <v>5000</v>
      </c>
      <c r="M10" s="200">
        <f t="shared" si="0"/>
        <v>2000</v>
      </c>
      <c r="N10" s="53">
        <f t="shared" ref="N10" si="1">SUM(D10:M10)</f>
        <v>20000</v>
      </c>
      <c r="O10" s="77"/>
      <c r="P10" s="77"/>
      <c r="Q10" s="77"/>
      <c r="R10" s="77"/>
      <c r="S10" s="77"/>
      <c r="T10" s="77"/>
      <c r="U10" s="77"/>
      <c r="V10" s="77"/>
      <c r="W10" s="77"/>
      <c r="X10" s="77"/>
      <c r="Y10" s="77"/>
      <c r="Z10" s="77"/>
      <c r="AA10" s="77"/>
      <c r="AB10" s="77"/>
    </row>
    <row r="11" spans="1:29" ht="19.149999999999999" customHeight="1" x14ac:dyDescent="0.25">
      <c r="B11" s="66" t="s">
        <v>206</v>
      </c>
      <c r="C11" s="47"/>
      <c r="D11" s="63"/>
      <c r="E11" s="63">
        <f>E9</f>
        <v>3000</v>
      </c>
      <c r="F11" s="63">
        <f t="shared" ref="F11:L11" si="2">F9+E11-F10</f>
        <v>8000</v>
      </c>
      <c r="G11" s="63">
        <f t="shared" si="2"/>
        <v>13000</v>
      </c>
      <c r="H11" s="63">
        <f t="shared" si="2"/>
        <v>18000</v>
      </c>
      <c r="I11" s="63">
        <f t="shared" si="2"/>
        <v>17000</v>
      </c>
      <c r="J11" s="63">
        <f t="shared" si="2"/>
        <v>12000</v>
      </c>
      <c r="K11" s="63">
        <f t="shared" si="2"/>
        <v>7000</v>
      </c>
      <c r="L11" s="63">
        <f t="shared" si="2"/>
        <v>2000</v>
      </c>
      <c r="M11" s="192">
        <f>M10</f>
        <v>2000</v>
      </c>
      <c r="N11" s="53"/>
      <c r="O11" s="77"/>
      <c r="P11" s="77"/>
      <c r="Q11" s="77"/>
      <c r="R11" s="77"/>
      <c r="S11" s="77"/>
      <c r="T11" s="77"/>
      <c r="U11" s="77"/>
      <c r="V11" s="77"/>
      <c r="W11" s="77"/>
      <c r="X11" s="77"/>
      <c r="Y11" s="77"/>
      <c r="Z11" s="77"/>
      <c r="AA11" s="77"/>
      <c r="AB11" s="77"/>
    </row>
    <row r="12" spans="1:29" ht="19.149999999999999" customHeight="1" x14ac:dyDescent="0.25">
      <c r="B12" s="61"/>
      <c r="O12" s="105"/>
      <c r="P12" s="105"/>
      <c r="Q12" s="105"/>
      <c r="R12" s="105"/>
      <c r="S12" s="105"/>
      <c r="T12" s="105"/>
      <c r="U12" s="105"/>
      <c r="V12" s="105"/>
      <c r="W12" s="105"/>
      <c r="X12" s="105"/>
      <c r="Y12" s="105"/>
      <c r="Z12" s="105"/>
      <c r="AA12" s="105"/>
      <c r="AB12" s="105"/>
      <c r="AC12" s="83"/>
    </row>
    <row r="13" spans="1:29" ht="19.149999999999999" customHeight="1" x14ac:dyDescent="0.25">
      <c r="B13" s="96" t="s">
        <v>113</v>
      </c>
      <c r="AC13" s="83"/>
    </row>
    <row r="14" spans="1:29" ht="19.149999999999999" customHeight="1" x14ac:dyDescent="0.25">
      <c r="B14" t="s">
        <v>207</v>
      </c>
      <c r="AC14" s="83"/>
    </row>
    <row r="15" spans="1:29" ht="19.149999999999999" customHeight="1" x14ac:dyDescent="0.25">
      <c r="B15" s="486" t="s">
        <v>224</v>
      </c>
      <c r="C15" s="486"/>
      <c r="D15" s="486"/>
      <c r="E15" s="486"/>
      <c r="F15" s="486"/>
      <c r="G15" s="486"/>
      <c r="H15" s="486"/>
      <c r="AC15" s="83"/>
    </row>
    <row r="16" spans="1:29" ht="19.149999999999999" customHeight="1" x14ac:dyDescent="0.25">
      <c r="B16" s="486" t="s">
        <v>208</v>
      </c>
      <c r="C16" s="486"/>
      <c r="D16" s="486"/>
      <c r="E16" s="486"/>
      <c r="F16" s="486"/>
      <c r="G16" s="486"/>
      <c r="H16" s="486"/>
      <c r="I16" s="486"/>
      <c r="J16" s="486"/>
      <c r="AC16" s="83"/>
    </row>
    <row r="18" spans="1:12" x14ac:dyDescent="0.25">
      <c r="A18" s="63">
        <v>2</v>
      </c>
      <c r="B18" t="s">
        <v>121</v>
      </c>
      <c r="C18" s="98">
        <v>1</v>
      </c>
      <c r="D18" t="s">
        <v>78</v>
      </c>
    </row>
    <row r="19" spans="1:12" x14ac:dyDescent="0.25">
      <c r="B19" t="s">
        <v>79</v>
      </c>
      <c r="C19" s="98">
        <v>0</v>
      </c>
      <c r="D19" t="s">
        <v>78</v>
      </c>
    </row>
    <row r="20" spans="1:12" x14ac:dyDescent="0.25">
      <c r="B20" t="s">
        <v>122</v>
      </c>
      <c r="C20" s="68">
        <f>C18-C19</f>
        <v>1</v>
      </c>
    </row>
    <row r="21" spans="1:12" x14ac:dyDescent="0.25">
      <c r="C21" s="77"/>
    </row>
    <row r="22" spans="1:12" x14ac:dyDescent="0.25">
      <c r="B22" t="s">
        <v>219</v>
      </c>
      <c r="D22" t="s">
        <v>220</v>
      </c>
    </row>
    <row r="23" spans="1:12" x14ac:dyDescent="0.25">
      <c r="B23" s="210">
        <v>1</v>
      </c>
      <c r="C23" s="68">
        <f>B23*C26</f>
        <v>50</v>
      </c>
      <c r="D23" t="s">
        <v>9</v>
      </c>
    </row>
    <row r="24" spans="1:12" x14ac:dyDescent="0.25">
      <c r="B24" s="210">
        <v>0.5</v>
      </c>
      <c r="C24" s="68">
        <f>B24*C26</f>
        <v>25</v>
      </c>
    </row>
    <row r="26" spans="1:12" x14ac:dyDescent="0.25">
      <c r="B26" t="s">
        <v>140</v>
      </c>
      <c r="C26" s="98">
        <v>50</v>
      </c>
      <c r="D26" t="s">
        <v>9</v>
      </c>
      <c r="E26" t="s">
        <v>189</v>
      </c>
    </row>
    <row r="27" spans="1:12" x14ac:dyDescent="0.25">
      <c r="C27" s="77"/>
    </row>
    <row r="28" spans="1:12" x14ac:dyDescent="0.25">
      <c r="C28" s="77"/>
    </row>
    <row r="29" spans="1:12" ht="17.45" customHeight="1" x14ac:dyDescent="0.25">
      <c r="C29" s="120" t="s">
        <v>18</v>
      </c>
      <c r="E29" s="62"/>
      <c r="F29" s="62"/>
      <c r="G29" s="62"/>
      <c r="H29" s="62"/>
      <c r="I29" s="62"/>
      <c r="J29" s="62"/>
      <c r="K29" s="62"/>
      <c r="L29" s="62"/>
    </row>
    <row r="30" spans="1:12" ht="17.45" customHeight="1" x14ac:dyDescent="0.25">
      <c r="B30" s="6" t="s">
        <v>92</v>
      </c>
      <c r="C30" s="102">
        <v>0</v>
      </c>
      <c r="E30" s="92"/>
      <c r="F30" s="92"/>
      <c r="G30" s="92"/>
      <c r="H30" s="92"/>
      <c r="I30" s="92"/>
      <c r="J30" s="92"/>
      <c r="K30" s="92"/>
      <c r="L30" s="92"/>
    </row>
    <row r="32" spans="1:12" x14ac:dyDescent="0.25">
      <c r="C32" s="71"/>
    </row>
    <row r="33" spans="2:29" x14ac:dyDescent="0.25">
      <c r="C33" s="71"/>
    </row>
    <row r="34" spans="2:29" x14ac:dyDescent="0.25">
      <c r="C34" s="71"/>
    </row>
    <row r="35" spans="2:29" x14ac:dyDescent="0.25">
      <c r="B35" s="99" t="s">
        <v>91</v>
      </c>
      <c r="C35" s="8" t="s">
        <v>19</v>
      </c>
      <c r="D35" s="15">
        <v>0</v>
      </c>
      <c r="E35" s="15">
        <v>1</v>
      </c>
      <c r="F35" s="15">
        <v>2</v>
      </c>
      <c r="G35" s="15">
        <v>3</v>
      </c>
      <c r="H35" s="15">
        <v>4</v>
      </c>
      <c r="I35" s="15">
        <v>5</v>
      </c>
      <c r="J35" s="15">
        <v>6</v>
      </c>
      <c r="K35" s="15">
        <v>7</v>
      </c>
      <c r="L35" s="15">
        <v>8</v>
      </c>
      <c r="M35" s="15">
        <v>9</v>
      </c>
      <c r="N35" s="63" t="s">
        <v>109</v>
      </c>
      <c r="O35" s="15"/>
      <c r="P35" s="15"/>
      <c r="Q35" s="15"/>
      <c r="R35" s="15"/>
      <c r="S35" s="15"/>
      <c r="T35" s="15"/>
      <c r="U35" s="15"/>
      <c r="V35" s="15"/>
      <c r="W35" s="15"/>
      <c r="X35" s="15"/>
      <c r="Y35" s="15"/>
      <c r="Z35" s="15"/>
      <c r="AA35" s="15"/>
      <c r="AB35" s="15"/>
    </row>
    <row r="36" spans="2:29" x14ac:dyDescent="0.25">
      <c r="B36" s="47" t="s">
        <v>83</v>
      </c>
      <c r="C36" s="47"/>
      <c r="D36" s="75"/>
      <c r="E36" s="75">
        <f>D41</f>
        <v>0</v>
      </c>
      <c r="F36" s="75">
        <f t="shared" ref="F36:M36" si="3">E41</f>
        <v>0</v>
      </c>
      <c r="G36" s="75">
        <f t="shared" si="3"/>
        <v>0</v>
      </c>
      <c r="H36" s="75">
        <f t="shared" si="3"/>
        <v>0</v>
      </c>
      <c r="I36" s="75">
        <f t="shared" si="3"/>
        <v>0</v>
      </c>
      <c r="J36" s="103">
        <f t="shared" si="3"/>
        <v>0</v>
      </c>
      <c r="K36" s="75">
        <f t="shared" si="3"/>
        <v>0</v>
      </c>
      <c r="L36" s="75">
        <f t="shared" si="3"/>
        <v>0</v>
      </c>
      <c r="M36" s="176">
        <f t="shared" si="3"/>
        <v>0</v>
      </c>
      <c r="N36" s="47"/>
      <c r="O36" s="73"/>
      <c r="P36" s="73"/>
      <c r="Q36" s="73"/>
      <c r="R36" s="73"/>
      <c r="S36" s="73"/>
      <c r="T36" s="73"/>
      <c r="U36" s="73"/>
      <c r="V36" s="73"/>
      <c r="W36" s="73"/>
      <c r="X36" s="73"/>
      <c r="Y36" s="73"/>
      <c r="Z36" s="73"/>
      <c r="AA36" s="73"/>
      <c r="AB36" s="73"/>
      <c r="AC36" s="89"/>
    </row>
    <row r="37" spans="2:29" x14ac:dyDescent="0.25">
      <c r="B37" s="67" t="s">
        <v>84</v>
      </c>
      <c r="C37" s="47"/>
      <c r="D37" s="74">
        <f t="shared" ref="D37:M37" si="4">$C23*D9</f>
        <v>0</v>
      </c>
      <c r="E37" s="74">
        <f t="shared" si="4"/>
        <v>150000</v>
      </c>
      <c r="F37" s="74">
        <f t="shared" si="4"/>
        <v>250000</v>
      </c>
      <c r="G37" s="74">
        <f t="shared" si="4"/>
        <v>250000</v>
      </c>
      <c r="H37" s="74">
        <f t="shared" si="4"/>
        <v>250000</v>
      </c>
      <c r="I37" s="74">
        <f t="shared" si="4"/>
        <v>100000</v>
      </c>
      <c r="J37" s="74">
        <f t="shared" si="4"/>
        <v>0</v>
      </c>
      <c r="K37" s="74">
        <f t="shared" si="4"/>
        <v>0</v>
      </c>
      <c r="L37" s="74">
        <f t="shared" si="4"/>
        <v>0</v>
      </c>
      <c r="M37" s="74">
        <f t="shared" si="4"/>
        <v>0</v>
      </c>
      <c r="N37" s="199">
        <f t="shared" ref="N37:N40" si="5">SUM(D37:M37)</f>
        <v>1000000</v>
      </c>
      <c r="O37" s="76"/>
      <c r="P37" s="76"/>
      <c r="Q37" s="76"/>
      <c r="R37" s="76"/>
      <c r="S37" s="76"/>
      <c r="T37" s="76"/>
      <c r="U37" s="76"/>
      <c r="V37" s="76"/>
      <c r="W37" s="76"/>
      <c r="X37" s="76"/>
      <c r="Y37" s="76"/>
      <c r="Z37" s="76"/>
      <c r="AA37" s="76"/>
      <c r="AB37" s="76"/>
      <c r="AC37" s="89"/>
    </row>
    <row r="38" spans="2:29" x14ac:dyDescent="0.25">
      <c r="B38" s="47" t="s">
        <v>85</v>
      </c>
      <c r="C38" s="47"/>
      <c r="D38" s="75">
        <f>D36*$D149</f>
        <v>0</v>
      </c>
      <c r="E38" s="75">
        <f t="shared" ref="E38:M38" si="6">(E36+E37)*$D149</f>
        <v>36000</v>
      </c>
      <c r="F38" s="75">
        <f t="shared" si="6"/>
        <v>60000</v>
      </c>
      <c r="G38" s="75">
        <f t="shared" si="6"/>
        <v>60000</v>
      </c>
      <c r="H38" s="75">
        <f t="shared" si="6"/>
        <v>60000</v>
      </c>
      <c r="I38" s="75">
        <f t="shared" si="6"/>
        <v>24000</v>
      </c>
      <c r="J38" s="75">
        <f t="shared" si="6"/>
        <v>0</v>
      </c>
      <c r="K38" s="75">
        <f t="shared" si="6"/>
        <v>0</v>
      </c>
      <c r="L38" s="75">
        <f t="shared" si="6"/>
        <v>0</v>
      </c>
      <c r="M38" s="176">
        <f t="shared" si="6"/>
        <v>0</v>
      </c>
      <c r="N38" s="93">
        <f t="shared" si="5"/>
        <v>240000</v>
      </c>
      <c r="O38" s="73"/>
      <c r="P38" s="73"/>
      <c r="Q38" s="73"/>
      <c r="R38" s="73"/>
      <c r="S38" s="73"/>
      <c r="T38" s="73"/>
      <c r="U38" s="73"/>
      <c r="V38" s="73"/>
      <c r="W38" s="73"/>
      <c r="X38" s="73"/>
      <c r="Y38" s="73"/>
      <c r="Z38" s="73"/>
      <c r="AA38" s="73"/>
      <c r="AB38" s="73"/>
      <c r="AC38" s="89"/>
    </row>
    <row r="39" spans="2:29" x14ac:dyDescent="0.25">
      <c r="B39" s="47" t="s">
        <v>87</v>
      </c>
      <c r="C39" s="47"/>
      <c r="D39" s="75">
        <v>0</v>
      </c>
      <c r="E39" s="75">
        <f t="shared" ref="E39:M39" si="7">E37*$C20</f>
        <v>150000</v>
      </c>
      <c r="F39" s="75">
        <f t="shared" si="7"/>
        <v>250000</v>
      </c>
      <c r="G39" s="75">
        <f t="shared" si="7"/>
        <v>250000</v>
      </c>
      <c r="H39" s="75">
        <f t="shared" si="7"/>
        <v>250000</v>
      </c>
      <c r="I39" s="75">
        <f t="shared" si="7"/>
        <v>100000</v>
      </c>
      <c r="J39" s="75">
        <f t="shared" si="7"/>
        <v>0</v>
      </c>
      <c r="K39" s="75">
        <f t="shared" si="7"/>
        <v>0</v>
      </c>
      <c r="L39" s="75">
        <f t="shared" si="7"/>
        <v>0</v>
      </c>
      <c r="M39" s="176">
        <f t="shared" si="7"/>
        <v>0</v>
      </c>
      <c r="N39" s="93">
        <f t="shared" si="5"/>
        <v>1000000</v>
      </c>
      <c r="O39" s="73"/>
      <c r="P39" s="73"/>
      <c r="Q39" s="73"/>
      <c r="R39" s="73"/>
      <c r="S39" s="73"/>
      <c r="T39" s="73"/>
      <c r="U39" s="73"/>
      <c r="V39" s="73"/>
      <c r="W39" s="73"/>
      <c r="X39" s="73"/>
      <c r="Y39" s="73"/>
      <c r="Z39" s="73"/>
      <c r="AA39" s="73"/>
      <c r="AB39" s="73"/>
      <c r="AC39" s="89"/>
    </row>
    <row r="40" spans="2:29" x14ac:dyDescent="0.25">
      <c r="B40" s="47" t="s">
        <v>120</v>
      </c>
      <c r="C40" s="47"/>
      <c r="D40" s="75">
        <f>D38+D39</f>
        <v>0</v>
      </c>
      <c r="E40" s="75">
        <f>E38+E39</f>
        <v>186000</v>
      </c>
      <c r="F40" s="75">
        <f t="shared" ref="F40:M40" si="8">F38+F39</f>
        <v>310000</v>
      </c>
      <c r="G40" s="75">
        <f t="shared" si="8"/>
        <v>310000</v>
      </c>
      <c r="H40" s="75">
        <f t="shared" si="8"/>
        <v>310000</v>
      </c>
      <c r="I40" s="75">
        <f t="shared" si="8"/>
        <v>124000</v>
      </c>
      <c r="J40" s="103">
        <f t="shared" si="8"/>
        <v>0</v>
      </c>
      <c r="K40" s="75">
        <f t="shared" si="8"/>
        <v>0</v>
      </c>
      <c r="L40" s="75">
        <f t="shared" si="8"/>
        <v>0</v>
      </c>
      <c r="M40" s="176">
        <f t="shared" si="8"/>
        <v>0</v>
      </c>
      <c r="N40" s="93">
        <f t="shared" si="5"/>
        <v>1240000</v>
      </c>
      <c r="O40" s="73"/>
      <c r="P40" s="73"/>
      <c r="Q40" s="73"/>
      <c r="R40" s="73"/>
      <c r="S40" s="73"/>
      <c r="T40" s="73"/>
      <c r="U40" s="73"/>
      <c r="V40" s="73"/>
      <c r="W40" s="73"/>
      <c r="X40" s="73"/>
      <c r="Y40" s="73"/>
      <c r="Z40" s="73"/>
      <c r="AA40" s="73"/>
      <c r="AB40" s="73"/>
      <c r="AC40" s="89"/>
    </row>
    <row r="41" spans="2:29" x14ac:dyDescent="0.25">
      <c r="B41" s="47" t="s">
        <v>86</v>
      </c>
      <c r="C41" s="47"/>
      <c r="D41" s="75">
        <f>D36+D37-D40</f>
        <v>0</v>
      </c>
      <c r="E41" s="75">
        <f>E36+E37-E40+E38</f>
        <v>0</v>
      </c>
      <c r="F41" s="75">
        <f t="shared" ref="F41:M41" si="9">F36+F37-F40+F38</f>
        <v>0</v>
      </c>
      <c r="G41" s="75">
        <f t="shared" si="9"/>
        <v>0</v>
      </c>
      <c r="H41" s="75">
        <f t="shared" si="9"/>
        <v>0</v>
      </c>
      <c r="I41" s="75">
        <f t="shared" si="9"/>
        <v>0</v>
      </c>
      <c r="J41" s="103">
        <f t="shared" si="9"/>
        <v>0</v>
      </c>
      <c r="K41" s="75">
        <f t="shared" si="9"/>
        <v>0</v>
      </c>
      <c r="L41" s="75">
        <f t="shared" si="9"/>
        <v>0</v>
      </c>
      <c r="M41" s="176">
        <f t="shared" si="9"/>
        <v>0</v>
      </c>
      <c r="N41" s="93"/>
      <c r="O41" s="73"/>
      <c r="P41" s="73"/>
      <c r="Q41" s="73"/>
      <c r="R41" s="73"/>
      <c r="S41" s="73"/>
      <c r="T41" s="73"/>
      <c r="U41" s="73"/>
      <c r="V41" s="73"/>
      <c r="W41" s="73"/>
      <c r="X41" s="73"/>
      <c r="Y41" s="73"/>
      <c r="Z41" s="73"/>
      <c r="AA41" s="73"/>
      <c r="AB41" s="73"/>
      <c r="AC41" s="89"/>
    </row>
    <row r="42" spans="2:29" x14ac:dyDescent="0.25">
      <c r="C42" s="71"/>
      <c r="N42" s="93"/>
    </row>
    <row r="43" spans="2:29" x14ac:dyDescent="0.25">
      <c r="B43" s="44"/>
      <c r="C43" s="71"/>
    </row>
    <row r="44" spans="2:29" x14ac:dyDescent="0.25">
      <c r="B44" s="44"/>
      <c r="C44" s="71"/>
    </row>
    <row r="45" spans="2:29" x14ac:dyDescent="0.25">
      <c r="B45" s="99" t="s">
        <v>90</v>
      </c>
      <c r="C45" s="8" t="s">
        <v>19</v>
      </c>
      <c r="D45" s="15">
        <v>0</v>
      </c>
      <c r="E45" s="15">
        <v>1</v>
      </c>
      <c r="F45" s="15">
        <v>2</v>
      </c>
      <c r="G45" s="15">
        <v>3</v>
      </c>
      <c r="H45" s="15">
        <v>4</v>
      </c>
      <c r="I45" s="15">
        <v>5</v>
      </c>
      <c r="J45" s="15">
        <v>6</v>
      </c>
      <c r="K45" s="15">
        <v>7</v>
      </c>
      <c r="L45" s="15">
        <v>8</v>
      </c>
      <c r="M45" s="15">
        <v>9</v>
      </c>
      <c r="N45" s="63" t="s">
        <v>109</v>
      </c>
      <c r="O45" s="15"/>
      <c r="P45" s="15"/>
      <c r="Q45" s="15"/>
      <c r="R45" s="15"/>
      <c r="S45" s="15"/>
      <c r="T45" s="15"/>
      <c r="U45" s="15"/>
      <c r="V45" s="15"/>
      <c r="W45" s="15"/>
      <c r="X45" s="15"/>
      <c r="Y45" s="15"/>
      <c r="Z45" s="15"/>
      <c r="AA45" s="15"/>
      <c r="AB45" s="15"/>
    </row>
    <row r="46" spans="2:29" x14ac:dyDescent="0.25">
      <c r="B46" s="47" t="s">
        <v>83</v>
      </c>
      <c r="C46" s="47"/>
      <c r="D46" s="75"/>
      <c r="E46" s="75">
        <f>D51</f>
        <v>0</v>
      </c>
      <c r="F46" s="75">
        <f t="shared" ref="F46:M46" si="10">E51</f>
        <v>0</v>
      </c>
      <c r="G46" s="75">
        <f t="shared" si="10"/>
        <v>0</v>
      </c>
      <c r="H46" s="75">
        <f t="shared" si="10"/>
        <v>0</v>
      </c>
      <c r="I46" s="75">
        <f t="shared" si="10"/>
        <v>0</v>
      </c>
      <c r="J46" s="103">
        <f t="shared" si="10"/>
        <v>0</v>
      </c>
      <c r="K46" s="75">
        <f t="shared" si="10"/>
        <v>0</v>
      </c>
      <c r="L46" s="75">
        <f t="shared" si="10"/>
        <v>0</v>
      </c>
      <c r="M46" s="176">
        <f t="shared" si="10"/>
        <v>0</v>
      </c>
      <c r="N46" s="93"/>
      <c r="O46" s="73"/>
      <c r="P46" s="73"/>
      <c r="Q46" s="73"/>
      <c r="R46" s="73"/>
      <c r="S46" s="73"/>
      <c r="T46" s="73"/>
      <c r="U46" s="73"/>
      <c r="V46" s="73"/>
      <c r="W46" s="73"/>
      <c r="X46" s="73"/>
      <c r="Y46" s="73"/>
      <c r="Z46" s="73"/>
      <c r="AA46" s="73"/>
      <c r="AB46" s="73"/>
      <c r="AC46" s="89"/>
    </row>
    <row r="47" spans="2:29" x14ac:dyDescent="0.25">
      <c r="B47" s="67" t="s">
        <v>84</v>
      </c>
      <c r="C47" s="47"/>
      <c r="D47" s="74">
        <f>$C24*D9</f>
        <v>0</v>
      </c>
      <c r="E47" s="74">
        <f t="shared" ref="E47:M47" si="11">$C24*E9</f>
        <v>75000</v>
      </c>
      <c r="F47" s="74">
        <f t="shared" si="11"/>
        <v>125000</v>
      </c>
      <c r="G47" s="74">
        <f t="shared" si="11"/>
        <v>125000</v>
      </c>
      <c r="H47" s="74">
        <f t="shared" si="11"/>
        <v>125000</v>
      </c>
      <c r="I47" s="74">
        <f t="shared" si="11"/>
        <v>50000</v>
      </c>
      <c r="J47" s="74">
        <f t="shared" si="11"/>
        <v>0</v>
      </c>
      <c r="K47" s="74">
        <f t="shared" si="11"/>
        <v>0</v>
      </c>
      <c r="L47" s="74">
        <f t="shared" si="11"/>
        <v>0</v>
      </c>
      <c r="M47" s="74">
        <f t="shared" si="11"/>
        <v>0</v>
      </c>
      <c r="N47" s="93">
        <f t="shared" ref="N47:N50" si="12">SUM(D47:M47)</f>
        <v>500000</v>
      </c>
      <c r="O47" s="76"/>
      <c r="P47" s="76"/>
      <c r="Q47" s="76"/>
      <c r="R47" s="76"/>
      <c r="S47" s="76"/>
      <c r="T47" s="76"/>
      <c r="U47" s="76"/>
      <c r="V47" s="76"/>
      <c r="W47" s="76"/>
      <c r="X47" s="76"/>
      <c r="Y47" s="76"/>
      <c r="Z47" s="76"/>
      <c r="AA47" s="76"/>
      <c r="AB47" s="76"/>
      <c r="AC47" s="89"/>
    </row>
    <row r="48" spans="2:29" x14ac:dyDescent="0.25">
      <c r="B48" s="47" t="s">
        <v>85</v>
      </c>
      <c r="C48" s="47"/>
      <c r="D48" s="75">
        <v>0</v>
      </c>
      <c r="E48" s="75">
        <f t="shared" ref="E48:M48" si="13">(E46+E47)*$D149</f>
        <v>18000</v>
      </c>
      <c r="F48" s="75">
        <f t="shared" si="13"/>
        <v>30000</v>
      </c>
      <c r="G48" s="75">
        <f t="shared" si="13"/>
        <v>30000</v>
      </c>
      <c r="H48" s="75">
        <f t="shared" si="13"/>
        <v>30000</v>
      </c>
      <c r="I48" s="75">
        <f t="shared" si="13"/>
        <v>12000</v>
      </c>
      <c r="J48" s="75">
        <f t="shared" si="13"/>
        <v>0</v>
      </c>
      <c r="K48" s="75">
        <f t="shared" si="13"/>
        <v>0</v>
      </c>
      <c r="L48" s="75">
        <f t="shared" si="13"/>
        <v>0</v>
      </c>
      <c r="M48" s="176">
        <f t="shared" si="13"/>
        <v>0</v>
      </c>
      <c r="N48" s="93">
        <f t="shared" si="12"/>
        <v>120000</v>
      </c>
      <c r="O48" s="73"/>
      <c r="P48" s="73"/>
      <c r="Q48" s="73"/>
      <c r="R48" s="73"/>
      <c r="S48" s="73"/>
      <c r="T48" s="73"/>
      <c r="U48" s="73"/>
      <c r="V48" s="73"/>
      <c r="W48" s="73"/>
      <c r="X48" s="73"/>
      <c r="Y48" s="73"/>
      <c r="Z48" s="73"/>
      <c r="AA48" s="73"/>
      <c r="AB48" s="73"/>
      <c r="AC48" s="89"/>
    </row>
    <row r="49" spans="2:29" x14ac:dyDescent="0.25">
      <c r="B49" s="47" t="s">
        <v>87</v>
      </c>
      <c r="C49" s="47"/>
      <c r="D49" s="75">
        <v>0</v>
      </c>
      <c r="E49" s="75">
        <f t="shared" ref="E49:M49" si="14">E47*$C20</f>
        <v>75000</v>
      </c>
      <c r="F49" s="75">
        <f t="shared" si="14"/>
        <v>125000</v>
      </c>
      <c r="G49" s="75">
        <f t="shared" si="14"/>
        <v>125000</v>
      </c>
      <c r="H49" s="75">
        <f t="shared" si="14"/>
        <v>125000</v>
      </c>
      <c r="I49" s="75">
        <f t="shared" si="14"/>
        <v>50000</v>
      </c>
      <c r="J49" s="75">
        <f t="shared" si="14"/>
        <v>0</v>
      </c>
      <c r="K49" s="75">
        <f t="shared" si="14"/>
        <v>0</v>
      </c>
      <c r="L49" s="75">
        <f t="shared" si="14"/>
        <v>0</v>
      </c>
      <c r="M49" s="176">
        <f t="shared" si="14"/>
        <v>0</v>
      </c>
      <c r="N49" s="93">
        <f t="shared" si="12"/>
        <v>500000</v>
      </c>
      <c r="O49" s="73"/>
      <c r="P49" s="73"/>
      <c r="Q49" s="73"/>
      <c r="R49" s="73"/>
      <c r="S49" s="73"/>
      <c r="T49" s="73"/>
      <c r="U49" s="73"/>
      <c r="V49" s="73"/>
      <c r="W49" s="73"/>
      <c r="X49" s="73"/>
      <c r="Y49" s="73"/>
      <c r="Z49" s="73"/>
      <c r="AA49" s="73"/>
      <c r="AB49" s="73"/>
      <c r="AC49" s="89"/>
    </row>
    <row r="50" spans="2:29" x14ac:dyDescent="0.25">
      <c r="B50" s="47" t="s">
        <v>120</v>
      </c>
      <c r="C50" s="47"/>
      <c r="D50" s="75">
        <f>D48+D49</f>
        <v>0</v>
      </c>
      <c r="E50" s="75">
        <f t="shared" ref="E50:M50" si="15">E48+E49</f>
        <v>93000</v>
      </c>
      <c r="F50" s="75">
        <f t="shared" si="15"/>
        <v>155000</v>
      </c>
      <c r="G50" s="75">
        <f t="shared" si="15"/>
        <v>155000</v>
      </c>
      <c r="H50" s="75">
        <f t="shared" si="15"/>
        <v>155000</v>
      </c>
      <c r="I50" s="75">
        <f t="shared" si="15"/>
        <v>62000</v>
      </c>
      <c r="J50" s="103">
        <f t="shared" si="15"/>
        <v>0</v>
      </c>
      <c r="K50" s="75">
        <f t="shared" si="15"/>
        <v>0</v>
      </c>
      <c r="L50" s="75">
        <f t="shared" si="15"/>
        <v>0</v>
      </c>
      <c r="M50" s="176">
        <f t="shared" si="15"/>
        <v>0</v>
      </c>
      <c r="N50" s="93">
        <f t="shared" si="12"/>
        <v>620000</v>
      </c>
      <c r="O50" s="73"/>
      <c r="P50" s="73"/>
      <c r="Q50" s="73"/>
      <c r="R50" s="73"/>
      <c r="S50" s="73"/>
      <c r="T50" s="73"/>
      <c r="U50" s="73"/>
      <c r="V50" s="73"/>
      <c r="W50" s="73"/>
      <c r="X50" s="73"/>
      <c r="Y50" s="73"/>
      <c r="Z50" s="73"/>
      <c r="AA50" s="73"/>
      <c r="AB50" s="73"/>
      <c r="AC50" s="89"/>
    </row>
    <row r="51" spans="2:29" x14ac:dyDescent="0.25">
      <c r="B51" s="47" t="s">
        <v>86</v>
      </c>
      <c r="C51" s="47"/>
      <c r="D51" s="75">
        <f>D46+D47-D50</f>
        <v>0</v>
      </c>
      <c r="E51" s="75">
        <f>E46+E47-E50+E48</f>
        <v>0</v>
      </c>
      <c r="F51" s="75">
        <f t="shared" ref="F51:M51" si="16">F46+F47-F50+F48</f>
        <v>0</v>
      </c>
      <c r="G51" s="75">
        <f t="shared" si="16"/>
        <v>0</v>
      </c>
      <c r="H51" s="75">
        <f t="shared" si="16"/>
        <v>0</v>
      </c>
      <c r="I51" s="75">
        <f t="shared" si="16"/>
        <v>0</v>
      </c>
      <c r="J51" s="103">
        <f t="shared" si="16"/>
        <v>0</v>
      </c>
      <c r="K51" s="75">
        <f t="shared" si="16"/>
        <v>0</v>
      </c>
      <c r="L51" s="75">
        <f t="shared" si="16"/>
        <v>0</v>
      </c>
      <c r="M51" s="176">
        <f t="shared" si="16"/>
        <v>0</v>
      </c>
      <c r="N51" s="93"/>
      <c r="O51" s="73"/>
      <c r="P51" s="73"/>
      <c r="Q51" s="73"/>
      <c r="R51" s="73"/>
      <c r="S51" s="73"/>
      <c r="T51" s="73"/>
      <c r="U51" s="73"/>
      <c r="V51" s="73"/>
      <c r="W51" s="73"/>
      <c r="X51" s="73"/>
      <c r="Y51" s="73"/>
      <c r="Z51" s="73"/>
      <c r="AA51" s="73"/>
      <c r="AB51" s="73"/>
      <c r="AC51" s="89"/>
    </row>
    <row r="52" spans="2:29" x14ac:dyDescent="0.25">
      <c r="C52" s="72"/>
      <c r="D52" s="73"/>
      <c r="E52" s="73"/>
      <c r="F52" s="73"/>
      <c r="G52" s="73"/>
      <c r="H52" s="73"/>
      <c r="I52" s="73"/>
      <c r="J52" s="73"/>
      <c r="K52" s="73"/>
      <c r="L52" s="73"/>
      <c r="M52" s="73"/>
      <c r="N52" s="73"/>
      <c r="O52" s="73"/>
      <c r="P52" s="73"/>
      <c r="Q52" s="73"/>
      <c r="R52" s="73"/>
      <c r="S52" s="73"/>
      <c r="T52" s="73"/>
      <c r="U52" s="73"/>
      <c r="V52" s="73"/>
      <c r="W52" s="73"/>
    </row>
    <row r="53" spans="2:29" hidden="1" x14ac:dyDescent="0.25">
      <c r="B53" s="44" t="s">
        <v>88</v>
      </c>
      <c r="C53" s="71"/>
      <c r="T53" s="73"/>
      <c r="U53" s="73"/>
      <c r="V53" s="73"/>
      <c r="W53" s="73"/>
    </row>
    <row r="54" spans="2:29" hidden="1" x14ac:dyDescent="0.25">
      <c r="B54" s="44"/>
      <c r="C54" s="71"/>
      <c r="T54" s="73"/>
      <c r="U54" s="73"/>
      <c r="V54" s="73"/>
      <c r="W54" s="73"/>
    </row>
    <row r="55" spans="2:29" hidden="1" x14ac:dyDescent="0.25">
      <c r="B55" s="99" t="s">
        <v>90</v>
      </c>
      <c r="C55" s="8" t="s">
        <v>19</v>
      </c>
      <c r="D55" s="15">
        <v>0</v>
      </c>
      <c r="E55" s="15">
        <v>1</v>
      </c>
      <c r="F55" s="15">
        <v>2</v>
      </c>
      <c r="G55" s="15">
        <v>3</v>
      </c>
      <c r="H55" s="15">
        <v>4</v>
      </c>
      <c r="I55" s="15">
        <v>5</v>
      </c>
      <c r="J55" s="15">
        <v>6</v>
      </c>
      <c r="K55" s="15">
        <v>7</v>
      </c>
      <c r="L55" s="15">
        <v>8</v>
      </c>
      <c r="M55" s="15">
        <v>9</v>
      </c>
      <c r="N55" s="15">
        <v>10</v>
      </c>
      <c r="O55" s="15">
        <v>11</v>
      </c>
      <c r="P55" s="15">
        <v>12</v>
      </c>
      <c r="Q55" s="15">
        <v>13</v>
      </c>
      <c r="R55" s="15">
        <v>14</v>
      </c>
      <c r="S55" s="15">
        <v>15</v>
      </c>
      <c r="T55" s="15">
        <v>16</v>
      </c>
      <c r="U55" s="15">
        <v>17</v>
      </c>
      <c r="V55" s="15">
        <v>18</v>
      </c>
      <c r="W55" s="15">
        <v>19</v>
      </c>
      <c r="X55" s="15">
        <v>20</v>
      </c>
      <c r="Y55" s="15">
        <v>21</v>
      </c>
      <c r="Z55" s="15">
        <v>22</v>
      </c>
      <c r="AA55" s="15">
        <v>23</v>
      </c>
      <c r="AB55" s="15">
        <v>24</v>
      </c>
    </row>
    <row r="56" spans="2:29" hidden="1" x14ac:dyDescent="0.25">
      <c r="B56" s="47" t="s">
        <v>83</v>
      </c>
      <c r="C56" s="47"/>
      <c r="D56" s="75"/>
      <c r="E56" s="75" t="e">
        <f>D61</f>
        <v>#REF!</v>
      </c>
      <c r="F56" s="75" t="e">
        <f t="shared" ref="F56:AB56" si="17">E61</f>
        <v>#REF!</v>
      </c>
      <c r="G56" s="75" t="e">
        <f t="shared" si="17"/>
        <v>#REF!</v>
      </c>
      <c r="H56" s="75" t="e">
        <f t="shared" si="17"/>
        <v>#REF!</v>
      </c>
      <c r="I56" s="75" t="e">
        <f t="shared" si="17"/>
        <v>#REF!</v>
      </c>
      <c r="J56" s="103" t="e">
        <f t="shared" si="17"/>
        <v>#REF!</v>
      </c>
      <c r="K56" s="75" t="e">
        <f t="shared" si="17"/>
        <v>#REF!</v>
      </c>
      <c r="L56" s="75" t="e">
        <f t="shared" si="17"/>
        <v>#REF!</v>
      </c>
      <c r="M56" s="75" t="e">
        <f t="shared" si="17"/>
        <v>#REF!</v>
      </c>
      <c r="N56" s="75" t="e">
        <f t="shared" si="17"/>
        <v>#REF!</v>
      </c>
      <c r="O56" s="75" t="e">
        <f t="shared" si="17"/>
        <v>#REF!</v>
      </c>
      <c r="P56" s="75" t="e">
        <f t="shared" si="17"/>
        <v>#REF!</v>
      </c>
      <c r="Q56" s="75" t="e">
        <f t="shared" si="17"/>
        <v>#REF!</v>
      </c>
      <c r="R56" s="75" t="e">
        <f t="shared" si="17"/>
        <v>#REF!</v>
      </c>
      <c r="S56" s="75" t="e">
        <f t="shared" si="17"/>
        <v>#REF!</v>
      </c>
      <c r="T56" s="75" t="e">
        <f t="shared" si="17"/>
        <v>#REF!</v>
      </c>
      <c r="U56" s="75" t="e">
        <f t="shared" si="17"/>
        <v>#REF!</v>
      </c>
      <c r="V56" s="75" t="e">
        <f t="shared" si="17"/>
        <v>#REF!</v>
      </c>
      <c r="W56" s="75" t="e">
        <f t="shared" si="17"/>
        <v>#REF!</v>
      </c>
      <c r="X56" s="75" t="e">
        <f t="shared" si="17"/>
        <v>#REF!</v>
      </c>
      <c r="Y56" s="75" t="e">
        <f t="shared" si="17"/>
        <v>#REF!</v>
      </c>
      <c r="Z56" s="75" t="e">
        <f t="shared" si="17"/>
        <v>#REF!</v>
      </c>
      <c r="AA56" s="75" t="e">
        <f t="shared" si="17"/>
        <v>#REF!</v>
      </c>
      <c r="AB56" s="75" t="e">
        <f t="shared" si="17"/>
        <v>#REF!</v>
      </c>
      <c r="AC56" s="89"/>
    </row>
    <row r="57" spans="2:29" hidden="1" x14ac:dyDescent="0.25">
      <c r="B57" s="67" t="s">
        <v>84</v>
      </c>
      <c r="C57" s="47"/>
      <c r="D57" s="74" t="e">
        <f>$C23*#REF!</f>
        <v>#REF!</v>
      </c>
      <c r="E57" s="74" t="e">
        <f>$C23*#REF!</f>
        <v>#REF!</v>
      </c>
      <c r="F57" s="74" t="e">
        <f>$C23*#REF!</f>
        <v>#REF!</v>
      </c>
      <c r="G57" s="74" t="e">
        <f>$C23*#REF!</f>
        <v>#REF!</v>
      </c>
      <c r="H57" s="74" t="e">
        <f>$C23*#REF!</f>
        <v>#REF!</v>
      </c>
      <c r="I57" s="74" t="e">
        <f>$C23*#REF!</f>
        <v>#REF!</v>
      </c>
      <c r="J57" s="74" t="e">
        <f>$C23*#REF!</f>
        <v>#REF!</v>
      </c>
      <c r="K57" s="74" t="e">
        <f>$C23*#REF!</f>
        <v>#REF!</v>
      </c>
      <c r="L57" s="74" t="e">
        <f>$C23*#REF!</f>
        <v>#REF!</v>
      </c>
      <c r="M57" s="74" t="e">
        <f>$C23*#REF!</f>
        <v>#REF!</v>
      </c>
      <c r="N57" s="74" t="e">
        <f>$C23*#REF!</f>
        <v>#REF!</v>
      </c>
      <c r="O57" s="74" t="e">
        <f>$C23*#REF!</f>
        <v>#REF!</v>
      </c>
      <c r="P57" s="74" t="e">
        <f>$C23*#REF!</f>
        <v>#REF!</v>
      </c>
      <c r="Q57" s="74" t="e">
        <f>$C23*#REF!</f>
        <v>#REF!</v>
      </c>
      <c r="R57" s="74" t="e">
        <f>$C23*#REF!</f>
        <v>#REF!</v>
      </c>
      <c r="S57" s="74" t="e">
        <f>$C23*#REF!</f>
        <v>#REF!</v>
      </c>
      <c r="T57" s="74" t="e">
        <f>$C23*#REF!</f>
        <v>#REF!</v>
      </c>
      <c r="U57" s="74" t="e">
        <f>$C23*#REF!</f>
        <v>#REF!</v>
      </c>
      <c r="V57" s="74" t="e">
        <f>$C23*#REF!</f>
        <v>#REF!</v>
      </c>
      <c r="W57" s="74" t="e">
        <f>$C23*#REF!</f>
        <v>#REF!</v>
      </c>
      <c r="X57" s="74" t="e">
        <f>$C23*#REF!</f>
        <v>#REF!</v>
      </c>
      <c r="Y57" s="74" t="e">
        <f>$C23*#REF!</f>
        <v>#REF!</v>
      </c>
      <c r="Z57" s="74" t="e">
        <f>$C23*#REF!</f>
        <v>#REF!</v>
      </c>
      <c r="AA57" s="74" t="e">
        <f>$C23*#REF!</f>
        <v>#REF!</v>
      </c>
      <c r="AB57" s="74" t="e">
        <f>$C23*#REF!</f>
        <v>#REF!</v>
      </c>
      <c r="AC57" s="89" t="e">
        <f>SUM(D57:AB57)</f>
        <v>#REF!</v>
      </c>
    </row>
    <row r="58" spans="2:29" hidden="1" x14ac:dyDescent="0.25">
      <c r="B58" s="47" t="s">
        <v>85</v>
      </c>
      <c r="C58" s="47"/>
      <c r="D58" s="75">
        <v>0</v>
      </c>
      <c r="E58" s="75" t="e">
        <f t="shared" ref="E58:AB58" si="18">E56*$D149</f>
        <v>#REF!</v>
      </c>
      <c r="F58" s="75" t="e">
        <f t="shared" si="18"/>
        <v>#REF!</v>
      </c>
      <c r="G58" s="75" t="e">
        <f t="shared" si="18"/>
        <v>#REF!</v>
      </c>
      <c r="H58" s="75" t="e">
        <f t="shared" si="18"/>
        <v>#REF!</v>
      </c>
      <c r="I58" s="75" t="e">
        <f t="shared" si="18"/>
        <v>#REF!</v>
      </c>
      <c r="J58" s="75" t="e">
        <f t="shared" si="18"/>
        <v>#REF!</v>
      </c>
      <c r="K58" s="75" t="e">
        <f t="shared" si="18"/>
        <v>#REF!</v>
      </c>
      <c r="L58" s="75" t="e">
        <f t="shared" si="18"/>
        <v>#REF!</v>
      </c>
      <c r="M58" s="75" t="e">
        <f t="shared" si="18"/>
        <v>#REF!</v>
      </c>
      <c r="N58" s="75" t="e">
        <f t="shared" si="18"/>
        <v>#REF!</v>
      </c>
      <c r="O58" s="75" t="e">
        <f t="shared" si="18"/>
        <v>#REF!</v>
      </c>
      <c r="P58" s="75" t="e">
        <f t="shared" si="18"/>
        <v>#REF!</v>
      </c>
      <c r="Q58" s="75" t="e">
        <f t="shared" si="18"/>
        <v>#REF!</v>
      </c>
      <c r="R58" s="75" t="e">
        <f t="shared" si="18"/>
        <v>#REF!</v>
      </c>
      <c r="S58" s="75" t="e">
        <f t="shared" si="18"/>
        <v>#REF!</v>
      </c>
      <c r="T58" s="75" t="e">
        <f t="shared" si="18"/>
        <v>#REF!</v>
      </c>
      <c r="U58" s="75" t="e">
        <f t="shared" si="18"/>
        <v>#REF!</v>
      </c>
      <c r="V58" s="75" t="e">
        <f t="shared" si="18"/>
        <v>#REF!</v>
      </c>
      <c r="W58" s="75" t="e">
        <f t="shared" si="18"/>
        <v>#REF!</v>
      </c>
      <c r="X58" s="75" t="e">
        <f t="shared" si="18"/>
        <v>#REF!</v>
      </c>
      <c r="Y58" s="75" t="e">
        <f t="shared" si="18"/>
        <v>#REF!</v>
      </c>
      <c r="Z58" s="75" t="e">
        <f t="shared" si="18"/>
        <v>#REF!</v>
      </c>
      <c r="AA58" s="75" t="e">
        <f t="shared" si="18"/>
        <v>#REF!</v>
      </c>
      <c r="AB58" s="75" t="e">
        <f t="shared" si="18"/>
        <v>#REF!</v>
      </c>
      <c r="AC58" s="89" t="e">
        <f>SUM(D58:AB58)</f>
        <v>#REF!</v>
      </c>
    </row>
    <row r="59" spans="2:29" hidden="1" x14ac:dyDescent="0.25">
      <c r="B59" s="47" t="s">
        <v>87</v>
      </c>
      <c r="C59" s="47"/>
      <c r="D59" s="75">
        <f>D49</f>
        <v>0</v>
      </c>
      <c r="E59" s="75">
        <f t="shared" ref="E59:AB59" si="19">E49</f>
        <v>75000</v>
      </c>
      <c r="F59" s="75">
        <f t="shared" si="19"/>
        <v>125000</v>
      </c>
      <c r="G59" s="75">
        <f t="shared" si="19"/>
        <v>125000</v>
      </c>
      <c r="H59" s="75">
        <f t="shared" si="19"/>
        <v>125000</v>
      </c>
      <c r="I59" s="75">
        <f t="shared" si="19"/>
        <v>50000</v>
      </c>
      <c r="J59" s="75">
        <f t="shared" si="19"/>
        <v>0</v>
      </c>
      <c r="K59" s="75">
        <f t="shared" si="19"/>
        <v>0</v>
      </c>
      <c r="L59" s="75">
        <f t="shared" si="19"/>
        <v>0</v>
      </c>
      <c r="M59" s="75">
        <f t="shared" si="19"/>
        <v>0</v>
      </c>
      <c r="N59" s="75">
        <f t="shared" si="19"/>
        <v>500000</v>
      </c>
      <c r="O59" s="75">
        <f t="shared" si="19"/>
        <v>0</v>
      </c>
      <c r="P59" s="75">
        <f t="shared" si="19"/>
        <v>0</v>
      </c>
      <c r="Q59" s="75">
        <f t="shared" si="19"/>
        <v>0</v>
      </c>
      <c r="R59" s="75">
        <f t="shared" si="19"/>
        <v>0</v>
      </c>
      <c r="S59" s="75">
        <f t="shared" si="19"/>
        <v>0</v>
      </c>
      <c r="T59" s="75">
        <f t="shared" si="19"/>
        <v>0</v>
      </c>
      <c r="U59" s="75">
        <f t="shared" si="19"/>
        <v>0</v>
      </c>
      <c r="V59" s="75">
        <f t="shared" si="19"/>
        <v>0</v>
      </c>
      <c r="W59" s="75">
        <f t="shared" si="19"/>
        <v>0</v>
      </c>
      <c r="X59" s="75">
        <f t="shared" si="19"/>
        <v>0</v>
      </c>
      <c r="Y59" s="75">
        <f t="shared" si="19"/>
        <v>0</v>
      </c>
      <c r="Z59" s="75">
        <f t="shared" si="19"/>
        <v>0</v>
      </c>
      <c r="AA59" s="75">
        <f t="shared" si="19"/>
        <v>0</v>
      </c>
      <c r="AB59" s="75">
        <f t="shared" si="19"/>
        <v>0</v>
      </c>
      <c r="AC59" s="89">
        <f>SUM(D59:AB59)</f>
        <v>1000000</v>
      </c>
    </row>
    <row r="60" spans="2:29" hidden="1" x14ac:dyDescent="0.25">
      <c r="B60" s="47" t="s">
        <v>120</v>
      </c>
      <c r="C60" s="47"/>
      <c r="D60" s="75">
        <f>D58+D59</f>
        <v>0</v>
      </c>
      <c r="E60" s="75" t="e">
        <f t="shared" ref="E60:AB60" si="20">E58+E59</f>
        <v>#REF!</v>
      </c>
      <c r="F60" s="75" t="e">
        <f t="shared" si="20"/>
        <v>#REF!</v>
      </c>
      <c r="G60" s="75" t="e">
        <f t="shared" si="20"/>
        <v>#REF!</v>
      </c>
      <c r="H60" s="75" t="e">
        <f t="shared" si="20"/>
        <v>#REF!</v>
      </c>
      <c r="I60" s="75" t="e">
        <f t="shared" si="20"/>
        <v>#REF!</v>
      </c>
      <c r="J60" s="103" t="e">
        <f t="shared" si="20"/>
        <v>#REF!</v>
      </c>
      <c r="K60" s="75" t="e">
        <f t="shared" si="20"/>
        <v>#REF!</v>
      </c>
      <c r="L60" s="75" t="e">
        <f t="shared" si="20"/>
        <v>#REF!</v>
      </c>
      <c r="M60" s="75" t="e">
        <f t="shared" si="20"/>
        <v>#REF!</v>
      </c>
      <c r="N60" s="75" t="e">
        <f t="shared" si="20"/>
        <v>#REF!</v>
      </c>
      <c r="O60" s="75" t="e">
        <f t="shared" si="20"/>
        <v>#REF!</v>
      </c>
      <c r="P60" s="75" t="e">
        <f t="shared" si="20"/>
        <v>#REF!</v>
      </c>
      <c r="Q60" s="75" t="e">
        <f t="shared" si="20"/>
        <v>#REF!</v>
      </c>
      <c r="R60" s="75" t="e">
        <f t="shared" si="20"/>
        <v>#REF!</v>
      </c>
      <c r="S60" s="75" t="e">
        <f t="shared" si="20"/>
        <v>#REF!</v>
      </c>
      <c r="T60" s="75" t="e">
        <f t="shared" si="20"/>
        <v>#REF!</v>
      </c>
      <c r="U60" s="75" t="e">
        <f t="shared" si="20"/>
        <v>#REF!</v>
      </c>
      <c r="V60" s="75" t="e">
        <f t="shared" si="20"/>
        <v>#REF!</v>
      </c>
      <c r="W60" s="75" t="e">
        <f t="shared" si="20"/>
        <v>#REF!</v>
      </c>
      <c r="X60" s="75" t="e">
        <f t="shared" si="20"/>
        <v>#REF!</v>
      </c>
      <c r="Y60" s="75" t="e">
        <f t="shared" si="20"/>
        <v>#REF!</v>
      </c>
      <c r="Z60" s="75" t="e">
        <f t="shared" si="20"/>
        <v>#REF!</v>
      </c>
      <c r="AA60" s="75" t="e">
        <f t="shared" si="20"/>
        <v>#REF!</v>
      </c>
      <c r="AB60" s="75" t="e">
        <f t="shared" si="20"/>
        <v>#REF!</v>
      </c>
      <c r="AC60" s="89" t="e">
        <f>SUM(D60:AB60)</f>
        <v>#REF!</v>
      </c>
    </row>
    <row r="61" spans="2:29" hidden="1" x14ac:dyDescent="0.25">
      <c r="B61" s="47" t="s">
        <v>86</v>
      </c>
      <c r="C61" s="47"/>
      <c r="D61" s="75" t="e">
        <f>D56+D57-D60</f>
        <v>#REF!</v>
      </c>
      <c r="E61" s="75" t="e">
        <f>E56+E57-E60+E58</f>
        <v>#REF!</v>
      </c>
      <c r="F61" s="75" t="e">
        <f t="shared" ref="F61:AB61" si="21">F56+F57-F60+F58</f>
        <v>#REF!</v>
      </c>
      <c r="G61" s="75" t="e">
        <f t="shared" si="21"/>
        <v>#REF!</v>
      </c>
      <c r="H61" s="75" t="e">
        <f t="shared" si="21"/>
        <v>#REF!</v>
      </c>
      <c r="I61" s="75" t="e">
        <f t="shared" si="21"/>
        <v>#REF!</v>
      </c>
      <c r="J61" s="103" t="e">
        <f t="shared" si="21"/>
        <v>#REF!</v>
      </c>
      <c r="K61" s="75" t="e">
        <f t="shared" si="21"/>
        <v>#REF!</v>
      </c>
      <c r="L61" s="75" t="e">
        <f t="shared" si="21"/>
        <v>#REF!</v>
      </c>
      <c r="M61" s="75" t="e">
        <f t="shared" si="21"/>
        <v>#REF!</v>
      </c>
      <c r="N61" s="75" t="e">
        <f t="shared" si="21"/>
        <v>#REF!</v>
      </c>
      <c r="O61" s="75" t="e">
        <f t="shared" si="21"/>
        <v>#REF!</v>
      </c>
      <c r="P61" s="75" t="e">
        <f t="shared" si="21"/>
        <v>#REF!</v>
      </c>
      <c r="Q61" s="75" t="e">
        <f t="shared" si="21"/>
        <v>#REF!</v>
      </c>
      <c r="R61" s="75" t="e">
        <f t="shared" si="21"/>
        <v>#REF!</v>
      </c>
      <c r="S61" s="75" t="e">
        <f t="shared" si="21"/>
        <v>#REF!</v>
      </c>
      <c r="T61" s="75" t="e">
        <f t="shared" si="21"/>
        <v>#REF!</v>
      </c>
      <c r="U61" s="75" t="e">
        <f t="shared" si="21"/>
        <v>#REF!</v>
      </c>
      <c r="V61" s="75" t="e">
        <f t="shared" si="21"/>
        <v>#REF!</v>
      </c>
      <c r="W61" s="75" t="e">
        <f t="shared" si="21"/>
        <v>#REF!</v>
      </c>
      <c r="X61" s="75" t="e">
        <f t="shared" si="21"/>
        <v>#REF!</v>
      </c>
      <c r="Y61" s="75" t="e">
        <f t="shared" si="21"/>
        <v>#REF!</v>
      </c>
      <c r="Z61" s="75" t="e">
        <f t="shared" si="21"/>
        <v>#REF!</v>
      </c>
      <c r="AA61" s="75" t="e">
        <f t="shared" si="21"/>
        <v>#REF!</v>
      </c>
      <c r="AB61" s="75" t="e">
        <f t="shared" si="21"/>
        <v>#REF!</v>
      </c>
      <c r="AC61" s="89"/>
    </row>
    <row r="62" spans="2:29" hidden="1" x14ac:dyDescent="0.25">
      <c r="B62" s="99"/>
      <c r="C62" s="8"/>
      <c r="D62" s="15"/>
      <c r="E62" s="15"/>
      <c r="F62" s="15"/>
      <c r="G62" s="15"/>
      <c r="H62" s="15"/>
      <c r="I62" s="15"/>
      <c r="J62" s="15"/>
      <c r="K62" s="15"/>
      <c r="L62" s="15"/>
      <c r="M62" s="15"/>
      <c r="N62" s="15"/>
      <c r="O62" s="15"/>
      <c r="P62" s="15"/>
      <c r="Q62" s="15"/>
      <c r="R62" s="15"/>
      <c r="S62" s="15"/>
      <c r="T62" s="15"/>
      <c r="U62" s="15"/>
      <c r="V62" s="15"/>
      <c r="W62" s="15"/>
      <c r="X62" s="15"/>
      <c r="Y62" s="15"/>
      <c r="Z62" s="15"/>
      <c r="AA62" s="15"/>
      <c r="AB62" s="15"/>
    </row>
    <row r="63" spans="2:29" hidden="1" x14ac:dyDescent="0.25">
      <c r="B63" s="44" t="s">
        <v>89</v>
      </c>
      <c r="C63" s="71"/>
      <c r="T63" s="73"/>
      <c r="U63" s="73"/>
      <c r="V63" s="73"/>
      <c r="W63" s="73"/>
    </row>
    <row r="64" spans="2:29" hidden="1" x14ac:dyDescent="0.25">
      <c r="B64" s="99" t="s">
        <v>90</v>
      </c>
      <c r="C64" s="71"/>
      <c r="T64" s="73"/>
      <c r="U64" s="73"/>
      <c r="V64" s="73"/>
      <c r="W64" s="73"/>
    </row>
    <row r="65" spans="1:29" hidden="1" x14ac:dyDescent="0.25">
      <c r="B65" s="47" t="s">
        <v>83</v>
      </c>
      <c r="C65" s="47"/>
      <c r="D65" s="75"/>
      <c r="E65" s="75">
        <f>D70</f>
        <v>0</v>
      </c>
      <c r="F65" s="75" t="e">
        <f t="shared" ref="F65:AB65" si="22">E70</f>
        <v>#REF!</v>
      </c>
      <c r="G65" s="75" t="e">
        <f t="shared" si="22"/>
        <v>#REF!</v>
      </c>
      <c r="H65" s="75" t="e">
        <f t="shared" si="22"/>
        <v>#REF!</v>
      </c>
      <c r="I65" s="75" t="e">
        <f t="shared" si="22"/>
        <v>#REF!</v>
      </c>
      <c r="J65" s="103" t="e">
        <f t="shared" si="22"/>
        <v>#REF!</v>
      </c>
      <c r="K65" s="75" t="e">
        <f t="shared" si="22"/>
        <v>#REF!</v>
      </c>
      <c r="L65" s="75" t="e">
        <f t="shared" si="22"/>
        <v>#REF!</v>
      </c>
      <c r="M65" s="75" t="e">
        <f t="shared" si="22"/>
        <v>#REF!</v>
      </c>
      <c r="N65" s="75" t="e">
        <f t="shared" si="22"/>
        <v>#REF!</v>
      </c>
      <c r="O65" s="75" t="e">
        <f t="shared" si="22"/>
        <v>#REF!</v>
      </c>
      <c r="P65" s="75" t="e">
        <f t="shared" si="22"/>
        <v>#REF!</v>
      </c>
      <c r="Q65" s="75" t="e">
        <f t="shared" si="22"/>
        <v>#REF!</v>
      </c>
      <c r="R65" s="75" t="e">
        <f t="shared" si="22"/>
        <v>#REF!</v>
      </c>
      <c r="S65" s="75" t="e">
        <f t="shared" si="22"/>
        <v>#REF!</v>
      </c>
      <c r="T65" s="75" t="e">
        <f t="shared" si="22"/>
        <v>#REF!</v>
      </c>
      <c r="U65" s="75" t="e">
        <f t="shared" si="22"/>
        <v>#REF!</v>
      </c>
      <c r="V65" s="75" t="e">
        <f t="shared" si="22"/>
        <v>#REF!</v>
      </c>
      <c r="W65" s="75" t="e">
        <f t="shared" si="22"/>
        <v>#REF!</v>
      </c>
      <c r="X65" s="75" t="e">
        <f t="shared" si="22"/>
        <v>#REF!</v>
      </c>
      <c r="Y65" s="75" t="e">
        <f t="shared" si="22"/>
        <v>#REF!</v>
      </c>
      <c r="Z65" s="75" t="e">
        <f t="shared" si="22"/>
        <v>#REF!</v>
      </c>
      <c r="AA65" s="75" t="e">
        <f t="shared" si="22"/>
        <v>#REF!</v>
      </c>
      <c r="AB65" s="75" t="e">
        <f t="shared" si="22"/>
        <v>#REF!</v>
      </c>
      <c r="AC65" s="89"/>
    </row>
    <row r="66" spans="1:29" hidden="1" x14ac:dyDescent="0.25">
      <c r="B66" s="67" t="s">
        <v>84</v>
      </c>
      <c r="C66" s="47"/>
      <c r="D66" s="74">
        <f>$C57*D44</f>
        <v>0</v>
      </c>
      <c r="E66" s="74" t="e">
        <f>$C23*#REF!</f>
        <v>#REF!</v>
      </c>
      <c r="F66" s="74" t="e">
        <f>$C23*#REF!</f>
        <v>#REF!</v>
      </c>
      <c r="G66" s="74" t="e">
        <f>$C23*#REF!</f>
        <v>#REF!</v>
      </c>
      <c r="H66" s="74" t="e">
        <f>$C23*#REF!</f>
        <v>#REF!</v>
      </c>
      <c r="I66" s="74" t="e">
        <f>$C23*#REF!</f>
        <v>#REF!</v>
      </c>
      <c r="J66" s="74" t="e">
        <f>$C23*#REF!</f>
        <v>#REF!</v>
      </c>
      <c r="K66" s="74" t="e">
        <f>$C23*#REF!</f>
        <v>#REF!</v>
      </c>
      <c r="L66" s="74" t="e">
        <f>$C23*#REF!</f>
        <v>#REF!</v>
      </c>
      <c r="M66" s="74" t="e">
        <f>$C23*#REF!</f>
        <v>#REF!</v>
      </c>
      <c r="N66" s="74" t="e">
        <f>$C23*#REF!</f>
        <v>#REF!</v>
      </c>
      <c r="O66" s="74" t="e">
        <f>$C23*#REF!</f>
        <v>#REF!</v>
      </c>
      <c r="P66" s="74" t="e">
        <f>$C23*#REF!</f>
        <v>#REF!</v>
      </c>
      <c r="Q66" s="74" t="e">
        <f>$C23*#REF!</f>
        <v>#REF!</v>
      </c>
      <c r="R66" s="74" t="e">
        <f>$C23*#REF!</f>
        <v>#REF!</v>
      </c>
      <c r="S66" s="74" t="e">
        <f>$C23*#REF!</f>
        <v>#REF!</v>
      </c>
      <c r="T66" s="74" t="e">
        <f>$C23*#REF!</f>
        <v>#REF!</v>
      </c>
      <c r="U66" s="74" t="e">
        <f>$C23*#REF!</f>
        <v>#REF!</v>
      </c>
      <c r="V66" s="74" t="e">
        <f>$C23*#REF!</f>
        <v>#REF!</v>
      </c>
      <c r="W66" s="74" t="e">
        <f>$C23*#REF!</f>
        <v>#REF!</v>
      </c>
      <c r="X66" s="74" t="e">
        <f>$C23*#REF!</f>
        <v>#REF!</v>
      </c>
      <c r="Y66" s="74" t="e">
        <f>$C23*#REF!</f>
        <v>#REF!</v>
      </c>
      <c r="Z66" s="74" t="e">
        <f>$C23*#REF!</f>
        <v>#REF!</v>
      </c>
      <c r="AA66" s="74" t="e">
        <f>$C23*#REF!</f>
        <v>#REF!</v>
      </c>
      <c r="AB66" s="74" t="e">
        <f>$C23*#REF!</f>
        <v>#REF!</v>
      </c>
      <c r="AC66" s="89" t="e">
        <f>SUM(D66:AB66)</f>
        <v>#REF!</v>
      </c>
    </row>
    <row r="67" spans="1:29" hidden="1" x14ac:dyDescent="0.25">
      <c r="B67" s="47" t="s">
        <v>85</v>
      </c>
      <c r="C67" s="47"/>
      <c r="D67" s="75">
        <v>0</v>
      </c>
      <c r="E67" s="75">
        <f t="shared" ref="E67:AB67" si="23">E65*$D149</f>
        <v>0</v>
      </c>
      <c r="F67" s="75" t="e">
        <f t="shared" si="23"/>
        <v>#REF!</v>
      </c>
      <c r="G67" s="75" t="e">
        <f t="shared" si="23"/>
        <v>#REF!</v>
      </c>
      <c r="H67" s="75" t="e">
        <f t="shared" si="23"/>
        <v>#REF!</v>
      </c>
      <c r="I67" s="75" t="e">
        <f t="shared" si="23"/>
        <v>#REF!</v>
      </c>
      <c r="J67" s="75" t="e">
        <f t="shared" si="23"/>
        <v>#REF!</v>
      </c>
      <c r="K67" s="75" t="e">
        <f t="shared" si="23"/>
        <v>#REF!</v>
      </c>
      <c r="L67" s="75" t="e">
        <f t="shared" si="23"/>
        <v>#REF!</v>
      </c>
      <c r="M67" s="75" t="e">
        <f t="shared" si="23"/>
        <v>#REF!</v>
      </c>
      <c r="N67" s="75" t="e">
        <f t="shared" si="23"/>
        <v>#REF!</v>
      </c>
      <c r="O67" s="75" t="e">
        <f t="shared" si="23"/>
        <v>#REF!</v>
      </c>
      <c r="P67" s="75" t="e">
        <f t="shared" si="23"/>
        <v>#REF!</v>
      </c>
      <c r="Q67" s="75" t="e">
        <f t="shared" si="23"/>
        <v>#REF!</v>
      </c>
      <c r="R67" s="75" t="e">
        <f t="shared" si="23"/>
        <v>#REF!</v>
      </c>
      <c r="S67" s="75" t="e">
        <f t="shared" si="23"/>
        <v>#REF!</v>
      </c>
      <c r="T67" s="75" t="e">
        <f t="shared" si="23"/>
        <v>#REF!</v>
      </c>
      <c r="U67" s="75" t="e">
        <f t="shared" si="23"/>
        <v>#REF!</v>
      </c>
      <c r="V67" s="75" t="e">
        <f t="shared" si="23"/>
        <v>#REF!</v>
      </c>
      <c r="W67" s="75" t="e">
        <f t="shared" si="23"/>
        <v>#REF!</v>
      </c>
      <c r="X67" s="75" t="e">
        <f t="shared" si="23"/>
        <v>#REF!</v>
      </c>
      <c r="Y67" s="75" t="e">
        <f t="shared" si="23"/>
        <v>#REF!</v>
      </c>
      <c r="Z67" s="75" t="e">
        <f t="shared" si="23"/>
        <v>#REF!</v>
      </c>
      <c r="AA67" s="75" t="e">
        <f t="shared" si="23"/>
        <v>#REF!</v>
      </c>
      <c r="AB67" s="75" t="e">
        <f t="shared" si="23"/>
        <v>#REF!</v>
      </c>
      <c r="AC67" s="89" t="e">
        <f>SUM(D67:AB67)</f>
        <v>#REF!</v>
      </c>
    </row>
    <row r="68" spans="1:29" hidden="1" x14ac:dyDescent="0.25">
      <c r="B68" s="47" t="s">
        <v>87</v>
      </c>
      <c r="C68" s="47"/>
      <c r="D68" s="75">
        <v>0</v>
      </c>
      <c r="E68" s="75">
        <f>E59</f>
        <v>75000</v>
      </c>
      <c r="F68" s="75">
        <f t="shared" ref="F68:AB68" si="24">F59</f>
        <v>125000</v>
      </c>
      <c r="G68" s="75">
        <f t="shared" si="24"/>
        <v>125000</v>
      </c>
      <c r="H68" s="75">
        <f t="shared" si="24"/>
        <v>125000</v>
      </c>
      <c r="I68" s="75">
        <f t="shared" si="24"/>
        <v>50000</v>
      </c>
      <c r="J68" s="75">
        <f t="shared" si="24"/>
        <v>0</v>
      </c>
      <c r="K68" s="75">
        <f t="shared" si="24"/>
        <v>0</v>
      </c>
      <c r="L68" s="75">
        <f t="shared" si="24"/>
        <v>0</v>
      </c>
      <c r="M68" s="75">
        <f t="shared" si="24"/>
        <v>0</v>
      </c>
      <c r="N68" s="75">
        <f t="shared" si="24"/>
        <v>500000</v>
      </c>
      <c r="O68" s="75">
        <f t="shared" si="24"/>
        <v>0</v>
      </c>
      <c r="P68" s="75">
        <f t="shared" si="24"/>
        <v>0</v>
      </c>
      <c r="Q68" s="75">
        <f t="shared" si="24"/>
        <v>0</v>
      </c>
      <c r="R68" s="75">
        <f t="shared" si="24"/>
        <v>0</v>
      </c>
      <c r="S68" s="75">
        <f t="shared" si="24"/>
        <v>0</v>
      </c>
      <c r="T68" s="75">
        <f t="shared" si="24"/>
        <v>0</v>
      </c>
      <c r="U68" s="75">
        <f t="shared" si="24"/>
        <v>0</v>
      </c>
      <c r="V68" s="75">
        <f t="shared" si="24"/>
        <v>0</v>
      </c>
      <c r="W68" s="75">
        <f t="shared" si="24"/>
        <v>0</v>
      </c>
      <c r="X68" s="75">
        <f t="shared" si="24"/>
        <v>0</v>
      </c>
      <c r="Y68" s="75">
        <f t="shared" si="24"/>
        <v>0</v>
      </c>
      <c r="Z68" s="75">
        <f t="shared" si="24"/>
        <v>0</v>
      </c>
      <c r="AA68" s="75">
        <f t="shared" si="24"/>
        <v>0</v>
      </c>
      <c r="AB68" s="75">
        <f t="shared" si="24"/>
        <v>0</v>
      </c>
      <c r="AC68" s="89">
        <f>SUM(D68:AB68)</f>
        <v>1000000</v>
      </c>
    </row>
    <row r="69" spans="1:29" hidden="1" x14ac:dyDescent="0.25">
      <c r="B69" s="47" t="s">
        <v>120</v>
      </c>
      <c r="C69" s="47"/>
      <c r="D69" s="75">
        <f>D67+D68</f>
        <v>0</v>
      </c>
      <c r="E69" s="75">
        <f t="shared" ref="E69:AB69" si="25">E67+E68</f>
        <v>75000</v>
      </c>
      <c r="F69" s="75" t="e">
        <f t="shared" si="25"/>
        <v>#REF!</v>
      </c>
      <c r="G69" s="75" t="e">
        <f t="shared" si="25"/>
        <v>#REF!</v>
      </c>
      <c r="H69" s="75" t="e">
        <f t="shared" si="25"/>
        <v>#REF!</v>
      </c>
      <c r="I69" s="75" t="e">
        <f t="shared" si="25"/>
        <v>#REF!</v>
      </c>
      <c r="J69" s="103" t="e">
        <f t="shared" si="25"/>
        <v>#REF!</v>
      </c>
      <c r="K69" s="75" t="e">
        <f t="shared" si="25"/>
        <v>#REF!</v>
      </c>
      <c r="L69" s="75" t="e">
        <f t="shared" si="25"/>
        <v>#REF!</v>
      </c>
      <c r="M69" s="75" t="e">
        <f t="shared" si="25"/>
        <v>#REF!</v>
      </c>
      <c r="N69" s="75" t="e">
        <f t="shared" si="25"/>
        <v>#REF!</v>
      </c>
      <c r="O69" s="75" t="e">
        <f t="shared" si="25"/>
        <v>#REF!</v>
      </c>
      <c r="P69" s="75" t="e">
        <f t="shared" si="25"/>
        <v>#REF!</v>
      </c>
      <c r="Q69" s="75" t="e">
        <f t="shared" si="25"/>
        <v>#REF!</v>
      </c>
      <c r="R69" s="75" t="e">
        <f t="shared" si="25"/>
        <v>#REF!</v>
      </c>
      <c r="S69" s="75" t="e">
        <f t="shared" si="25"/>
        <v>#REF!</v>
      </c>
      <c r="T69" s="75" t="e">
        <f t="shared" si="25"/>
        <v>#REF!</v>
      </c>
      <c r="U69" s="75" t="e">
        <f t="shared" si="25"/>
        <v>#REF!</v>
      </c>
      <c r="V69" s="75" t="e">
        <f t="shared" si="25"/>
        <v>#REF!</v>
      </c>
      <c r="W69" s="75" t="e">
        <f t="shared" si="25"/>
        <v>#REF!</v>
      </c>
      <c r="X69" s="75" t="e">
        <f t="shared" si="25"/>
        <v>#REF!</v>
      </c>
      <c r="Y69" s="75" t="e">
        <f t="shared" si="25"/>
        <v>#REF!</v>
      </c>
      <c r="Z69" s="75" t="e">
        <f t="shared" si="25"/>
        <v>#REF!</v>
      </c>
      <c r="AA69" s="75" t="e">
        <f t="shared" si="25"/>
        <v>#REF!</v>
      </c>
      <c r="AB69" s="75" t="e">
        <f t="shared" si="25"/>
        <v>#REF!</v>
      </c>
      <c r="AC69" s="89" t="e">
        <f>SUM(D69:AB69)</f>
        <v>#REF!</v>
      </c>
    </row>
    <row r="70" spans="1:29" hidden="1" x14ac:dyDescent="0.25">
      <c r="B70" s="47" t="s">
        <v>86</v>
      </c>
      <c r="C70" s="47"/>
      <c r="D70" s="75">
        <f>D65+D66-D69</f>
        <v>0</v>
      </c>
      <c r="E70" s="75" t="e">
        <f>E65+E66-E69+E67</f>
        <v>#REF!</v>
      </c>
      <c r="F70" s="75" t="e">
        <f t="shared" ref="F70:AB70" si="26">F65+F66-F69+F67</f>
        <v>#REF!</v>
      </c>
      <c r="G70" s="75" t="e">
        <f t="shared" si="26"/>
        <v>#REF!</v>
      </c>
      <c r="H70" s="75" t="e">
        <f t="shared" si="26"/>
        <v>#REF!</v>
      </c>
      <c r="I70" s="75" t="e">
        <f t="shared" si="26"/>
        <v>#REF!</v>
      </c>
      <c r="J70" s="103" t="e">
        <f t="shared" si="26"/>
        <v>#REF!</v>
      </c>
      <c r="K70" s="75" t="e">
        <f t="shared" si="26"/>
        <v>#REF!</v>
      </c>
      <c r="L70" s="75" t="e">
        <f t="shared" si="26"/>
        <v>#REF!</v>
      </c>
      <c r="M70" s="75" t="e">
        <f t="shared" si="26"/>
        <v>#REF!</v>
      </c>
      <c r="N70" s="75" t="e">
        <f t="shared" si="26"/>
        <v>#REF!</v>
      </c>
      <c r="O70" s="75" t="e">
        <f t="shared" si="26"/>
        <v>#REF!</v>
      </c>
      <c r="P70" s="75" t="e">
        <f t="shared" si="26"/>
        <v>#REF!</v>
      </c>
      <c r="Q70" s="75" t="e">
        <f t="shared" si="26"/>
        <v>#REF!</v>
      </c>
      <c r="R70" s="75" t="e">
        <f t="shared" si="26"/>
        <v>#REF!</v>
      </c>
      <c r="S70" s="75" t="e">
        <f t="shared" si="26"/>
        <v>#REF!</v>
      </c>
      <c r="T70" s="75" t="e">
        <f t="shared" si="26"/>
        <v>#REF!</v>
      </c>
      <c r="U70" s="75" t="e">
        <f t="shared" si="26"/>
        <v>#REF!</v>
      </c>
      <c r="V70" s="75" t="e">
        <f t="shared" si="26"/>
        <v>#REF!</v>
      </c>
      <c r="W70" s="75" t="e">
        <f t="shared" si="26"/>
        <v>#REF!</v>
      </c>
      <c r="X70" s="75" t="e">
        <f t="shared" si="26"/>
        <v>#REF!</v>
      </c>
      <c r="Y70" s="75" t="e">
        <f t="shared" si="26"/>
        <v>#REF!</v>
      </c>
      <c r="Z70" s="75" t="e">
        <f t="shared" si="26"/>
        <v>#REF!</v>
      </c>
      <c r="AA70" s="75" t="e">
        <f t="shared" si="26"/>
        <v>#REF!</v>
      </c>
      <c r="AB70" s="75" t="e">
        <f t="shared" si="26"/>
        <v>#REF!</v>
      </c>
      <c r="AC70" s="89"/>
    </row>
    <row r="71" spans="1:29" x14ac:dyDescent="0.25">
      <c r="B71" s="44"/>
      <c r="C71" s="71"/>
      <c r="T71" s="73"/>
      <c r="U71" s="73"/>
      <c r="V71" s="73"/>
      <c r="W71" s="73"/>
    </row>
    <row r="72" spans="1:29" x14ac:dyDescent="0.25">
      <c r="D72" s="73"/>
      <c r="E72" s="73"/>
      <c r="F72" s="73"/>
      <c r="G72" s="73"/>
      <c r="H72" s="73"/>
      <c r="I72" s="73"/>
      <c r="J72" s="73"/>
      <c r="K72" s="73"/>
      <c r="L72" s="73"/>
      <c r="M72" s="73"/>
      <c r="N72" s="73"/>
      <c r="O72" s="73"/>
      <c r="P72" s="73"/>
      <c r="Q72" s="73"/>
      <c r="R72" s="73"/>
      <c r="S72" s="73"/>
      <c r="T72" s="73"/>
      <c r="U72" s="73"/>
      <c r="V72" s="73"/>
      <c r="W72" s="73"/>
    </row>
    <row r="73" spans="1:29" x14ac:dyDescent="0.25">
      <c r="A73" s="63">
        <v>3</v>
      </c>
      <c r="B73" s="44" t="s">
        <v>370</v>
      </c>
      <c r="C73" s="139">
        <f>Assumption_Hatchery!C76</f>
        <v>0.06</v>
      </c>
      <c r="D73" s="73"/>
      <c r="E73" s="73"/>
      <c r="F73" s="73"/>
      <c r="G73" s="73"/>
      <c r="H73" s="73"/>
      <c r="I73" s="73"/>
      <c r="J73" s="73"/>
      <c r="K73" s="73"/>
      <c r="L73" s="73"/>
      <c r="M73" s="73"/>
      <c r="N73" s="73"/>
      <c r="O73" s="73"/>
      <c r="P73" s="73"/>
      <c r="Q73" s="73"/>
      <c r="R73" s="73"/>
      <c r="S73" s="73"/>
      <c r="T73" s="73"/>
      <c r="U73" s="73"/>
      <c r="V73" s="73"/>
      <c r="W73" s="73"/>
    </row>
    <row r="74" spans="1:29" x14ac:dyDescent="0.25">
      <c r="A74" s="91"/>
      <c r="C74" s="71"/>
      <c r="D74" s="73"/>
      <c r="E74" s="73"/>
      <c r="F74" s="73"/>
      <c r="G74" s="73"/>
      <c r="H74" s="73"/>
      <c r="I74" s="73"/>
      <c r="J74" s="73"/>
      <c r="K74" s="73"/>
      <c r="L74" s="73"/>
      <c r="M74" s="73"/>
      <c r="N74" s="73"/>
      <c r="O74" s="73"/>
      <c r="P74" s="73"/>
      <c r="Q74" s="73"/>
      <c r="R74" s="73"/>
      <c r="S74" s="73"/>
      <c r="T74" s="73"/>
      <c r="U74" s="73"/>
      <c r="V74" s="73"/>
      <c r="W74" s="73"/>
    </row>
    <row r="75" spans="1:29" x14ac:dyDescent="0.25">
      <c r="A75" s="63">
        <v>4</v>
      </c>
      <c r="B75" s="44" t="s">
        <v>123</v>
      </c>
      <c r="C75" s="71"/>
      <c r="D75" s="73"/>
      <c r="E75" s="73"/>
      <c r="F75" s="73"/>
      <c r="G75" s="73"/>
      <c r="H75" s="73"/>
      <c r="I75" s="73"/>
      <c r="J75" s="73"/>
      <c r="K75" s="73"/>
      <c r="L75" s="73"/>
      <c r="M75" s="73"/>
      <c r="N75" s="73"/>
      <c r="O75" s="73"/>
      <c r="P75" s="73"/>
      <c r="Q75" s="73"/>
      <c r="R75" s="73"/>
      <c r="S75" s="73"/>
      <c r="T75" s="73"/>
      <c r="U75" s="73"/>
      <c r="V75" s="73"/>
      <c r="W75" s="73"/>
    </row>
    <row r="76" spans="1:29" ht="48" customHeight="1" x14ac:dyDescent="0.25">
      <c r="B76" t="s">
        <v>124</v>
      </c>
      <c r="C76" s="498" t="s">
        <v>128</v>
      </c>
      <c r="D76" s="498"/>
      <c r="E76" s="498"/>
      <c r="F76" s="498"/>
      <c r="G76" s="73"/>
      <c r="H76" s="73"/>
      <c r="I76" s="73"/>
      <c r="J76" s="73"/>
      <c r="K76" s="73"/>
      <c r="L76" s="73"/>
      <c r="M76" s="73"/>
      <c r="N76" s="73"/>
      <c r="O76" s="73"/>
      <c r="P76" s="73"/>
      <c r="Q76" s="73"/>
      <c r="R76" s="73"/>
      <c r="S76" s="73"/>
      <c r="T76" s="73"/>
      <c r="U76" s="73"/>
      <c r="V76" s="73"/>
      <c r="W76" s="73"/>
    </row>
    <row r="77" spans="1:29" x14ac:dyDescent="0.25">
      <c r="B77" s="65"/>
      <c r="C77" s="16" t="s">
        <v>19</v>
      </c>
      <c r="D77" s="16">
        <v>1</v>
      </c>
      <c r="E77" s="16">
        <v>2</v>
      </c>
      <c r="F77" s="16">
        <v>3</v>
      </c>
      <c r="G77" s="73"/>
      <c r="H77" s="73"/>
      <c r="I77" s="73"/>
      <c r="J77" s="73"/>
      <c r="K77" s="73"/>
      <c r="L77" s="73"/>
      <c r="M77" s="73"/>
      <c r="N77" s="73"/>
      <c r="O77" s="73"/>
      <c r="P77" s="73"/>
      <c r="Q77" s="73"/>
      <c r="R77" s="73"/>
      <c r="S77" s="73"/>
      <c r="T77" s="73"/>
      <c r="U77" s="73"/>
      <c r="V77" s="73"/>
      <c r="W77" s="73"/>
    </row>
    <row r="78" spans="1:29" x14ac:dyDescent="0.25">
      <c r="B78" t="s">
        <v>80</v>
      </c>
      <c r="C78" s="63"/>
      <c r="D78" s="68">
        <f>Assumption_Hatchery!D81</f>
        <v>0</v>
      </c>
      <c r="E78" s="68">
        <f>Assumption_Hatchery!E81</f>
        <v>0</v>
      </c>
      <c r="F78" s="68">
        <f>Assumption_Hatchery!F81</f>
        <v>1</v>
      </c>
      <c r="G78" s="73"/>
      <c r="H78" s="73"/>
      <c r="I78" s="73"/>
      <c r="J78" s="73"/>
      <c r="K78" s="73"/>
      <c r="L78" s="73"/>
      <c r="M78" s="73"/>
      <c r="N78" s="73"/>
      <c r="O78" s="73"/>
      <c r="P78" s="73"/>
      <c r="Q78" s="73"/>
      <c r="R78" s="73"/>
      <c r="S78" s="73"/>
      <c r="T78" s="73"/>
      <c r="U78" s="73"/>
      <c r="V78" s="73"/>
      <c r="W78" s="73"/>
    </row>
    <row r="79" spans="1:29" x14ac:dyDescent="0.25">
      <c r="B79" t="s">
        <v>82</v>
      </c>
      <c r="C79" s="63"/>
      <c r="D79" s="139">
        <f>Assumption_Hatchery!D82</f>
        <v>0</v>
      </c>
      <c r="E79" s="139">
        <f>Assumption_Hatchery!E82</f>
        <v>0</v>
      </c>
      <c r="F79" s="139">
        <f>Assumption_Hatchery!F82</f>
        <v>0.5</v>
      </c>
      <c r="G79" s="73"/>
      <c r="H79" s="73"/>
      <c r="I79" s="73"/>
      <c r="J79" s="73"/>
      <c r="K79" s="73"/>
      <c r="L79" s="73"/>
      <c r="M79" s="73"/>
      <c r="N79" s="73"/>
      <c r="O79" s="73"/>
      <c r="P79" s="73"/>
      <c r="Q79" s="73"/>
      <c r="R79" s="73"/>
      <c r="S79" s="73"/>
      <c r="T79" s="73"/>
      <c r="U79" s="73"/>
      <c r="V79" s="73"/>
      <c r="W79" s="73"/>
    </row>
    <row r="80" spans="1:29" x14ac:dyDescent="0.25">
      <c r="C80" s="91"/>
      <c r="D80" s="71"/>
      <c r="E80" s="71"/>
      <c r="F80" s="71"/>
      <c r="G80" s="73"/>
      <c r="H80" s="73"/>
      <c r="I80" s="73"/>
      <c r="J80" s="73"/>
      <c r="K80" s="73"/>
      <c r="L80" s="73"/>
      <c r="M80" s="73"/>
      <c r="N80" s="73"/>
      <c r="O80" s="73"/>
      <c r="P80" s="73"/>
      <c r="Q80" s="73"/>
      <c r="R80" s="73"/>
      <c r="S80" s="73"/>
      <c r="T80" s="73"/>
      <c r="U80" s="73"/>
      <c r="V80" s="73"/>
      <c r="W80" s="73"/>
    </row>
    <row r="82" spans="2:30" x14ac:dyDescent="0.25">
      <c r="B82" s="65"/>
      <c r="C82" s="16" t="s">
        <v>19</v>
      </c>
      <c r="D82" s="16">
        <v>0</v>
      </c>
      <c r="E82" s="16">
        <v>1</v>
      </c>
      <c r="F82" s="16">
        <v>2</v>
      </c>
      <c r="G82" s="16">
        <v>3</v>
      </c>
      <c r="H82" s="16">
        <v>4</v>
      </c>
      <c r="I82" s="16">
        <v>5</v>
      </c>
      <c r="J82" s="16">
        <v>6</v>
      </c>
      <c r="K82" s="16">
        <v>7</v>
      </c>
      <c r="L82" s="16">
        <v>8</v>
      </c>
      <c r="M82" s="16">
        <v>9</v>
      </c>
      <c r="N82" s="16">
        <v>10</v>
      </c>
      <c r="O82" s="16">
        <v>11</v>
      </c>
      <c r="P82" s="16">
        <v>12</v>
      </c>
      <c r="Q82" s="16">
        <v>13</v>
      </c>
      <c r="R82" s="16">
        <v>14</v>
      </c>
      <c r="S82" s="16">
        <v>15</v>
      </c>
      <c r="T82" s="16">
        <v>16</v>
      </c>
      <c r="U82" s="16">
        <v>17</v>
      </c>
      <c r="V82" s="16">
        <v>18</v>
      </c>
      <c r="W82" s="16">
        <v>19</v>
      </c>
      <c r="X82" s="16">
        <v>20</v>
      </c>
      <c r="Y82" s="16">
        <v>21</v>
      </c>
      <c r="Z82" s="16">
        <v>22</v>
      </c>
      <c r="AA82" s="16">
        <v>23</v>
      </c>
      <c r="AB82" s="16">
        <v>24</v>
      </c>
    </row>
    <row r="83" spans="2:30" x14ac:dyDescent="0.25">
      <c r="B83" t="s">
        <v>80</v>
      </c>
      <c r="C83" s="63"/>
      <c r="D83" s="63"/>
      <c r="E83" s="63">
        <f>D78</f>
        <v>0</v>
      </c>
      <c r="F83" s="63">
        <f>E78</f>
        <v>0</v>
      </c>
      <c r="G83" s="63">
        <f>F78</f>
        <v>1</v>
      </c>
      <c r="H83" s="63">
        <f>D78</f>
        <v>0</v>
      </c>
      <c r="I83" s="63">
        <f t="shared" ref="I83:J83" si="27">E78</f>
        <v>0</v>
      </c>
      <c r="J83" s="63">
        <f t="shared" si="27"/>
        <v>1</v>
      </c>
      <c r="K83" s="63">
        <f>D78</f>
        <v>0</v>
      </c>
      <c r="L83" s="63">
        <f t="shared" ref="L83:M83" si="28">E78</f>
        <v>0</v>
      </c>
      <c r="M83" s="63">
        <f t="shared" si="28"/>
        <v>1</v>
      </c>
      <c r="N83" s="63">
        <f>D78</f>
        <v>0</v>
      </c>
      <c r="O83" s="63">
        <f t="shared" ref="O83:P83" si="29">E78</f>
        <v>0</v>
      </c>
      <c r="P83" s="63">
        <f t="shared" si="29"/>
        <v>1</v>
      </c>
      <c r="Q83" s="63">
        <f>D78</f>
        <v>0</v>
      </c>
      <c r="R83" s="63">
        <f t="shared" ref="R83:S83" si="30">E78</f>
        <v>0</v>
      </c>
      <c r="S83" s="63">
        <f t="shared" si="30"/>
        <v>1</v>
      </c>
      <c r="T83" s="63">
        <f>D78</f>
        <v>0</v>
      </c>
      <c r="U83" s="63">
        <f t="shared" ref="U83:V83" si="31">E78</f>
        <v>0</v>
      </c>
      <c r="V83" s="63">
        <f t="shared" si="31"/>
        <v>1</v>
      </c>
      <c r="W83" s="63">
        <f>D78</f>
        <v>0</v>
      </c>
      <c r="X83" s="63">
        <f t="shared" ref="X83:Y83" si="32">E78</f>
        <v>0</v>
      </c>
      <c r="Y83" s="63">
        <f t="shared" si="32"/>
        <v>1</v>
      </c>
      <c r="Z83" s="63">
        <f>D78</f>
        <v>0</v>
      </c>
      <c r="AA83" s="63">
        <f t="shared" ref="AA83:AB83" si="33">E78</f>
        <v>0</v>
      </c>
      <c r="AB83" s="63">
        <f t="shared" si="33"/>
        <v>1</v>
      </c>
    </row>
    <row r="84" spans="2:30" x14ac:dyDescent="0.25">
      <c r="B84" t="s">
        <v>82</v>
      </c>
      <c r="C84" s="63"/>
      <c r="D84" s="68"/>
      <c r="E84" s="58">
        <f>$D79</f>
        <v>0</v>
      </c>
      <c r="F84" s="106">
        <f>$E79</f>
        <v>0</v>
      </c>
      <c r="G84" s="106">
        <f>$F79</f>
        <v>0.5</v>
      </c>
      <c r="H84" s="58">
        <f>$D79</f>
        <v>0</v>
      </c>
      <c r="I84" s="106">
        <f>$E79</f>
        <v>0</v>
      </c>
      <c r="J84" s="106">
        <f>$F79</f>
        <v>0.5</v>
      </c>
      <c r="K84" s="58">
        <f>$D79</f>
        <v>0</v>
      </c>
      <c r="L84" s="106">
        <f>$E79</f>
        <v>0</v>
      </c>
      <c r="M84" s="106">
        <f>$F79</f>
        <v>0.5</v>
      </c>
      <c r="N84" s="58">
        <f>$D79</f>
        <v>0</v>
      </c>
      <c r="O84" s="106">
        <f>$E79</f>
        <v>0</v>
      </c>
      <c r="P84" s="106">
        <f>$F79</f>
        <v>0.5</v>
      </c>
      <c r="Q84" s="58">
        <f>$D79</f>
        <v>0</v>
      </c>
      <c r="R84" s="106">
        <f>$E79</f>
        <v>0</v>
      </c>
      <c r="S84" s="106">
        <f>$F79</f>
        <v>0.5</v>
      </c>
      <c r="T84" s="58">
        <f>$D79</f>
        <v>0</v>
      </c>
      <c r="U84" s="106">
        <f>$E79</f>
        <v>0</v>
      </c>
      <c r="V84" s="106">
        <f>$F79</f>
        <v>0.5</v>
      </c>
      <c r="W84" s="58">
        <f>$D79</f>
        <v>0</v>
      </c>
      <c r="X84" s="106">
        <f>$E79</f>
        <v>0</v>
      </c>
      <c r="Y84" s="106">
        <f>$F79</f>
        <v>0.5</v>
      </c>
      <c r="Z84" s="58">
        <f>$D79</f>
        <v>0</v>
      </c>
      <c r="AA84" s="106">
        <f>$E79</f>
        <v>0</v>
      </c>
      <c r="AB84" s="106">
        <f>$F79</f>
        <v>0.5</v>
      </c>
      <c r="AC84" s="107"/>
      <c r="AD84" s="107"/>
    </row>
    <row r="85" spans="2:30" x14ac:dyDescent="0.25">
      <c r="C85" s="91"/>
      <c r="D85" s="71"/>
      <c r="E85" s="71"/>
      <c r="F85" s="71"/>
      <c r="G85" s="71"/>
      <c r="H85" s="71"/>
      <c r="I85" s="71"/>
      <c r="J85" s="71"/>
      <c r="K85" s="71"/>
      <c r="L85" s="71"/>
      <c r="M85" s="71"/>
      <c r="N85" s="71"/>
      <c r="O85" s="71"/>
      <c r="P85" s="71"/>
      <c r="Q85" s="71"/>
      <c r="R85" s="71"/>
      <c r="S85" s="71"/>
      <c r="T85" s="71"/>
      <c r="U85" s="71"/>
      <c r="V85" s="71"/>
      <c r="W85" s="71"/>
      <c r="X85" s="71"/>
      <c r="Y85" s="105"/>
      <c r="Z85" s="105"/>
      <c r="AA85" s="105"/>
      <c r="AB85" s="105"/>
      <c r="AC85" s="105"/>
    </row>
    <row r="86" spans="2:30" x14ac:dyDescent="0.25">
      <c r="C86" s="91"/>
      <c r="D86" s="104"/>
      <c r="E86" s="104"/>
      <c r="F86" s="104"/>
      <c r="G86" s="104"/>
      <c r="H86" s="104"/>
      <c r="I86" s="104"/>
      <c r="J86" s="104"/>
      <c r="K86" s="104"/>
      <c r="L86" s="104"/>
      <c r="M86" s="104"/>
      <c r="N86" s="104"/>
      <c r="O86" s="104"/>
      <c r="P86" s="104"/>
      <c r="Q86" s="104"/>
      <c r="R86" s="104"/>
      <c r="S86" s="104"/>
      <c r="T86" s="104"/>
      <c r="U86" s="104"/>
      <c r="V86" s="104"/>
      <c r="W86" s="104"/>
      <c r="X86" s="104"/>
    </row>
    <row r="87" spans="2:30" x14ac:dyDescent="0.25">
      <c r="C87" s="91"/>
      <c r="D87" s="104"/>
      <c r="E87" s="104"/>
      <c r="F87" s="104"/>
      <c r="G87" s="104"/>
      <c r="H87" s="104"/>
      <c r="I87" s="104"/>
      <c r="J87" s="104"/>
      <c r="K87" s="104"/>
      <c r="L87" s="104"/>
      <c r="M87" s="104"/>
      <c r="N87" s="104"/>
      <c r="O87" s="104"/>
      <c r="P87" s="104"/>
      <c r="Q87" s="104"/>
      <c r="R87" s="104"/>
      <c r="S87" s="104"/>
      <c r="T87" s="104"/>
      <c r="U87" s="104"/>
      <c r="V87" s="104"/>
      <c r="W87" s="104"/>
      <c r="X87" s="104"/>
    </row>
    <row r="88" spans="2:30" x14ac:dyDescent="0.25">
      <c r="B88" s="44" t="s">
        <v>125</v>
      </c>
      <c r="C88" s="91"/>
      <c r="D88" s="104"/>
      <c r="E88" s="104"/>
      <c r="F88" s="104"/>
      <c r="G88" s="104"/>
      <c r="H88" s="104"/>
      <c r="I88" s="104"/>
      <c r="J88" s="104"/>
      <c r="K88" s="104"/>
      <c r="L88" s="104"/>
      <c r="M88" s="104"/>
      <c r="N88" s="104"/>
      <c r="O88" s="104"/>
      <c r="P88" s="104"/>
      <c r="Q88" s="104"/>
      <c r="R88" s="104"/>
      <c r="S88" s="104"/>
      <c r="T88" s="104"/>
      <c r="U88" s="104"/>
      <c r="V88" s="104"/>
      <c r="W88" s="104"/>
      <c r="X88" s="104"/>
    </row>
    <row r="89" spans="2:30" x14ac:dyDescent="0.25">
      <c r="C89" s="91"/>
      <c r="D89" s="104"/>
      <c r="E89" s="104"/>
      <c r="F89" s="104"/>
      <c r="G89" s="104"/>
      <c r="H89" s="104"/>
      <c r="I89" s="104"/>
      <c r="J89" s="104"/>
      <c r="K89" s="104"/>
      <c r="L89" s="104"/>
      <c r="M89" s="104"/>
      <c r="N89" s="104"/>
      <c r="O89" s="104"/>
      <c r="P89" s="104"/>
      <c r="Q89" s="104"/>
      <c r="R89" s="104"/>
      <c r="S89" s="104"/>
      <c r="T89" s="104"/>
      <c r="U89" s="104"/>
      <c r="V89" s="104"/>
      <c r="W89" s="104"/>
      <c r="X89" s="104"/>
    </row>
    <row r="90" spans="2:30" ht="38.450000000000003" customHeight="1" x14ac:dyDescent="0.25">
      <c r="B90" t="s">
        <v>124</v>
      </c>
      <c r="C90" s="498" t="s">
        <v>127</v>
      </c>
      <c r="D90" s="498"/>
      <c r="E90" s="498"/>
      <c r="F90" s="498"/>
      <c r="G90" s="73"/>
      <c r="H90" s="73"/>
      <c r="I90" s="73"/>
      <c r="J90" s="73"/>
      <c r="K90" s="73"/>
      <c r="L90" s="73"/>
      <c r="M90" s="73"/>
      <c r="N90" s="73"/>
      <c r="O90" s="73"/>
      <c r="P90" s="73"/>
      <c r="Q90" s="73"/>
      <c r="R90" s="73"/>
      <c r="S90" s="73"/>
      <c r="T90" s="73"/>
      <c r="U90" s="73"/>
      <c r="V90" s="73"/>
      <c r="W90" s="73"/>
    </row>
    <row r="91" spans="2:30" x14ac:dyDescent="0.25">
      <c r="B91" s="65"/>
      <c r="C91" s="16" t="s">
        <v>19</v>
      </c>
      <c r="D91" s="16">
        <v>1</v>
      </c>
      <c r="E91" s="16">
        <v>2</v>
      </c>
      <c r="F91" s="16">
        <v>3</v>
      </c>
      <c r="G91" s="73"/>
      <c r="H91" s="73"/>
      <c r="I91" s="73"/>
      <c r="J91" s="73"/>
      <c r="K91" s="73"/>
      <c r="L91" s="73"/>
      <c r="M91" s="73"/>
      <c r="N91" s="73"/>
      <c r="O91" s="73"/>
      <c r="P91" s="73"/>
      <c r="Q91" s="73"/>
      <c r="R91" s="73"/>
      <c r="S91" s="73"/>
      <c r="T91" s="73"/>
      <c r="U91" s="73"/>
      <c r="V91" s="73"/>
      <c r="W91" s="73"/>
    </row>
    <row r="92" spans="2:30" x14ac:dyDescent="0.25">
      <c r="B92" t="s">
        <v>80</v>
      </c>
      <c r="C92" s="63"/>
      <c r="D92" s="68">
        <f>Assumption_Hatchery!D95</f>
        <v>0</v>
      </c>
      <c r="E92" s="68">
        <f>Assumption_Hatchery!E95</f>
        <v>0</v>
      </c>
      <c r="F92" s="68">
        <f>Assumption_Hatchery!F95</f>
        <v>1</v>
      </c>
      <c r="G92" s="73"/>
      <c r="H92" s="73"/>
      <c r="I92" s="73"/>
      <c r="J92" s="73"/>
      <c r="K92" s="73"/>
      <c r="L92" s="73"/>
      <c r="M92" s="73"/>
      <c r="N92" s="73"/>
      <c r="O92" s="73"/>
      <c r="P92" s="73"/>
      <c r="Q92" s="73"/>
      <c r="R92" s="73"/>
      <c r="S92" s="73"/>
      <c r="T92" s="73"/>
      <c r="U92" s="73"/>
      <c r="V92" s="73"/>
      <c r="W92" s="73"/>
    </row>
    <row r="93" spans="2:30" x14ac:dyDescent="0.25">
      <c r="B93" t="s">
        <v>82</v>
      </c>
      <c r="C93" s="63"/>
      <c r="D93" s="139">
        <f>Assumption_Hatchery!D96</f>
        <v>0</v>
      </c>
      <c r="E93" s="139">
        <f>Assumption_Hatchery!E96</f>
        <v>0</v>
      </c>
      <c r="F93" s="139">
        <f>Assumption_Hatchery!F96</f>
        <v>0.5</v>
      </c>
      <c r="G93" s="73"/>
      <c r="H93" s="73"/>
      <c r="I93" s="73"/>
      <c r="J93" s="73"/>
      <c r="K93" s="73"/>
      <c r="L93" s="73"/>
      <c r="M93" s="73"/>
      <c r="N93" s="73"/>
      <c r="O93" s="73"/>
      <c r="P93" s="73"/>
      <c r="Q93" s="73"/>
      <c r="R93" s="73"/>
      <c r="S93" s="73"/>
      <c r="T93" s="73"/>
      <c r="U93" s="73"/>
      <c r="V93" s="73"/>
      <c r="W93" s="73"/>
    </row>
    <row r="94" spans="2:30" x14ac:dyDescent="0.25">
      <c r="C94" s="91"/>
      <c r="D94" s="71"/>
      <c r="E94" s="71"/>
      <c r="F94" s="71"/>
      <c r="G94" s="73"/>
      <c r="H94" s="73"/>
      <c r="I94" s="73"/>
      <c r="J94" s="73"/>
      <c r="K94" s="73"/>
      <c r="L94" s="73"/>
      <c r="M94" s="73"/>
      <c r="N94" s="73"/>
      <c r="O94" s="73"/>
      <c r="P94" s="73"/>
      <c r="Q94" s="73"/>
      <c r="R94" s="73"/>
      <c r="S94" s="73"/>
      <c r="T94" s="73"/>
      <c r="U94" s="73"/>
      <c r="V94" s="73"/>
      <c r="W94" s="73"/>
    </row>
    <row r="96" spans="2:30" x14ac:dyDescent="0.25">
      <c r="B96" s="65"/>
      <c r="C96" s="16" t="s">
        <v>19</v>
      </c>
      <c r="D96" s="16">
        <v>0</v>
      </c>
      <c r="E96" s="16">
        <v>1</v>
      </c>
      <c r="F96" s="16">
        <v>2</v>
      </c>
      <c r="G96" s="16">
        <v>3</v>
      </c>
      <c r="H96" s="16">
        <v>4</v>
      </c>
      <c r="I96" s="16">
        <v>5</v>
      </c>
      <c r="J96" s="16">
        <v>6</v>
      </c>
      <c r="K96" s="16">
        <v>7</v>
      </c>
      <c r="L96" s="16">
        <v>8</v>
      </c>
      <c r="M96" s="16">
        <v>9</v>
      </c>
      <c r="N96" s="16">
        <v>10</v>
      </c>
      <c r="O96" s="16">
        <v>11</v>
      </c>
      <c r="P96" s="16">
        <v>12</v>
      </c>
      <c r="Q96" s="16">
        <v>13</v>
      </c>
      <c r="R96" s="16">
        <v>14</v>
      </c>
      <c r="S96" s="16">
        <v>15</v>
      </c>
      <c r="T96" s="16">
        <v>16</v>
      </c>
      <c r="U96" s="16">
        <v>17</v>
      </c>
      <c r="V96" s="16">
        <v>18</v>
      </c>
      <c r="W96" s="16">
        <v>19</v>
      </c>
      <c r="X96" s="16">
        <v>20</v>
      </c>
      <c r="Y96" s="16">
        <v>21</v>
      </c>
      <c r="Z96" s="16">
        <v>22</v>
      </c>
      <c r="AA96" s="16">
        <v>23</v>
      </c>
      <c r="AB96" s="16">
        <v>24</v>
      </c>
    </row>
    <row r="97" spans="1:30" x14ac:dyDescent="0.25">
      <c r="B97" t="s">
        <v>80</v>
      </c>
      <c r="C97" s="63"/>
      <c r="D97" s="63"/>
      <c r="E97" s="63">
        <f>D92</f>
        <v>0</v>
      </c>
      <c r="F97" s="63">
        <f>E92</f>
        <v>0</v>
      </c>
      <c r="G97" s="63">
        <f>F92</f>
        <v>1</v>
      </c>
      <c r="H97" s="63">
        <f>D92</f>
        <v>0</v>
      </c>
      <c r="I97" s="63">
        <f t="shared" ref="I97:J97" si="34">E92</f>
        <v>0</v>
      </c>
      <c r="J97" s="63">
        <f t="shared" si="34"/>
        <v>1</v>
      </c>
      <c r="K97" s="63">
        <f>D92</f>
        <v>0</v>
      </c>
      <c r="L97" s="63">
        <f t="shared" ref="L97:M97" si="35">E92</f>
        <v>0</v>
      </c>
      <c r="M97" s="63">
        <f t="shared" si="35"/>
        <v>1</v>
      </c>
      <c r="N97" s="63">
        <f>D92</f>
        <v>0</v>
      </c>
      <c r="O97" s="63">
        <f t="shared" ref="O97:P97" si="36">E92</f>
        <v>0</v>
      </c>
      <c r="P97" s="63">
        <f t="shared" si="36"/>
        <v>1</v>
      </c>
      <c r="Q97" s="63">
        <f>D92</f>
        <v>0</v>
      </c>
      <c r="R97" s="63">
        <f t="shared" ref="R97:S97" si="37">E92</f>
        <v>0</v>
      </c>
      <c r="S97" s="63">
        <f t="shared" si="37"/>
        <v>1</v>
      </c>
      <c r="T97" s="63">
        <f>D92</f>
        <v>0</v>
      </c>
      <c r="U97" s="63">
        <f t="shared" ref="U97:V97" si="38">E92</f>
        <v>0</v>
      </c>
      <c r="V97" s="63">
        <f t="shared" si="38"/>
        <v>1</v>
      </c>
      <c r="W97" s="63">
        <f>D92</f>
        <v>0</v>
      </c>
      <c r="X97" s="63">
        <f t="shared" ref="X97:Y97" si="39">E92</f>
        <v>0</v>
      </c>
      <c r="Y97" s="63">
        <f t="shared" si="39"/>
        <v>1</v>
      </c>
      <c r="Z97" s="63">
        <f>D92</f>
        <v>0</v>
      </c>
      <c r="AA97" s="63">
        <f t="shared" ref="AA97:AB97" si="40">E92</f>
        <v>0</v>
      </c>
      <c r="AB97" s="63">
        <f t="shared" si="40"/>
        <v>1</v>
      </c>
    </row>
    <row r="98" spans="1:30" x14ac:dyDescent="0.25">
      <c r="B98" t="s">
        <v>82</v>
      </c>
      <c r="C98" s="63"/>
      <c r="D98" s="68"/>
      <c r="E98" s="58">
        <f>$D93</f>
        <v>0</v>
      </c>
      <c r="F98" s="106">
        <f>$E93</f>
        <v>0</v>
      </c>
      <c r="G98" s="106">
        <f>$F93</f>
        <v>0.5</v>
      </c>
      <c r="H98" s="58">
        <f>$D93</f>
        <v>0</v>
      </c>
      <c r="I98" s="106">
        <f>$E93</f>
        <v>0</v>
      </c>
      <c r="J98" s="106">
        <f>$F93</f>
        <v>0.5</v>
      </c>
      <c r="K98" s="58">
        <f>$D93</f>
        <v>0</v>
      </c>
      <c r="L98" s="106">
        <f>$E93</f>
        <v>0</v>
      </c>
      <c r="M98" s="106">
        <f>$F93</f>
        <v>0.5</v>
      </c>
      <c r="N98" s="58">
        <f>$D93</f>
        <v>0</v>
      </c>
      <c r="O98" s="106">
        <f>$E93</f>
        <v>0</v>
      </c>
      <c r="P98" s="106">
        <f>$F93</f>
        <v>0.5</v>
      </c>
      <c r="Q98" s="58">
        <f>$D93</f>
        <v>0</v>
      </c>
      <c r="R98" s="106">
        <f>$E93</f>
        <v>0</v>
      </c>
      <c r="S98" s="106">
        <f>$F93</f>
        <v>0.5</v>
      </c>
      <c r="T98" s="58">
        <f>$D93</f>
        <v>0</v>
      </c>
      <c r="U98" s="106">
        <f>$E93</f>
        <v>0</v>
      </c>
      <c r="V98" s="106">
        <f>$F93</f>
        <v>0.5</v>
      </c>
      <c r="W98" s="58">
        <f>$D93</f>
        <v>0</v>
      </c>
      <c r="X98" s="106">
        <f>$E93</f>
        <v>0</v>
      </c>
      <c r="Y98" s="106">
        <f>$F93</f>
        <v>0.5</v>
      </c>
      <c r="Z98" s="58">
        <f>$D93</f>
        <v>0</v>
      </c>
      <c r="AA98" s="106">
        <f>$E93</f>
        <v>0</v>
      </c>
      <c r="AB98" s="106">
        <f>$F93</f>
        <v>0.5</v>
      </c>
      <c r="AC98" s="107"/>
      <c r="AD98" s="107"/>
    </row>
    <row r="99" spans="1:30" x14ac:dyDescent="0.25">
      <c r="C99" s="91"/>
      <c r="D99" s="104"/>
      <c r="E99" s="104"/>
      <c r="F99" s="104"/>
      <c r="G99" s="104"/>
      <c r="H99" s="104"/>
      <c r="I99" s="104"/>
      <c r="J99" s="104"/>
      <c r="K99" s="104"/>
      <c r="L99" s="104"/>
      <c r="M99" s="104"/>
      <c r="N99" s="104"/>
      <c r="O99" s="104"/>
      <c r="P99" s="104"/>
      <c r="Q99" s="104"/>
      <c r="R99" s="104"/>
      <c r="S99" s="104"/>
      <c r="T99" s="104"/>
      <c r="U99" s="104"/>
      <c r="V99" s="104"/>
      <c r="W99" s="104"/>
      <c r="X99" s="104"/>
    </row>
    <row r="100" spans="1:30" x14ac:dyDescent="0.25">
      <c r="B100" s="44" t="s">
        <v>126</v>
      </c>
      <c r="C100" s="91"/>
      <c r="D100" s="104"/>
      <c r="E100" s="104"/>
      <c r="F100" s="104"/>
      <c r="G100" s="104"/>
      <c r="H100" s="104"/>
      <c r="I100" s="104"/>
      <c r="J100" s="104"/>
      <c r="K100" s="104"/>
      <c r="L100" s="104"/>
      <c r="M100" s="104"/>
      <c r="N100" s="104"/>
      <c r="O100" s="104"/>
      <c r="P100" s="104"/>
      <c r="Q100" s="104"/>
      <c r="R100" s="104"/>
      <c r="S100" s="104"/>
      <c r="T100" s="104"/>
      <c r="U100" s="104"/>
      <c r="V100" s="104"/>
      <c r="W100" s="104"/>
      <c r="X100" s="104"/>
    </row>
    <row r="101" spans="1:30" x14ac:dyDescent="0.25">
      <c r="C101" s="91"/>
      <c r="D101" s="104"/>
      <c r="E101" s="104"/>
      <c r="F101" s="104"/>
      <c r="G101" s="104"/>
      <c r="H101" s="104"/>
      <c r="I101" s="104"/>
      <c r="J101" s="104"/>
      <c r="K101" s="104"/>
      <c r="L101" s="104"/>
      <c r="M101" s="104"/>
      <c r="N101" s="104"/>
      <c r="O101" s="104"/>
      <c r="P101" s="104"/>
      <c r="Q101" s="104"/>
      <c r="R101" s="104"/>
      <c r="S101" s="104"/>
      <c r="T101" s="104"/>
      <c r="U101" s="104"/>
      <c r="V101" s="104"/>
      <c r="W101" s="104"/>
      <c r="X101" s="104"/>
    </row>
    <row r="102" spans="1:30" ht="28.15" customHeight="1" x14ac:dyDescent="0.25">
      <c r="B102" t="s">
        <v>124</v>
      </c>
      <c r="C102" s="498" t="s">
        <v>127</v>
      </c>
      <c r="D102" s="498"/>
      <c r="E102" s="498"/>
      <c r="F102" s="498"/>
      <c r="G102" s="73"/>
      <c r="H102" s="73"/>
      <c r="I102" s="73"/>
      <c r="J102" s="73"/>
      <c r="K102" s="73"/>
      <c r="L102" s="73"/>
      <c r="M102" s="73"/>
      <c r="N102" s="73"/>
      <c r="O102" s="73"/>
      <c r="P102" s="73"/>
      <c r="Q102" s="73"/>
      <c r="R102" s="73"/>
      <c r="S102" s="73"/>
      <c r="T102" s="73"/>
      <c r="U102" s="73"/>
      <c r="V102" s="73"/>
      <c r="W102" s="73"/>
    </row>
    <row r="103" spans="1:30" x14ac:dyDescent="0.25">
      <c r="B103" s="65"/>
      <c r="C103" s="16" t="s">
        <v>19</v>
      </c>
      <c r="D103" s="16">
        <v>1</v>
      </c>
      <c r="E103" s="16">
        <v>2</v>
      </c>
      <c r="F103" s="16">
        <v>3</v>
      </c>
      <c r="G103" s="73"/>
      <c r="H103" s="73"/>
      <c r="I103" s="73"/>
      <c r="J103" s="73"/>
      <c r="K103" s="73"/>
      <c r="L103" s="73"/>
      <c r="M103" s="73"/>
      <c r="N103" s="73"/>
      <c r="O103" s="73"/>
      <c r="P103" s="73"/>
      <c r="Q103" s="73"/>
      <c r="R103" s="73"/>
      <c r="S103" s="73"/>
      <c r="T103" s="73"/>
      <c r="U103" s="73"/>
      <c r="V103" s="73"/>
      <c r="W103" s="73"/>
    </row>
    <row r="104" spans="1:30" x14ac:dyDescent="0.25">
      <c r="B104" t="s">
        <v>80</v>
      </c>
      <c r="C104" s="63"/>
      <c r="D104" s="68">
        <f>Assumption_Hatchery!D107</f>
        <v>0</v>
      </c>
      <c r="E104" s="68">
        <f>Assumption_Hatchery!E107</f>
        <v>0</v>
      </c>
      <c r="F104" s="68">
        <f>Assumption_Hatchery!F107</f>
        <v>1</v>
      </c>
      <c r="G104" s="73"/>
      <c r="H104" s="73"/>
      <c r="I104" s="73"/>
      <c r="J104" s="73"/>
      <c r="K104" s="73"/>
      <c r="L104" s="73"/>
      <c r="M104" s="73"/>
      <c r="N104" s="73"/>
      <c r="O104" s="73"/>
      <c r="P104" s="73"/>
      <c r="Q104" s="73"/>
      <c r="R104" s="73"/>
      <c r="S104" s="73"/>
      <c r="T104" s="73"/>
      <c r="U104" s="73"/>
      <c r="V104" s="73"/>
      <c r="W104" s="73"/>
    </row>
    <row r="105" spans="1:30" x14ac:dyDescent="0.25">
      <c r="B105" t="s">
        <v>82</v>
      </c>
      <c r="C105" s="63"/>
      <c r="D105" s="139">
        <f>Assumption_Hatchery!D108</f>
        <v>0</v>
      </c>
      <c r="E105" s="139">
        <f>Assumption_Hatchery!E108</f>
        <v>0</v>
      </c>
      <c r="F105" s="139">
        <f>Assumption_Hatchery!F108</f>
        <v>0.5</v>
      </c>
      <c r="G105" s="73"/>
      <c r="H105" s="73"/>
      <c r="I105" s="73"/>
      <c r="J105" s="73"/>
      <c r="K105" s="73"/>
      <c r="L105" s="73"/>
      <c r="M105" s="73"/>
      <c r="N105" s="73"/>
      <c r="O105" s="73"/>
      <c r="P105" s="73"/>
      <c r="Q105" s="73"/>
      <c r="R105" s="73"/>
      <c r="S105" s="73"/>
      <c r="T105" s="73"/>
      <c r="U105" s="73"/>
      <c r="V105" s="73"/>
      <c r="W105" s="73"/>
    </row>
    <row r="106" spans="1:30" x14ac:dyDescent="0.25">
      <c r="C106" s="91"/>
      <c r="D106" s="71"/>
      <c r="E106" s="71"/>
      <c r="F106" s="71"/>
      <c r="G106" s="73"/>
      <c r="H106" s="73"/>
      <c r="I106" s="73"/>
      <c r="J106" s="73"/>
      <c r="K106" s="73"/>
      <c r="L106" s="73"/>
      <c r="M106" s="73"/>
      <c r="N106" s="73"/>
      <c r="O106" s="73"/>
      <c r="P106" s="73"/>
      <c r="Q106" s="73"/>
      <c r="R106" s="73"/>
      <c r="S106" s="73"/>
      <c r="T106" s="73"/>
      <c r="U106" s="73"/>
      <c r="V106" s="73"/>
      <c r="W106" s="73"/>
    </row>
    <row r="108" spans="1:30" x14ac:dyDescent="0.25">
      <c r="B108" s="65"/>
      <c r="C108" s="16" t="s">
        <v>19</v>
      </c>
      <c r="D108" s="16">
        <v>0</v>
      </c>
      <c r="E108" s="16">
        <v>1</v>
      </c>
      <c r="F108" s="16">
        <v>2</v>
      </c>
      <c r="G108" s="16">
        <v>3</v>
      </c>
      <c r="H108" s="16">
        <v>4</v>
      </c>
      <c r="I108" s="16">
        <v>5</v>
      </c>
      <c r="J108" s="16">
        <v>6</v>
      </c>
      <c r="K108" s="16">
        <v>7</v>
      </c>
      <c r="L108" s="16">
        <v>8</v>
      </c>
      <c r="M108" s="16">
        <v>9</v>
      </c>
      <c r="N108" s="16">
        <v>10</v>
      </c>
      <c r="O108" s="16">
        <v>11</v>
      </c>
      <c r="P108" s="16">
        <v>12</v>
      </c>
      <c r="Q108" s="16">
        <v>13</v>
      </c>
      <c r="R108" s="16">
        <v>14</v>
      </c>
      <c r="S108" s="16">
        <v>15</v>
      </c>
      <c r="T108" s="16">
        <v>16</v>
      </c>
      <c r="U108" s="16">
        <v>17</v>
      </c>
      <c r="V108" s="16">
        <v>18</v>
      </c>
      <c r="W108" s="16">
        <v>19</v>
      </c>
      <c r="X108" s="16">
        <v>20</v>
      </c>
      <c r="Y108" s="16">
        <v>21</v>
      </c>
      <c r="Z108" s="16">
        <v>22</v>
      </c>
      <c r="AA108" s="16">
        <v>23</v>
      </c>
      <c r="AB108" s="16">
        <v>24</v>
      </c>
    </row>
    <row r="109" spans="1:30" x14ac:dyDescent="0.25">
      <c r="B109" t="s">
        <v>80</v>
      </c>
      <c r="C109" s="63"/>
      <c r="D109" s="63"/>
      <c r="E109" s="63">
        <f>D104</f>
        <v>0</v>
      </c>
      <c r="F109" s="63">
        <f>E104</f>
        <v>0</v>
      </c>
      <c r="G109" s="63">
        <f>F104</f>
        <v>1</v>
      </c>
      <c r="H109" s="63">
        <f>D104</f>
        <v>0</v>
      </c>
      <c r="I109" s="63">
        <f t="shared" ref="I109:J109" si="41">E104</f>
        <v>0</v>
      </c>
      <c r="J109" s="63">
        <f t="shared" si="41"/>
        <v>1</v>
      </c>
      <c r="K109" s="63">
        <f>D104</f>
        <v>0</v>
      </c>
      <c r="L109" s="63">
        <f t="shared" ref="L109:M109" si="42">E104</f>
        <v>0</v>
      </c>
      <c r="M109" s="63">
        <f t="shared" si="42"/>
        <v>1</v>
      </c>
      <c r="N109" s="63">
        <f>D104</f>
        <v>0</v>
      </c>
      <c r="O109" s="63">
        <f t="shared" ref="O109:P109" si="43">E104</f>
        <v>0</v>
      </c>
      <c r="P109" s="63">
        <f t="shared" si="43"/>
        <v>1</v>
      </c>
      <c r="Q109" s="63">
        <f>D104</f>
        <v>0</v>
      </c>
      <c r="R109" s="63">
        <f t="shared" ref="R109:S109" si="44">E104</f>
        <v>0</v>
      </c>
      <c r="S109" s="63">
        <f t="shared" si="44"/>
        <v>1</v>
      </c>
      <c r="T109" s="63">
        <f>D104</f>
        <v>0</v>
      </c>
      <c r="U109" s="63">
        <f t="shared" ref="U109:V109" si="45">E104</f>
        <v>0</v>
      </c>
      <c r="V109" s="63">
        <f t="shared" si="45"/>
        <v>1</v>
      </c>
      <c r="W109" s="63">
        <f>D104</f>
        <v>0</v>
      </c>
      <c r="X109" s="63">
        <f t="shared" ref="X109:Y109" si="46">E104</f>
        <v>0</v>
      </c>
      <c r="Y109" s="63">
        <f t="shared" si="46"/>
        <v>1</v>
      </c>
      <c r="Z109" s="63">
        <f>D104</f>
        <v>0</v>
      </c>
      <c r="AA109" s="63">
        <f t="shared" ref="AA109:AB109" si="47">E104</f>
        <v>0</v>
      </c>
      <c r="AB109" s="63">
        <f t="shared" si="47"/>
        <v>1</v>
      </c>
    </row>
    <row r="110" spans="1:30" x14ac:dyDescent="0.25">
      <c r="B110" t="s">
        <v>82</v>
      </c>
      <c r="C110" s="63"/>
      <c r="D110" s="68"/>
      <c r="E110" s="58">
        <f>$D105</f>
        <v>0</v>
      </c>
      <c r="F110" s="106">
        <f>$E105</f>
        <v>0</v>
      </c>
      <c r="G110" s="106">
        <f>$F105</f>
        <v>0.5</v>
      </c>
      <c r="H110" s="58">
        <f>$D105</f>
        <v>0</v>
      </c>
      <c r="I110" s="106">
        <f>$E105</f>
        <v>0</v>
      </c>
      <c r="J110" s="106">
        <f>$F105</f>
        <v>0.5</v>
      </c>
      <c r="K110" s="58">
        <f>$D105</f>
        <v>0</v>
      </c>
      <c r="L110" s="106">
        <f>$E105</f>
        <v>0</v>
      </c>
      <c r="M110" s="106">
        <f>$F105</f>
        <v>0.5</v>
      </c>
      <c r="N110" s="58">
        <f>$D105</f>
        <v>0</v>
      </c>
      <c r="O110" s="106">
        <f>$E105</f>
        <v>0</v>
      </c>
      <c r="P110" s="106">
        <f>$F105</f>
        <v>0.5</v>
      </c>
      <c r="Q110" s="58">
        <f>$D105</f>
        <v>0</v>
      </c>
      <c r="R110" s="106">
        <f>$E105</f>
        <v>0</v>
      </c>
      <c r="S110" s="106">
        <f>$F105</f>
        <v>0.5</v>
      </c>
      <c r="T110" s="58">
        <f>$D105</f>
        <v>0</v>
      </c>
      <c r="U110" s="106">
        <f>$E105</f>
        <v>0</v>
      </c>
      <c r="V110" s="106">
        <f>$F105</f>
        <v>0.5</v>
      </c>
      <c r="W110" s="58">
        <f>$D105</f>
        <v>0</v>
      </c>
      <c r="X110" s="106">
        <f>$E105</f>
        <v>0</v>
      </c>
      <c r="Y110" s="106">
        <f>$F105</f>
        <v>0.5</v>
      </c>
      <c r="Z110" s="58">
        <f>$D105</f>
        <v>0</v>
      </c>
      <c r="AA110" s="106">
        <f>$E105</f>
        <v>0</v>
      </c>
      <c r="AB110" s="106">
        <f>$F105</f>
        <v>0.5</v>
      </c>
      <c r="AC110" s="107"/>
      <c r="AD110" s="107"/>
    </row>
    <row r="111" spans="1:30" x14ac:dyDescent="0.25">
      <c r="C111" s="91"/>
      <c r="D111" s="104"/>
      <c r="E111" s="104"/>
      <c r="F111" s="104"/>
      <c r="G111" s="104"/>
      <c r="H111" s="104"/>
      <c r="I111" s="104"/>
      <c r="J111" s="104"/>
      <c r="K111" s="104"/>
      <c r="L111" s="104"/>
      <c r="M111" s="104"/>
      <c r="N111" s="104"/>
      <c r="O111" s="104"/>
      <c r="P111" s="104"/>
      <c r="Q111" s="104"/>
      <c r="R111" s="104"/>
      <c r="S111" s="104"/>
      <c r="T111" s="104"/>
      <c r="U111" s="104"/>
      <c r="V111" s="104"/>
      <c r="W111" s="104"/>
      <c r="X111" s="104"/>
    </row>
    <row r="112" spans="1:30" ht="15.75" x14ac:dyDescent="0.25">
      <c r="A112" s="63">
        <v>5</v>
      </c>
      <c r="B112" s="340" t="s">
        <v>341</v>
      </c>
      <c r="C112" s="91"/>
      <c r="D112" s="104"/>
      <c r="E112" s="104"/>
      <c r="F112" s="104"/>
      <c r="G112" s="104"/>
      <c r="H112" s="104"/>
      <c r="I112" s="104"/>
      <c r="J112" s="104"/>
      <c r="K112" s="104"/>
      <c r="L112" s="104"/>
      <c r="M112" s="104"/>
      <c r="N112" s="104"/>
      <c r="O112" s="104"/>
      <c r="P112" s="104"/>
      <c r="Q112" s="104"/>
      <c r="R112" s="104"/>
      <c r="S112" s="104"/>
      <c r="T112" s="104"/>
      <c r="U112" s="104"/>
      <c r="V112" s="104"/>
      <c r="W112" s="104"/>
      <c r="X112" s="104"/>
    </row>
    <row r="113" spans="1:24" x14ac:dyDescent="0.25">
      <c r="C113" s="91"/>
      <c r="D113" s="104"/>
      <c r="E113" s="104"/>
      <c r="F113" s="104"/>
      <c r="G113" s="104"/>
      <c r="H113" s="104"/>
      <c r="I113" s="104"/>
      <c r="J113" s="104"/>
      <c r="K113" s="104"/>
      <c r="L113" s="104"/>
      <c r="M113" s="104"/>
      <c r="N113" s="104"/>
      <c r="O113" s="104"/>
      <c r="P113" s="104"/>
      <c r="Q113" s="104"/>
      <c r="R113" s="104"/>
      <c r="S113" s="104"/>
      <c r="T113" s="104"/>
      <c r="U113" s="104"/>
      <c r="V113" s="104"/>
      <c r="W113" s="104"/>
      <c r="X113" s="104"/>
    </row>
    <row r="114" spans="1:24" x14ac:dyDescent="0.25">
      <c r="B114" s="17" t="s">
        <v>3</v>
      </c>
      <c r="C114" s="13" t="s">
        <v>4</v>
      </c>
      <c r="D114" s="20" t="s">
        <v>5</v>
      </c>
      <c r="E114" s="484" t="s">
        <v>6</v>
      </c>
      <c r="F114" s="484"/>
      <c r="G114" s="484"/>
      <c r="H114" s="484"/>
      <c r="I114" s="104"/>
      <c r="J114" s="104"/>
      <c r="K114" s="104"/>
      <c r="L114" s="104"/>
      <c r="M114" s="104"/>
      <c r="N114" s="104"/>
      <c r="O114" s="104"/>
      <c r="P114" s="104"/>
      <c r="Q114" s="104"/>
      <c r="R114" s="104"/>
      <c r="S114" s="104"/>
      <c r="T114" s="104"/>
      <c r="U114" s="104"/>
      <c r="V114" s="104"/>
      <c r="W114" s="104"/>
      <c r="X114" s="104"/>
    </row>
    <row r="115" spans="1:24" x14ac:dyDescent="0.25">
      <c r="B115" s="6" t="s">
        <v>209</v>
      </c>
      <c r="C115" s="450">
        <v>400</v>
      </c>
      <c r="D115" s="5" t="s">
        <v>210</v>
      </c>
      <c r="E115" s="500" t="s">
        <v>215</v>
      </c>
      <c r="F115" s="500"/>
      <c r="G115" s="500"/>
      <c r="H115" s="500"/>
      <c r="I115" s="104"/>
      <c r="J115" s="104"/>
      <c r="K115" s="104"/>
      <c r="L115" s="104"/>
      <c r="M115" s="104"/>
      <c r="N115" s="104"/>
      <c r="O115" s="104"/>
      <c r="P115" s="104"/>
      <c r="Q115" s="104"/>
      <c r="R115" s="104"/>
      <c r="S115" s="104"/>
      <c r="T115" s="104"/>
      <c r="U115" s="104"/>
      <c r="V115" s="104"/>
      <c r="W115" s="104"/>
      <c r="X115" s="104"/>
    </row>
    <row r="116" spans="1:24" x14ac:dyDescent="0.25">
      <c r="B116" s="6" t="s">
        <v>211</v>
      </c>
      <c r="C116" s="194">
        <v>0.5</v>
      </c>
      <c r="D116" s="7" t="s">
        <v>212</v>
      </c>
      <c r="E116" s="500"/>
      <c r="F116" s="500"/>
      <c r="G116" s="500"/>
      <c r="H116" s="500"/>
      <c r="I116" s="104"/>
      <c r="J116" s="104"/>
      <c r="K116" s="104"/>
      <c r="L116" s="104"/>
      <c r="M116" s="104"/>
      <c r="N116" s="104"/>
      <c r="O116" s="104"/>
      <c r="P116" s="104"/>
      <c r="Q116" s="104"/>
      <c r="R116" s="104"/>
      <c r="S116" s="104"/>
      <c r="T116" s="104"/>
      <c r="U116" s="104"/>
      <c r="V116" s="104"/>
      <c r="W116" s="104"/>
      <c r="X116" s="104"/>
    </row>
    <row r="117" spans="1:24" x14ac:dyDescent="0.25">
      <c r="B117" s="6" t="s">
        <v>213</v>
      </c>
      <c r="C117" s="195">
        <v>0.01</v>
      </c>
      <c r="D117" s="7" t="s">
        <v>214</v>
      </c>
      <c r="E117" s="500"/>
      <c r="F117" s="500"/>
      <c r="G117" s="500"/>
      <c r="H117" s="500"/>
      <c r="I117" s="104"/>
      <c r="J117" s="104"/>
      <c r="K117" s="104"/>
      <c r="L117" s="104"/>
      <c r="M117" s="104"/>
      <c r="N117" s="104"/>
      <c r="O117" s="104"/>
      <c r="P117" s="104"/>
      <c r="Q117" s="104"/>
      <c r="R117" s="104"/>
      <c r="S117" s="104"/>
      <c r="T117" s="104"/>
      <c r="U117" s="104"/>
      <c r="V117" s="104"/>
      <c r="W117" s="104"/>
      <c r="X117" s="104"/>
    </row>
    <row r="118" spans="1:24" x14ac:dyDescent="0.25">
      <c r="B118" s="6" t="s">
        <v>226</v>
      </c>
      <c r="C118" s="195">
        <v>0.17</v>
      </c>
      <c r="D118" s="88" t="s">
        <v>222</v>
      </c>
      <c r="E118" s="527" t="s">
        <v>229</v>
      </c>
      <c r="F118" s="528"/>
      <c r="G118" s="528"/>
      <c r="H118" s="529"/>
      <c r="I118" s="104"/>
      <c r="J118" s="104"/>
      <c r="K118" s="104"/>
      <c r="L118" s="104"/>
      <c r="M118" s="104"/>
      <c r="N118" s="104"/>
      <c r="O118" s="104"/>
      <c r="P118" s="104"/>
      <c r="Q118" s="104"/>
      <c r="R118" s="104"/>
      <c r="S118" s="104"/>
      <c r="T118" s="104"/>
      <c r="U118" s="104"/>
      <c r="V118" s="104"/>
      <c r="W118" s="104"/>
      <c r="X118" s="104"/>
    </row>
    <row r="119" spans="1:24" x14ac:dyDescent="0.25">
      <c r="B119" s="6" t="s">
        <v>221</v>
      </c>
      <c r="C119" s="97">
        <v>0.25</v>
      </c>
      <c r="D119" s="63" t="s">
        <v>222</v>
      </c>
      <c r="E119" s="524" t="s">
        <v>225</v>
      </c>
      <c r="F119" s="525"/>
      <c r="G119" s="525"/>
      <c r="H119" s="526"/>
      <c r="I119" s="104"/>
      <c r="J119" s="104"/>
      <c r="K119" s="104"/>
      <c r="L119" s="104"/>
      <c r="M119" s="104"/>
      <c r="N119" s="104"/>
      <c r="O119" s="104"/>
      <c r="P119" s="104"/>
      <c r="Q119" s="104"/>
      <c r="R119" s="104"/>
      <c r="S119" s="104"/>
      <c r="T119" s="104"/>
      <c r="U119" s="104"/>
      <c r="V119" s="104"/>
      <c r="W119" s="104"/>
      <c r="X119" s="104"/>
    </row>
    <row r="120" spans="1:24" x14ac:dyDescent="0.25">
      <c r="I120" s="104"/>
      <c r="J120" s="104"/>
      <c r="K120" s="104"/>
      <c r="L120" s="104"/>
      <c r="M120" s="104"/>
      <c r="N120" s="104"/>
      <c r="O120" s="104"/>
      <c r="P120" s="104"/>
      <c r="Q120" s="104"/>
      <c r="R120" s="104"/>
      <c r="S120" s="104"/>
      <c r="T120" s="104"/>
      <c r="U120" s="104"/>
      <c r="V120" s="104"/>
      <c r="W120" s="104"/>
      <c r="X120" s="104"/>
    </row>
    <row r="121" spans="1:24" x14ac:dyDescent="0.25">
      <c r="B121" s="17" t="s">
        <v>10</v>
      </c>
      <c r="C121" s="14" t="s">
        <v>4</v>
      </c>
      <c r="D121" s="21" t="s">
        <v>5</v>
      </c>
      <c r="E121" s="484" t="s">
        <v>6</v>
      </c>
      <c r="F121" s="484"/>
      <c r="G121" s="484"/>
      <c r="H121" s="484"/>
      <c r="I121" s="104"/>
      <c r="J121" s="104"/>
      <c r="K121" s="104"/>
      <c r="L121" s="104"/>
      <c r="M121" s="104"/>
      <c r="N121" s="104"/>
      <c r="O121" s="104"/>
      <c r="P121" s="104"/>
      <c r="Q121" s="104"/>
      <c r="R121" s="104"/>
      <c r="S121" s="104"/>
      <c r="T121" s="104"/>
      <c r="U121" s="104"/>
      <c r="V121" s="104"/>
      <c r="W121" s="104"/>
      <c r="X121" s="104"/>
    </row>
    <row r="122" spans="1:24" x14ac:dyDescent="0.25">
      <c r="B122" s="6" t="s">
        <v>217</v>
      </c>
      <c r="C122" s="194">
        <v>23</v>
      </c>
      <c r="D122" s="7" t="s">
        <v>9</v>
      </c>
      <c r="E122" s="481" t="s">
        <v>173</v>
      </c>
      <c r="F122" s="482"/>
      <c r="G122" s="482"/>
      <c r="H122" s="483"/>
      <c r="I122" s="104"/>
      <c r="J122" s="104"/>
      <c r="K122" s="104"/>
      <c r="L122" s="104"/>
      <c r="M122" s="104"/>
      <c r="N122" s="104"/>
      <c r="O122" s="104"/>
      <c r="P122" s="104"/>
      <c r="Q122" s="104"/>
      <c r="R122" s="104"/>
      <c r="S122" s="104"/>
      <c r="T122" s="104"/>
      <c r="U122" s="104"/>
      <c r="V122" s="104"/>
      <c r="W122" s="104"/>
      <c r="X122" s="104"/>
    </row>
    <row r="123" spans="1:24" x14ac:dyDescent="0.25">
      <c r="B123" s="6" t="s">
        <v>218</v>
      </c>
      <c r="C123" s="194">
        <v>27</v>
      </c>
      <c r="D123" s="7" t="s">
        <v>7</v>
      </c>
      <c r="E123" s="481" t="s">
        <v>173</v>
      </c>
      <c r="F123" s="482"/>
      <c r="G123" s="482"/>
      <c r="H123" s="483"/>
      <c r="I123" s="104"/>
      <c r="J123" s="104"/>
      <c r="K123" s="104"/>
      <c r="L123" s="104"/>
      <c r="M123" s="104"/>
      <c r="N123" s="104"/>
      <c r="O123" s="104"/>
      <c r="P123" s="104"/>
      <c r="Q123" s="104"/>
      <c r="R123" s="104"/>
      <c r="S123" s="104"/>
      <c r="T123" s="104"/>
      <c r="U123" s="104"/>
      <c r="V123" s="104"/>
      <c r="W123" s="104"/>
      <c r="X123" s="104"/>
    </row>
    <row r="124" spans="1:24" x14ac:dyDescent="0.25">
      <c r="B124" s="9" t="s">
        <v>15</v>
      </c>
      <c r="C124" s="102">
        <v>0.24</v>
      </c>
      <c r="D124" s="27" t="s">
        <v>16</v>
      </c>
      <c r="E124" s="490" t="s">
        <v>17</v>
      </c>
      <c r="F124" s="490"/>
      <c r="G124" s="490"/>
      <c r="H124" s="490"/>
      <c r="I124" s="104"/>
      <c r="J124" s="104"/>
      <c r="K124" s="104"/>
      <c r="L124" s="104"/>
      <c r="M124" s="104"/>
      <c r="N124" s="104"/>
      <c r="O124" s="104"/>
      <c r="P124" s="104"/>
      <c r="Q124" s="104"/>
      <c r="R124" s="104"/>
      <c r="S124" s="104"/>
      <c r="T124" s="104"/>
      <c r="U124" s="104"/>
      <c r="V124" s="104"/>
      <c r="W124" s="104"/>
      <c r="X124" s="104"/>
    </row>
    <row r="125" spans="1:24" ht="27" customHeight="1" x14ac:dyDescent="0.25">
      <c r="B125" s="10"/>
      <c r="C125" s="62"/>
      <c r="D125" s="100"/>
      <c r="E125" s="475" t="s">
        <v>216</v>
      </c>
      <c r="F125" s="475"/>
      <c r="G125" s="475"/>
      <c r="H125" s="475"/>
      <c r="I125" s="104"/>
      <c r="J125" s="104"/>
      <c r="K125" s="104"/>
      <c r="L125" s="104"/>
      <c r="M125" s="104"/>
      <c r="N125" s="104"/>
      <c r="O125" s="104"/>
      <c r="P125" s="104"/>
      <c r="Q125" s="104"/>
      <c r="R125" s="104"/>
      <c r="S125" s="104"/>
      <c r="T125" s="104"/>
      <c r="U125" s="104"/>
      <c r="V125" s="104"/>
      <c r="W125" s="104"/>
      <c r="X125" s="104"/>
    </row>
    <row r="126" spans="1:24" x14ac:dyDescent="0.25">
      <c r="C126" s="91"/>
      <c r="D126" s="104"/>
      <c r="E126" s="104"/>
      <c r="F126" s="104"/>
      <c r="G126" s="104"/>
      <c r="H126" s="104"/>
      <c r="I126" s="104"/>
      <c r="J126" s="104"/>
      <c r="K126" s="104"/>
      <c r="L126" s="104"/>
      <c r="M126" s="104"/>
      <c r="N126" s="104"/>
      <c r="O126" s="104"/>
      <c r="P126" s="104"/>
      <c r="Q126" s="104"/>
      <c r="R126" s="104"/>
      <c r="S126" s="104"/>
      <c r="T126" s="104"/>
      <c r="U126" s="104"/>
      <c r="V126" s="104"/>
      <c r="W126" s="104"/>
      <c r="X126" s="104"/>
    </row>
    <row r="127" spans="1:24" x14ac:dyDescent="0.25">
      <c r="A127" s="63">
        <v>6</v>
      </c>
      <c r="B127" s="44" t="s">
        <v>313</v>
      </c>
      <c r="C127" s="91"/>
      <c r="D127" s="104"/>
      <c r="E127" s="104"/>
      <c r="F127" s="104"/>
      <c r="G127" s="104"/>
      <c r="H127" s="104"/>
      <c r="I127" s="104"/>
      <c r="J127" s="104"/>
      <c r="K127" s="104"/>
      <c r="L127" s="104"/>
      <c r="M127" s="104"/>
      <c r="N127" s="104"/>
      <c r="O127" s="104"/>
      <c r="P127" s="104"/>
      <c r="Q127" s="104"/>
      <c r="R127" s="104"/>
      <c r="S127" s="104"/>
      <c r="T127" s="104"/>
      <c r="U127" s="104"/>
      <c r="V127" s="104"/>
      <c r="W127" s="104"/>
      <c r="X127" s="104"/>
    </row>
    <row r="128" spans="1:24" ht="15.75" thickBot="1" x14ac:dyDescent="0.3">
      <c r="C128" s="91"/>
      <c r="D128" s="104"/>
      <c r="E128" s="104"/>
      <c r="F128" s="104"/>
      <c r="G128" s="104"/>
      <c r="H128" s="104"/>
      <c r="I128" s="104"/>
      <c r="J128" s="104"/>
      <c r="K128" s="104"/>
      <c r="L128" s="104"/>
      <c r="M128" s="104"/>
      <c r="N128" s="104"/>
      <c r="O128" s="104"/>
      <c r="P128" s="104"/>
      <c r="Q128" s="104"/>
      <c r="R128" s="104"/>
      <c r="S128" s="104"/>
      <c r="T128" s="104"/>
      <c r="U128" s="104"/>
      <c r="V128" s="104"/>
      <c r="W128" s="104"/>
      <c r="X128" s="104"/>
    </row>
    <row r="129" spans="1:24" x14ac:dyDescent="0.25">
      <c r="B129" s="399"/>
      <c r="C129" s="400"/>
      <c r="D129" s="401"/>
      <c r="E129" s="104"/>
      <c r="F129" s="104"/>
      <c r="G129" s="104"/>
      <c r="H129" s="104"/>
      <c r="I129" s="104"/>
      <c r="J129" s="104"/>
      <c r="K129" s="104"/>
      <c r="L129" s="104"/>
      <c r="M129" s="104"/>
      <c r="N129" s="104"/>
      <c r="O129" s="104"/>
      <c r="P129" s="104"/>
      <c r="Q129" s="104"/>
      <c r="R129" s="104"/>
      <c r="S129" s="104"/>
      <c r="T129" s="104"/>
      <c r="U129" s="104"/>
      <c r="V129" s="104"/>
      <c r="W129" s="104"/>
      <c r="X129" s="104"/>
    </row>
    <row r="130" spans="1:24" x14ac:dyDescent="0.25">
      <c r="B130" s="402"/>
      <c r="C130" s="403"/>
      <c r="D130" s="404"/>
      <c r="E130" s="104"/>
      <c r="F130" s="104"/>
      <c r="G130" s="104"/>
      <c r="H130" s="104"/>
      <c r="I130" s="104"/>
      <c r="J130" s="104"/>
      <c r="K130" s="104"/>
      <c r="L130" s="104"/>
      <c r="M130" s="104"/>
      <c r="N130" s="104"/>
      <c r="O130" s="104"/>
      <c r="P130" s="104"/>
      <c r="Q130" s="104"/>
      <c r="R130" s="104"/>
      <c r="S130" s="104"/>
      <c r="T130" s="104"/>
      <c r="U130" s="104"/>
      <c r="V130" s="104"/>
      <c r="W130" s="104"/>
      <c r="X130" s="104"/>
    </row>
    <row r="131" spans="1:24" x14ac:dyDescent="0.25">
      <c r="B131" s="405" t="s">
        <v>239</v>
      </c>
      <c r="C131" s="406"/>
      <c r="D131" s="404"/>
      <c r="E131" s="104"/>
      <c r="F131" s="104"/>
      <c r="G131" s="104"/>
      <c r="H131" s="104"/>
      <c r="I131" s="104"/>
      <c r="J131" s="104"/>
      <c r="K131" s="104"/>
      <c r="L131" s="104"/>
      <c r="M131" s="104"/>
      <c r="N131" s="104"/>
      <c r="O131" s="104"/>
      <c r="P131" s="104"/>
      <c r="Q131" s="104"/>
      <c r="R131" s="104"/>
      <c r="S131" s="104"/>
      <c r="T131" s="104"/>
      <c r="U131" s="104"/>
      <c r="V131" s="104"/>
      <c r="W131" s="104"/>
      <c r="X131" s="104"/>
    </row>
    <row r="132" spans="1:24" x14ac:dyDescent="0.25">
      <c r="B132" s="213"/>
      <c r="C132" s="219" t="s">
        <v>240</v>
      </c>
      <c r="D132" s="404"/>
      <c r="E132" s="104"/>
      <c r="F132" s="104"/>
      <c r="G132" s="104"/>
      <c r="H132" s="104"/>
      <c r="I132" s="104"/>
      <c r="J132" s="104"/>
      <c r="K132" s="104"/>
      <c r="L132" s="104"/>
      <c r="M132" s="104"/>
      <c r="N132" s="104"/>
      <c r="O132" s="104"/>
      <c r="P132" s="104"/>
      <c r="Q132" s="104"/>
      <c r="R132" s="104"/>
      <c r="S132" s="104"/>
      <c r="T132" s="104"/>
      <c r="U132" s="104"/>
      <c r="V132" s="104"/>
      <c r="W132" s="104"/>
      <c r="X132" s="104"/>
    </row>
    <row r="133" spans="1:24" x14ac:dyDescent="0.25">
      <c r="B133" s="218" t="s">
        <v>241</v>
      </c>
      <c r="C133" s="220">
        <v>1</v>
      </c>
      <c r="D133" s="408"/>
      <c r="E133" s="104"/>
      <c r="F133" s="104"/>
      <c r="G133" s="104"/>
      <c r="H133" s="104"/>
      <c r="I133" s="104"/>
      <c r="J133" s="104"/>
      <c r="K133" s="104"/>
      <c r="L133" s="104"/>
      <c r="M133" s="104"/>
      <c r="N133" s="104"/>
      <c r="O133" s="104"/>
      <c r="P133" s="104"/>
      <c r="Q133" s="104"/>
      <c r="R133" s="104"/>
      <c r="S133" s="104"/>
      <c r="T133" s="104"/>
      <c r="U133" s="104"/>
      <c r="V133" s="104"/>
      <c r="W133" s="104"/>
      <c r="X133" s="104"/>
    </row>
    <row r="134" spans="1:24" x14ac:dyDescent="0.25">
      <c r="B134" s="218" t="s">
        <v>371</v>
      </c>
      <c r="C134" s="220">
        <f>'CFs Derivation_Vegetables'!C44</f>
        <v>1.0246078431372547</v>
      </c>
      <c r="D134" s="408"/>
      <c r="E134" s="104"/>
      <c r="F134" s="104"/>
      <c r="G134" s="104"/>
      <c r="H134" s="104"/>
      <c r="I134" s="104"/>
      <c r="J134" s="104"/>
      <c r="K134" s="104"/>
      <c r="L134" s="104"/>
      <c r="M134" s="104"/>
      <c r="N134" s="104"/>
      <c r="O134" s="104"/>
      <c r="P134" s="104"/>
      <c r="Q134" s="104"/>
      <c r="R134" s="104"/>
      <c r="S134" s="104"/>
      <c r="T134" s="104"/>
      <c r="U134" s="104"/>
      <c r="V134" s="104"/>
      <c r="W134" s="104"/>
      <c r="X134" s="104"/>
    </row>
    <row r="135" spans="1:24" x14ac:dyDescent="0.25">
      <c r="B135" s="218" t="s">
        <v>373</v>
      </c>
      <c r="C135" s="220">
        <v>1</v>
      </c>
      <c r="D135" s="408"/>
      <c r="E135" s="104"/>
      <c r="F135" s="104"/>
      <c r="G135" s="104"/>
      <c r="H135" s="104"/>
      <c r="I135" s="104"/>
      <c r="J135" s="104"/>
      <c r="K135" s="104"/>
      <c r="L135" s="104"/>
      <c r="M135" s="104"/>
      <c r="N135" s="104"/>
      <c r="O135" s="104"/>
      <c r="P135" s="104"/>
      <c r="Q135" s="104"/>
      <c r="R135" s="104"/>
      <c r="S135" s="104"/>
      <c r="T135" s="104"/>
      <c r="U135" s="104"/>
      <c r="V135" s="104"/>
      <c r="W135" s="104"/>
      <c r="X135" s="104"/>
    </row>
    <row r="136" spans="1:24" ht="15.75" thickBot="1" x14ac:dyDescent="0.3">
      <c r="B136" s="407" t="s">
        <v>372</v>
      </c>
      <c r="C136" s="220">
        <v>1</v>
      </c>
      <c r="D136" s="409"/>
      <c r="E136" s="104"/>
      <c r="F136" s="104"/>
      <c r="G136" s="104"/>
      <c r="H136" s="104"/>
      <c r="I136" s="104"/>
      <c r="J136" s="104"/>
      <c r="K136" s="104"/>
      <c r="L136" s="104"/>
      <c r="M136" s="104"/>
      <c r="N136" s="104"/>
      <c r="O136" s="104"/>
      <c r="P136" s="104"/>
      <c r="Q136" s="104"/>
      <c r="R136" s="104"/>
      <c r="S136" s="104"/>
      <c r="T136" s="104"/>
      <c r="U136" s="104"/>
      <c r="V136" s="104"/>
      <c r="W136" s="104"/>
      <c r="X136" s="104"/>
    </row>
    <row r="137" spans="1:24" x14ac:dyDescent="0.25">
      <c r="A137" s="91"/>
      <c r="B137" s="44"/>
      <c r="C137" s="73"/>
      <c r="D137" s="89"/>
      <c r="E137" s="73"/>
      <c r="F137" s="135"/>
      <c r="G137" s="135"/>
      <c r="H137" s="135"/>
      <c r="K137" s="499" t="s">
        <v>72</v>
      </c>
      <c r="L137" s="499"/>
      <c r="M137" s="499"/>
      <c r="N137" s="499"/>
      <c r="P137" s="494" t="s">
        <v>70</v>
      </c>
      <c r="Q137" s="494"/>
      <c r="R137" s="494"/>
      <c r="S137" s="494"/>
      <c r="U137" s="494" t="s">
        <v>73</v>
      </c>
      <c r="V137" s="494"/>
      <c r="W137" s="494"/>
      <c r="X137" s="494"/>
    </row>
    <row r="138" spans="1:24" ht="22.15" customHeight="1" x14ac:dyDescent="0.25">
      <c r="K138" s="495" t="s">
        <v>129</v>
      </c>
      <c r="L138" s="496"/>
      <c r="M138" s="496"/>
      <c r="N138" s="497"/>
      <c r="P138" s="495" t="s">
        <v>129</v>
      </c>
      <c r="Q138" s="496"/>
      <c r="R138" s="496"/>
      <c r="S138" s="497"/>
      <c r="U138" s="495" t="s">
        <v>129</v>
      </c>
      <c r="V138" s="496"/>
      <c r="W138" s="496"/>
      <c r="X138" s="497"/>
    </row>
    <row r="139" spans="1:24" ht="45" x14ac:dyDescent="0.25">
      <c r="B139" s="17" t="s">
        <v>3</v>
      </c>
      <c r="C139" s="110" t="s">
        <v>246</v>
      </c>
      <c r="D139" s="341" t="s">
        <v>247</v>
      </c>
      <c r="E139" s="20" t="s">
        <v>5</v>
      </c>
      <c r="F139" s="222"/>
      <c r="G139" s="222"/>
      <c r="H139" s="222"/>
      <c r="K139" s="88"/>
      <c r="L139" s="110" t="s">
        <v>396</v>
      </c>
      <c r="M139" s="88" t="s">
        <v>97</v>
      </c>
      <c r="N139" s="88" t="s">
        <v>96</v>
      </c>
      <c r="P139" s="88"/>
      <c r="Q139" s="110" t="s">
        <v>396</v>
      </c>
      <c r="R139" s="88" t="s">
        <v>97</v>
      </c>
      <c r="S139" s="88" t="s">
        <v>96</v>
      </c>
      <c r="U139" s="88"/>
      <c r="V139" s="110" t="s">
        <v>396</v>
      </c>
      <c r="W139" s="88" t="s">
        <v>97</v>
      </c>
      <c r="X139" s="88" t="s">
        <v>96</v>
      </c>
    </row>
    <row r="140" spans="1:24" ht="17.25" customHeight="1" x14ac:dyDescent="0.25">
      <c r="B140" s="6" t="s">
        <v>209</v>
      </c>
      <c r="C140" s="410">
        <f>C115</f>
        <v>400</v>
      </c>
      <c r="D140" s="414">
        <f>C140</f>
        <v>400</v>
      </c>
      <c r="E140" s="5" t="s">
        <v>210</v>
      </c>
      <c r="F140" s="223"/>
      <c r="G140" s="223"/>
      <c r="H140" s="223"/>
      <c r="K140" s="47" t="s">
        <v>77</v>
      </c>
      <c r="L140" s="152">
        <v>-7.4999999999999997E-2</v>
      </c>
      <c r="M140" s="58">
        <f>$F79*F78</f>
        <v>0.5</v>
      </c>
      <c r="N140" s="108">
        <f>L140*M140</f>
        <v>-3.7499999999999999E-2</v>
      </c>
      <c r="P140" s="47" t="s">
        <v>77</v>
      </c>
      <c r="Q140" s="139">
        <v>-0.01</v>
      </c>
      <c r="R140" s="58">
        <f>F93*F92</f>
        <v>0.5</v>
      </c>
      <c r="S140" s="108">
        <f>Q140*R140</f>
        <v>-5.0000000000000001E-3</v>
      </c>
      <c r="U140" s="47" t="s">
        <v>77</v>
      </c>
      <c r="V140" s="139">
        <v>-0.03</v>
      </c>
      <c r="W140" s="58">
        <f>F105*F104</f>
        <v>0.5</v>
      </c>
      <c r="X140" s="108">
        <f>V140*W140</f>
        <v>-1.4999999999999999E-2</v>
      </c>
    </row>
    <row r="141" spans="1:24" ht="17.25" customHeight="1" x14ac:dyDescent="0.25">
      <c r="B141" s="6" t="s">
        <v>211</v>
      </c>
      <c r="C141" s="63">
        <f>C116</f>
        <v>0.5</v>
      </c>
      <c r="D141" s="415">
        <f>C141*C135</f>
        <v>0.5</v>
      </c>
      <c r="E141" s="7" t="s">
        <v>212</v>
      </c>
      <c r="F141" s="223"/>
      <c r="G141" s="223"/>
      <c r="H141" s="223"/>
      <c r="K141" s="47" t="s">
        <v>71</v>
      </c>
      <c r="L141" s="97">
        <v>0</v>
      </c>
      <c r="M141" s="58">
        <f>M140</f>
        <v>0.5</v>
      </c>
      <c r="N141" s="108">
        <f t="shared" ref="N141:N142" si="48">L141*M141</f>
        <v>0</v>
      </c>
      <c r="P141" s="47" t="s">
        <v>71</v>
      </c>
      <c r="Q141" s="97">
        <v>0</v>
      </c>
      <c r="R141" s="58">
        <f>R140</f>
        <v>0.5</v>
      </c>
      <c r="S141" s="108">
        <f t="shared" ref="S141:S144" si="49">Q141*R141</f>
        <v>0</v>
      </c>
      <c r="U141" s="47" t="s">
        <v>71</v>
      </c>
      <c r="V141" s="97">
        <v>0</v>
      </c>
      <c r="W141" s="58">
        <f>W140</f>
        <v>0.5</v>
      </c>
      <c r="X141" s="108">
        <f t="shared" ref="X141:X144" si="50">V141*W141</f>
        <v>0</v>
      </c>
    </row>
    <row r="142" spans="1:24" ht="17.25" customHeight="1" x14ac:dyDescent="0.25">
      <c r="B142" s="6" t="s">
        <v>213</v>
      </c>
      <c r="C142" s="58">
        <f>C117</f>
        <v>0.01</v>
      </c>
      <c r="D142" s="416">
        <v>0.01</v>
      </c>
      <c r="E142" s="7" t="s">
        <v>214</v>
      </c>
      <c r="F142" s="223"/>
      <c r="G142" s="223"/>
      <c r="H142" s="223"/>
      <c r="K142" s="47" t="s">
        <v>71</v>
      </c>
      <c r="L142" s="97">
        <v>0</v>
      </c>
      <c r="M142" s="58">
        <f t="shared" ref="M142:M143" si="51">M141</f>
        <v>0.5</v>
      </c>
      <c r="N142" s="108">
        <f t="shared" si="48"/>
        <v>0</v>
      </c>
      <c r="P142" s="47" t="s">
        <v>71</v>
      </c>
      <c r="Q142" s="97">
        <v>0</v>
      </c>
      <c r="R142" s="58">
        <f t="shared" ref="R142:R143" si="52">R141</f>
        <v>0.5</v>
      </c>
      <c r="S142" s="108">
        <f t="shared" si="49"/>
        <v>0</v>
      </c>
      <c r="U142" s="47" t="s">
        <v>71</v>
      </c>
      <c r="V142" s="97">
        <v>0</v>
      </c>
      <c r="W142" s="58">
        <f t="shared" ref="W142:W143" si="53">W141</f>
        <v>0.5</v>
      </c>
      <c r="X142" s="108">
        <f t="shared" si="50"/>
        <v>0</v>
      </c>
    </row>
    <row r="143" spans="1:24" s="203" customFormat="1" ht="32.450000000000003" customHeight="1" x14ac:dyDescent="0.25">
      <c r="B143" s="437" t="s">
        <v>226</v>
      </c>
      <c r="C143" s="81">
        <f>C118</f>
        <v>0.17</v>
      </c>
      <c r="D143" s="443">
        <f>C143</f>
        <v>0.17</v>
      </c>
      <c r="E143" s="88" t="s">
        <v>222</v>
      </c>
      <c r="F143" s="514"/>
      <c r="G143" s="514"/>
      <c r="H143" s="514"/>
      <c r="I143" s="514"/>
      <c r="K143" s="204" t="s">
        <v>71</v>
      </c>
      <c r="L143" s="205">
        <v>0</v>
      </c>
      <c r="M143" s="81">
        <f t="shared" si="51"/>
        <v>0.5</v>
      </c>
      <c r="N143" s="206">
        <f t="shared" ref="N143" si="54">L143*M143</f>
        <v>0</v>
      </c>
      <c r="P143" s="204" t="s">
        <v>71</v>
      </c>
      <c r="Q143" s="205">
        <v>0</v>
      </c>
      <c r="R143" s="81">
        <f t="shared" si="52"/>
        <v>0.5</v>
      </c>
      <c r="S143" s="206">
        <f t="shared" ref="S143" si="55">Q143*R143</f>
        <v>0</v>
      </c>
      <c r="U143" s="204" t="s">
        <v>71</v>
      </c>
      <c r="V143" s="205">
        <v>0</v>
      </c>
      <c r="W143" s="81">
        <f t="shared" si="53"/>
        <v>0.5</v>
      </c>
      <c r="X143" s="206">
        <f t="shared" ref="X143" si="56">V143*W143</f>
        <v>0</v>
      </c>
    </row>
    <row r="144" spans="1:24" x14ac:dyDescent="0.25">
      <c r="B144" s="437" t="s">
        <v>221</v>
      </c>
      <c r="C144" s="58">
        <f>C119</f>
        <v>0.25</v>
      </c>
      <c r="D144" s="139">
        <f>C144</f>
        <v>0.25</v>
      </c>
      <c r="E144" s="63" t="s">
        <v>222</v>
      </c>
      <c r="F144" s="514"/>
      <c r="G144" s="514"/>
      <c r="H144" s="514"/>
      <c r="I144" s="514"/>
      <c r="K144" s="47" t="s">
        <v>71</v>
      </c>
      <c r="L144" s="97">
        <v>0</v>
      </c>
      <c r="M144" s="58">
        <f>M142</f>
        <v>0.5</v>
      </c>
      <c r="N144" s="108">
        <f t="shared" ref="N144" si="57">L144*M144</f>
        <v>0</v>
      </c>
      <c r="P144" s="47" t="s">
        <v>71</v>
      </c>
      <c r="Q144" s="97">
        <v>0</v>
      </c>
      <c r="R144" s="58">
        <f>R142</f>
        <v>0.5</v>
      </c>
      <c r="S144" s="108">
        <f t="shared" si="49"/>
        <v>0</v>
      </c>
      <c r="U144" s="47" t="s">
        <v>71</v>
      </c>
      <c r="V144" s="97">
        <v>0</v>
      </c>
      <c r="W144" s="58">
        <f>W142</f>
        <v>0.5</v>
      </c>
      <c r="X144" s="108">
        <f t="shared" si="50"/>
        <v>0</v>
      </c>
    </row>
    <row r="145" spans="1:28" x14ac:dyDescent="0.25">
      <c r="L145" s="91"/>
      <c r="M145" s="91"/>
      <c r="N145" s="91"/>
      <c r="Q145" s="91"/>
      <c r="R145" s="91"/>
      <c r="S145" s="91"/>
      <c r="V145" s="91"/>
      <c r="W145" s="91"/>
      <c r="X145" s="91"/>
    </row>
    <row r="146" spans="1:28" x14ac:dyDescent="0.25">
      <c r="B146" s="17" t="s">
        <v>10</v>
      </c>
      <c r="C146" s="63"/>
      <c r="D146" s="14" t="s">
        <v>4</v>
      </c>
      <c r="E146" s="21" t="s">
        <v>5</v>
      </c>
      <c r="F146" s="222"/>
      <c r="G146" s="222"/>
      <c r="H146" s="222"/>
      <c r="L146" s="91"/>
      <c r="M146" s="91"/>
      <c r="N146" s="91"/>
      <c r="Q146" s="91"/>
      <c r="R146" s="91"/>
      <c r="S146" s="91"/>
      <c r="V146" s="91"/>
      <c r="W146" s="91"/>
      <c r="X146" s="91"/>
    </row>
    <row r="147" spans="1:28" x14ac:dyDescent="0.25">
      <c r="B147" s="6" t="s">
        <v>217</v>
      </c>
      <c r="C147" s="63">
        <f>C122</f>
        <v>23</v>
      </c>
      <c r="D147" s="415">
        <f>C147</f>
        <v>23</v>
      </c>
      <c r="E147" s="7" t="s">
        <v>9</v>
      </c>
      <c r="F147" s="225"/>
      <c r="G147" s="225"/>
      <c r="H147" s="225"/>
      <c r="K147" s="47" t="s">
        <v>71</v>
      </c>
      <c r="L147" s="97">
        <v>0</v>
      </c>
      <c r="M147" s="58">
        <f>M142</f>
        <v>0.5</v>
      </c>
      <c r="N147" s="108">
        <f t="shared" ref="N147:N148" si="58">L147*M147</f>
        <v>0</v>
      </c>
      <c r="P147" s="90" t="s">
        <v>74</v>
      </c>
      <c r="Q147" s="97">
        <v>0</v>
      </c>
      <c r="R147" s="58">
        <f>R142</f>
        <v>0.5</v>
      </c>
      <c r="S147" s="111">
        <f t="shared" ref="S147:S149" si="59">Q147*R147</f>
        <v>0</v>
      </c>
      <c r="U147" s="90" t="s">
        <v>74</v>
      </c>
      <c r="V147" s="97">
        <v>0</v>
      </c>
      <c r="W147" s="58">
        <f>W142</f>
        <v>0.5</v>
      </c>
      <c r="X147" s="138">
        <f t="shared" ref="X147:X149" si="60">V147*W147</f>
        <v>0</v>
      </c>
    </row>
    <row r="148" spans="1:28" x14ac:dyDescent="0.25">
      <c r="B148" s="412" t="s">
        <v>218</v>
      </c>
      <c r="C148" s="145">
        <f>C123</f>
        <v>27</v>
      </c>
      <c r="D148" s="417">
        <f>C148*C134</f>
        <v>27.664411764705878</v>
      </c>
      <c r="E148" s="413" t="s">
        <v>7</v>
      </c>
      <c r="F148" s="225"/>
      <c r="G148" s="225"/>
      <c r="H148" s="225"/>
      <c r="K148" s="47" t="s">
        <v>74</v>
      </c>
      <c r="L148" s="97">
        <v>0.04</v>
      </c>
      <c r="M148" s="58">
        <f>M147</f>
        <v>0.5</v>
      </c>
      <c r="N148" s="108">
        <f t="shared" si="58"/>
        <v>0.02</v>
      </c>
      <c r="P148" s="47" t="s">
        <v>71</v>
      </c>
      <c r="Q148" s="449">
        <v>4.4999999999999998E-2</v>
      </c>
      <c r="R148" s="58">
        <f t="shared" ref="R148" si="61">R147</f>
        <v>0.5</v>
      </c>
      <c r="S148" s="111">
        <f t="shared" si="59"/>
        <v>2.2499999999999999E-2</v>
      </c>
      <c r="U148" s="47" t="s">
        <v>71</v>
      </c>
      <c r="V148" s="449">
        <v>5.3999999999999999E-2</v>
      </c>
      <c r="W148" s="58">
        <f t="shared" ref="W148" si="62">W147</f>
        <v>0.5</v>
      </c>
      <c r="X148" s="138">
        <f t="shared" si="60"/>
        <v>2.7E-2</v>
      </c>
    </row>
    <row r="149" spans="1:28" x14ac:dyDescent="0.25">
      <c r="B149" s="9" t="s">
        <v>15</v>
      </c>
      <c r="C149" s="58">
        <f>C124</f>
        <v>0.24</v>
      </c>
      <c r="D149" s="134">
        <f>C149</f>
        <v>0.24</v>
      </c>
      <c r="E149" s="27" t="s">
        <v>16</v>
      </c>
      <c r="F149" s="225"/>
      <c r="G149" s="225"/>
      <c r="H149" s="225"/>
      <c r="K149" s="47" t="s">
        <v>71</v>
      </c>
      <c r="L149" s="97">
        <v>0</v>
      </c>
      <c r="M149" s="58">
        <f>M148</f>
        <v>0.5</v>
      </c>
      <c r="N149" s="108">
        <f>L149*M149</f>
        <v>0</v>
      </c>
      <c r="P149" s="47" t="s">
        <v>71</v>
      </c>
      <c r="Q149" s="97">
        <v>0</v>
      </c>
      <c r="R149" s="58">
        <f>R148</f>
        <v>0.5</v>
      </c>
      <c r="S149" s="111">
        <f t="shared" si="59"/>
        <v>0</v>
      </c>
      <c r="U149" s="47" t="s">
        <v>71</v>
      </c>
      <c r="V149" s="97">
        <v>0</v>
      </c>
      <c r="W149" s="58">
        <f>W148</f>
        <v>0.5</v>
      </c>
      <c r="X149" s="138">
        <f t="shared" si="60"/>
        <v>0</v>
      </c>
    </row>
    <row r="150" spans="1:28" ht="12.6" customHeight="1" x14ac:dyDescent="0.25">
      <c r="B150" s="10"/>
      <c r="C150" s="149"/>
      <c r="D150" s="100"/>
      <c r="E150" s="101"/>
      <c r="F150" s="101"/>
      <c r="G150" s="101"/>
      <c r="H150" s="101"/>
      <c r="L150" s="71"/>
      <c r="M150" s="107"/>
      <c r="N150" s="141"/>
      <c r="O150" s="105"/>
      <c r="P150" s="105"/>
      <c r="Q150" s="71"/>
      <c r="R150" s="107"/>
      <c r="S150" s="142"/>
      <c r="T150" s="105"/>
      <c r="U150" s="105"/>
      <c r="V150" s="71"/>
      <c r="W150" s="107"/>
      <c r="X150" s="143"/>
    </row>
    <row r="151" spans="1:28" x14ac:dyDescent="0.25">
      <c r="B151" s="10"/>
      <c r="C151" s="62"/>
      <c r="D151" s="100"/>
      <c r="E151" s="101"/>
      <c r="F151" s="101"/>
      <c r="G151" s="202"/>
      <c r="H151" s="202"/>
      <c r="I151" s="201"/>
      <c r="P151" s="531" t="s">
        <v>395</v>
      </c>
      <c r="Q151" s="530" t="s">
        <v>397</v>
      </c>
      <c r="R151" s="530"/>
      <c r="S151" s="530"/>
      <c r="T151" s="530"/>
      <c r="U151" s="530"/>
      <c r="V151" s="530"/>
      <c r="W151" s="530"/>
      <c r="X151" s="530"/>
    </row>
    <row r="152" spans="1:28" x14ac:dyDescent="0.25">
      <c r="A152" s="63">
        <v>6</v>
      </c>
      <c r="B152" s="44" t="s">
        <v>230</v>
      </c>
      <c r="C152" s="91"/>
      <c r="D152" s="104"/>
      <c r="E152" s="104"/>
      <c r="F152" s="104"/>
      <c r="G152" s="104"/>
      <c r="H152" s="104"/>
      <c r="I152" s="104"/>
      <c r="J152" s="104"/>
      <c r="K152" s="104"/>
      <c r="L152" s="104"/>
      <c r="M152" s="104"/>
      <c r="N152" s="104"/>
      <c r="O152" s="104"/>
      <c r="P152" s="531"/>
      <c r="Q152" s="530"/>
      <c r="R152" s="530"/>
      <c r="S152" s="530"/>
      <c r="T152" s="530"/>
      <c r="U152" s="530"/>
      <c r="V152" s="530"/>
      <c r="W152" s="530"/>
      <c r="X152" s="530"/>
    </row>
    <row r="153" spans="1:28" x14ac:dyDescent="0.25">
      <c r="C153" s="91"/>
      <c r="D153" s="104"/>
      <c r="E153" s="104"/>
      <c r="F153" s="104"/>
      <c r="G153" s="104"/>
      <c r="H153" s="104"/>
      <c r="I153" s="104"/>
      <c r="J153" s="104"/>
      <c r="K153" s="104"/>
      <c r="L153" s="104"/>
      <c r="M153" s="104"/>
      <c r="N153" s="104"/>
      <c r="O153" s="104"/>
      <c r="P153" s="104"/>
      <c r="Q153" s="104"/>
      <c r="R153" s="104"/>
      <c r="S153" s="104"/>
      <c r="T153" s="104"/>
      <c r="U153" s="104"/>
      <c r="V153" s="104"/>
      <c r="W153" s="104"/>
      <c r="X153" s="104"/>
    </row>
    <row r="154" spans="1:28" x14ac:dyDescent="0.25">
      <c r="B154" s="17" t="s">
        <v>3</v>
      </c>
      <c r="C154" s="16" t="s">
        <v>19</v>
      </c>
      <c r="D154" s="16">
        <v>0</v>
      </c>
      <c r="E154" s="16">
        <v>1</v>
      </c>
      <c r="F154" s="16">
        <v>2</v>
      </c>
      <c r="G154" s="122">
        <v>3</v>
      </c>
      <c r="H154" s="16">
        <v>4</v>
      </c>
      <c r="I154" s="16">
        <v>5</v>
      </c>
      <c r="J154" s="122">
        <v>6</v>
      </c>
      <c r="K154" s="16">
        <v>7</v>
      </c>
      <c r="L154" s="16">
        <v>8</v>
      </c>
      <c r="M154" s="122">
        <v>9</v>
      </c>
      <c r="N154" s="15"/>
      <c r="O154" s="15"/>
      <c r="P154" s="179"/>
      <c r="Q154" s="15"/>
      <c r="R154" s="15"/>
      <c r="S154" s="179"/>
      <c r="T154" s="15"/>
      <c r="U154" s="15"/>
      <c r="V154" s="179"/>
      <c r="W154" s="15"/>
      <c r="X154" s="15"/>
      <c r="Y154" s="179"/>
      <c r="Z154" s="15"/>
      <c r="AA154" s="15"/>
      <c r="AB154" s="179"/>
    </row>
    <row r="155" spans="1:28" x14ac:dyDescent="0.25">
      <c r="B155" s="109" t="str">
        <f>B140</f>
        <v>Vegetable Production</v>
      </c>
      <c r="C155" s="63" t="str">
        <f>K140</f>
        <v>Decrease</v>
      </c>
      <c r="D155" s="118">
        <f>D140</f>
        <v>400</v>
      </c>
      <c r="E155" s="118">
        <f>D155</f>
        <v>400</v>
      </c>
      <c r="F155" s="118">
        <f>E155</f>
        <v>400</v>
      </c>
      <c r="G155" s="63">
        <f>F155*(1+$N140)</f>
        <v>385</v>
      </c>
      <c r="H155" s="118">
        <f>E155</f>
        <v>400</v>
      </c>
      <c r="I155" s="118">
        <f t="shared" ref="I155" si="63">F155</f>
        <v>400</v>
      </c>
      <c r="J155" s="63">
        <f>I155*(1+$N140)</f>
        <v>385</v>
      </c>
      <c r="K155" s="118">
        <f>H155</f>
        <v>400</v>
      </c>
      <c r="L155" s="118">
        <f>K155</f>
        <v>400</v>
      </c>
      <c r="M155" s="63">
        <f>L155*(1+$N140)</f>
        <v>385</v>
      </c>
      <c r="N155" s="180"/>
      <c r="O155" s="180"/>
      <c r="P155" s="91"/>
      <c r="Q155" s="180"/>
      <c r="R155" s="180"/>
      <c r="S155" s="91"/>
      <c r="T155" s="180"/>
      <c r="U155" s="180"/>
      <c r="V155" s="91"/>
      <c r="W155" s="180"/>
      <c r="X155" s="180"/>
      <c r="Y155" s="91"/>
      <c r="Z155" s="180"/>
      <c r="AA155" s="180"/>
      <c r="AB155" s="91"/>
    </row>
    <row r="156" spans="1:28" x14ac:dyDescent="0.25">
      <c r="B156" s="9" t="str">
        <f>B141</f>
        <v>Price of vegetable</v>
      </c>
      <c r="C156" s="63" t="str">
        <f>K141</f>
        <v>No change</v>
      </c>
      <c r="D156" s="119">
        <f>D141</f>
        <v>0.5</v>
      </c>
      <c r="E156" s="119">
        <f>D156</f>
        <v>0.5</v>
      </c>
      <c r="F156" s="119">
        <f t="shared" ref="F156:M159" si="64">E156</f>
        <v>0.5</v>
      </c>
      <c r="G156" s="128">
        <f t="shared" si="64"/>
        <v>0.5</v>
      </c>
      <c r="H156" s="119">
        <f t="shared" si="64"/>
        <v>0.5</v>
      </c>
      <c r="I156" s="119">
        <f t="shared" si="64"/>
        <v>0.5</v>
      </c>
      <c r="J156" s="128">
        <f t="shared" si="64"/>
        <v>0.5</v>
      </c>
      <c r="K156" s="119">
        <f t="shared" si="64"/>
        <v>0.5</v>
      </c>
      <c r="L156" s="119">
        <f t="shared" si="64"/>
        <v>0.5</v>
      </c>
      <c r="M156" s="128">
        <f t="shared" si="64"/>
        <v>0.5</v>
      </c>
      <c r="N156" s="182"/>
      <c r="O156" s="182"/>
      <c r="P156" s="196"/>
      <c r="Q156" s="182"/>
      <c r="R156" s="182"/>
      <c r="S156" s="196"/>
      <c r="T156" s="182"/>
      <c r="U156" s="182"/>
      <c r="V156" s="196"/>
      <c r="W156" s="182"/>
      <c r="X156" s="182"/>
      <c r="Y156" s="196"/>
      <c r="Z156" s="182"/>
      <c r="AA156" s="182"/>
      <c r="AB156" s="196"/>
    </row>
    <row r="157" spans="1:28" x14ac:dyDescent="0.25">
      <c r="B157" s="9" t="str">
        <f>B142</f>
        <v>Change in vegetable Price</v>
      </c>
      <c r="C157" s="63" t="str">
        <f>K142</f>
        <v>No change</v>
      </c>
      <c r="D157" s="58">
        <f>D142</f>
        <v>0.01</v>
      </c>
      <c r="E157" s="58">
        <f>D157</f>
        <v>0.01</v>
      </c>
      <c r="F157" s="58">
        <f>E157</f>
        <v>0.01</v>
      </c>
      <c r="G157" s="124">
        <f t="shared" si="64"/>
        <v>0.01</v>
      </c>
      <c r="H157" s="58">
        <f t="shared" si="64"/>
        <v>0.01</v>
      </c>
      <c r="I157" s="58">
        <f t="shared" si="64"/>
        <v>0.01</v>
      </c>
      <c r="J157" s="124">
        <f t="shared" si="64"/>
        <v>0.01</v>
      </c>
      <c r="K157" s="58">
        <f t="shared" si="64"/>
        <v>0.01</v>
      </c>
      <c r="L157" s="58">
        <f t="shared" si="64"/>
        <v>0.01</v>
      </c>
      <c r="M157" s="124">
        <f t="shared" si="64"/>
        <v>0.01</v>
      </c>
      <c r="N157" s="78"/>
      <c r="O157" s="78"/>
      <c r="P157" s="197"/>
      <c r="Q157" s="78"/>
      <c r="R157" s="78"/>
      <c r="S157" s="197"/>
      <c r="T157" s="78"/>
      <c r="U157" s="78"/>
      <c r="V157" s="197"/>
      <c r="W157" s="78"/>
      <c r="X157" s="78"/>
      <c r="Y157" s="197"/>
      <c r="Z157" s="78"/>
      <c r="AA157" s="78"/>
      <c r="AB157" s="197"/>
    </row>
    <row r="158" spans="1:28" x14ac:dyDescent="0.25">
      <c r="B158" s="9" t="str">
        <f>B143</f>
        <v>Vegetable sale after own consumption (Year 01)</v>
      </c>
      <c r="C158" s="63" t="str">
        <f>K143</f>
        <v>No change</v>
      </c>
      <c r="D158" s="58">
        <f>D143</f>
        <v>0.17</v>
      </c>
      <c r="E158" s="58">
        <f>D158</f>
        <v>0.17</v>
      </c>
      <c r="F158" s="58">
        <f t="shared" ref="F158" si="65">E158</f>
        <v>0.17</v>
      </c>
      <c r="G158" s="58">
        <f t="shared" si="64"/>
        <v>0.17</v>
      </c>
      <c r="H158" s="58">
        <f t="shared" si="64"/>
        <v>0.17</v>
      </c>
      <c r="I158" s="58">
        <f t="shared" si="64"/>
        <v>0.17</v>
      </c>
      <c r="J158" s="58">
        <f t="shared" si="64"/>
        <v>0.17</v>
      </c>
      <c r="K158" s="58">
        <f t="shared" si="64"/>
        <v>0.17</v>
      </c>
      <c r="L158" s="58">
        <f t="shared" si="64"/>
        <v>0.17</v>
      </c>
      <c r="M158" s="58">
        <f t="shared" si="64"/>
        <v>0.17</v>
      </c>
      <c r="N158" s="78"/>
      <c r="O158" s="78"/>
      <c r="P158" s="197"/>
      <c r="Q158" s="78"/>
      <c r="R158" s="78"/>
      <c r="S158" s="197"/>
      <c r="T158" s="78"/>
      <c r="U158" s="78"/>
      <c r="V158" s="197"/>
      <c r="W158" s="78"/>
      <c r="X158" s="78"/>
      <c r="Y158" s="197"/>
      <c r="Z158" s="78"/>
      <c r="AA158" s="78"/>
      <c r="AB158" s="197"/>
    </row>
    <row r="159" spans="1:28" x14ac:dyDescent="0.25">
      <c r="B159" s="47" t="str">
        <f>B144</f>
        <v>Vegetable sale after own consumption</v>
      </c>
      <c r="C159" s="63" t="str">
        <f>K144</f>
        <v>No change</v>
      </c>
      <c r="D159" s="58">
        <f>D144</f>
        <v>0.25</v>
      </c>
      <c r="E159" s="58">
        <f>D159</f>
        <v>0.25</v>
      </c>
      <c r="F159" s="58">
        <f t="shared" ref="F159" si="66">E159</f>
        <v>0.25</v>
      </c>
      <c r="G159" s="58">
        <f t="shared" si="64"/>
        <v>0.25</v>
      </c>
      <c r="H159" s="58">
        <f t="shared" si="64"/>
        <v>0.25</v>
      </c>
      <c r="I159" s="58">
        <f t="shared" si="64"/>
        <v>0.25</v>
      </c>
      <c r="J159" s="58">
        <f t="shared" si="64"/>
        <v>0.25</v>
      </c>
      <c r="K159" s="58">
        <f t="shared" si="64"/>
        <v>0.25</v>
      </c>
      <c r="L159" s="58">
        <f t="shared" si="64"/>
        <v>0.25</v>
      </c>
      <c r="M159" s="58">
        <f t="shared" si="64"/>
        <v>0.25</v>
      </c>
      <c r="P159" s="127"/>
      <c r="S159" s="127"/>
      <c r="V159" s="127"/>
      <c r="Y159" s="127"/>
      <c r="AB159" s="127"/>
    </row>
    <row r="160" spans="1:28" x14ac:dyDescent="0.25">
      <c r="J160" s="127"/>
      <c r="M160" s="127"/>
      <c r="P160" s="127"/>
      <c r="S160" s="127"/>
      <c r="V160" s="127"/>
      <c r="Y160" s="127"/>
      <c r="AB160" s="127"/>
    </row>
    <row r="161" spans="1:28" x14ac:dyDescent="0.25">
      <c r="B161" s="17" t="s">
        <v>10</v>
      </c>
      <c r="C161" s="16" t="s">
        <v>19</v>
      </c>
      <c r="D161" s="16">
        <v>0</v>
      </c>
      <c r="E161" s="16">
        <v>1</v>
      </c>
      <c r="F161" s="16">
        <v>2</v>
      </c>
      <c r="G161" s="122">
        <v>3</v>
      </c>
      <c r="H161" s="16">
        <v>4</v>
      </c>
      <c r="I161" s="16">
        <v>5</v>
      </c>
      <c r="J161" s="122">
        <v>6</v>
      </c>
      <c r="K161" s="16">
        <v>7</v>
      </c>
      <c r="L161" s="16">
        <v>8</v>
      </c>
      <c r="M161" s="122">
        <v>9</v>
      </c>
      <c r="N161" s="15"/>
      <c r="O161" s="15"/>
      <c r="P161" s="179"/>
      <c r="Q161" s="15"/>
      <c r="R161" s="15"/>
      <c r="S161" s="179"/>
      <c r="T161" s="15"/>
      <c r="U161" s="15"/>
      <c r="V161" s="179"/>
      <c r="W161" s="15"/>
      <c r="X161" s="15"/>
      <c r="Y161" s="179"/>
      <c r="Z161" s="15"/>
      <c r="AA161" s="15"/>
      <c r="AB161" s="179"/>
    </row>
    <row r="162" spans="1:28" x14ac:dyDescent="0.25">
      <c r="B162" s="109" t="str">
        <f>B147</f>
        <v>Land Preparation for cultivation (fenching.etc)</v>
      </c>
      <c r="C162" s="63" t="str">
        <f>K147</f>
        <v>No change</v>
      </c>
      <c r="D162" s="118">
        <f>D147</f>
        <v>23</v>
      </c>
      <c r="E162" s="118">
        <f t="shared" ref="E162:M164" si="67">D162</f>
        <v>23</v>
      </c>
      <c r="F162" s="118">
        <f t="shared" si="67"/>
        <v>23</v>
      </c>
      <c r="G162" s="63">
        <f>F162*(1+$N147)</f>
        <v>23</v>
      </c>
      <c r="H162" s="118">
        <f>F162</f>
        <v>23</v>
      </c>
      <c r="I162" s="118">
        <f>H162</f>
        <v>23</v>
      </c>
      <c r="J162" s="63">
        <f>I162*(1+$N147)</f>
        <v>23</v>
      </c>
      <c r="K162" s="118">
        <f>I162</f>
        <v>23</v>
      </c>
      <c r="L162" s="118">
        <f>K162</f>
        <v>23</v>
      </c>
      <c r="M162" s="63">
        <f>L162*(1+$N147)</f>
        <v>23</v>
      </c>
      <c r="N162" s="180"/>
      <c r="O162" s="180"/>
      <c r="P162" s="91"/>
      <c r="Q162" s="180"/>
      <c r="R162" s="180"/>
      <c r="S162" s="91"/>
      <c r="T162" s="180"/>
      <c r="U162" s="180"/>
      <c r="V162" s="91"/>
      <c r="W162" s="180"/>
      <c r="X162" s="180"/>
      <c r="Y162" s="91"/>
      <c r="Z162" s="180"/>
      <c r="AA162" s="180"/>
      <c r="AB162" s="91"/>
    </row>
    <row r="163" spans="1:28" x14ac:dyDescent="0.25">
      <c r="B163" s="109" t="str">
        <f>B148</f>
        <v>Organic Fartilizer/Seeds/Saplings etc.</v>
      </c>
      <c r="C163" s="63" t="str">
        <f>K148</f>
        <v>Increase</v>
      </c>
      <c r="D163" s="118">
        <f>D148</f>
        <v>27.664411764705878</v>
      </c>
      <c r="E163" s="118">
        <f t="shared" si="67"/>
        <v>27.664411764705878</v>
      </c>
      <c r="F163" s="118">
        <f t="shared" si="67"/>
        <v>27.664411764705878</v>
      </c>
      <c r="G163" s="63">
        <f>F163*(1+$N148)</f>
        <v>28.217699999999997</v>
      </c>
      <c r="H163" s="118">
        <f t="shared" ref="H163" si="68">F163</f>
        <v>27.664411764705878</v>
      </c>
      <c r="I163" s="118">
        <f t="shared" ref="I163" si="69">H163</f>
        <v>27.664411764705878</v>
      </c>
      <c r="J163" s="63">
        <f>I163*(1+$N148)</f>
        <v>28.217699999999997</v>
      </c>
      <c r="K163" s="118">
        <f t="shared" ref="K163" si="70">I163</f>
        <v>27.664411764705878</v>
      </c>
      <c r="L163" s="118">
        <f t="shared" ref="L163" si="71">K163</f>
        <v>27.664411764705878</v>
      </c>
      <c r="M163" s="63">
        <f>L163*(1+$N148)</f>
        <v>28.217699999999997</v>
      </c>
      <c r="N163" s="180"/>
      <c r="O163" s="180"/>
      <c r="P163" s="91"/>
      <c r="Q163" s="180"/>
      <c r="R163" s="180"/>
      <c r="S163" s="91"/>
      <c r="T163" s="180"/>
      <c r="U163" s="180"/>
      <c r="V163" s="91"/>
      <c r="W163" s="180"/>
      <c r="X163" s="180"/>
      <c r="Y163" s="91"/>
      <c r="Z163" s="180"/>
      <c r="AA163" s="180"/>
      <c r="AB163" s="91"/>
    </row>
    <row r="164" spans="1:28" x14ac:dyDescent="0.25">
      <c r="B164" s="115" t="str">
        <f>B149</f>
        <v>Interest Rate (Capital Cost)</v>
      </c>
      <c r="C164" s="63" t="str">
        <f>K149</f>
        <v>No change</v>
      </c>
      <c r="D164" s="58">
        <f>D149</f>
        <v>0.24</v>
      </c>
      <c r="E164" s="64">
        <f t="shared" ref="E164" si="72">D164</f>
        <v>0.24</v>
      </c>
      <c r="F164" s="64">
        <f t="shared" si="67"/>
        <v>0.24</v>
      </c>
      <c r="G164" s="126">
        <f t="shared" si="67"/>
        <v>0.24</v>
      </c>
      <c r="H164" s="64">
        <f t="shared" si="67"/>
        <v>0.24</v>
      </c>
      <c r="I164" s="64">
        <f t="shared" si="67"/>
        <v>0.24</v>
      </c>
      <c r="J164" s="126">
        <f t="shared" si="67"/>
        <v>0.24</v>
      </c>
      <c r="K164" s="64">
        <f t="shared" si="67"/>
        <v>0.24</v>
      </c>
      <c r="L164" s="64">
        <f t="shared" si="67"/>
        <v>0.24</v>
      </c>
      <c r="M164" s="126">
        <f t="shared" si="67"/>
        <v>0.24</v>
      </c>
      <c r="N164" s="104"/>
      <c r="O164" s="104"/>
      <c r="P164" s="198"/>
      <c r="Q164" s="104"/>
      <c r="R164" s="104"/>
      <c r="S164" s="198"/>
      <c r="T164" s="104"/>
      <c r="U164" s="104"/>
      <c r="V164" s="198"/>
      <c r="W164" s="104"/>
      <c r="X164" s="104"/>
      <c r="Y164" s="198"/>
      <c r="Z164" s="104"/>
      <c r="AA164" s="104"/>
      <c r="AB164" s="198"/>
    </row>
    <row r="165" spans="1:28" x14ac:dyDescent="0.25">
      <c r="G165" s="127"/>
      <c r="J165" s="127"/>
      <c r="M165" s="127"/>
      <c r="P165" s="127"/>
      <c r="S165" s="127"/>
      <c r="V165" s="127"/>
      <c r="Y165" s="127"/>
      <c r="AB165" s="127"/>
    </row>
    <row r="166" spans="1:28" x14ac:dyDescent="0.25">
      <c r="G166" s="127"/>
    </row>
    <row r="167" spans="1:28" x14ac:dyDescent="0.25">
      <c r="A167" s="63">
        <v>8</v>
      </c>
      <c r="B167" s="44" t="s">
        <v>374</v>
      </c>
      <c r="G167" s="127"/>
    </row>
    <row r="170" spans="1:28" x14ac:dyDescent="0.25">
      <c r="B170" s="17" t="s">
        <v>3</v>
      </c>
      <c r="C170" s="13" t="s">
        <v>387</v>
      </c>
      <c r="D170" s="20" t="s">
        <v>5</v>
      </c>
      <c r="E170" s="484" t="s">
        <v>321</v>
      </c>
      <c r="F170" s="484"/>
      <c r="G170" s="484"/>
      <c r="H170" s="484"/>
    </row>
    <row r="171" spans="1:28" ht="18.600000000000001" customHeight="1" x14ac:dyDescent="0.25">
      <c r="B171" s="508" t="s">
        <v>377</v>
      </c>
      <c r="C171" s="509"/>
      <c r="D171" s="510"/>
      <c r="E171" s="515" t="s">
        <v>375</v>
      </c>
      <c r="F171" s="516"/>
      <c r="G171" s="516"/>
      <c r="H171" s="517"/>
    </row>
    <row r="172" spans="1:28" ht="18.600000000000001" customHeight="1" x14ac:dyDescent="0.25">
      <c r="B172" s="420" t="s">
        <v>382</v>
      </c>
      <c r="C172" s="419">
        <f>1-D143</f>
        <v>0.83</v>
      </c>
      <c r="D172" s="20" t="s">
        <v>376</v>
      </c>
      <c r="E172" s="518"/>
      <c r="F172" s="519"/>
      <c r="G172" s="519"/>
      <c r="H172" s="520"/>
    </row>
    <row r="173" spans="1:28" ht="18.600000000000001" customHeight="1" x14ac:dyDescent="0.25">
      <c r="B173" s="420" t="s">
        <v>383</v>
      </c>
      <c r="C173" s="419">
        <f>1-D144</f>
        <v>0.75</v>
      </c>
      <c r="D173" s="20" t="s">
        <v>376</v>
      </c>
      <c r="E173" s="521"/>
      <c r="F173" s="522"/>
      <c r="G173" s="522"/>
      <c r="H173" s="523"/>
    </row>
    <row r="174" spans="1:28" ht="14.45" customHeight="1" x14ac:dyDescent="0.25">
      <c r="B174" s="47" t="s">
        <v>329</v>
      </c>
      <c r="C174" s="68">
        <v>0</v>
      </c>
      <c r="D174" s="5" t="s">
        <v>323</v>
      </c>
      <c r="E174" s="472" t="s">
        <v>328</v>
      </c>
      <c r="F174" s="472"/>
      <c r="G174" s="472"/>
      <c r="H174" s="472"/>
    </row>
    <row r="176" spans="1:28" x14ac:dyDescent="0.25">
      <c r="B176" s="17" t="s">
        <v>10</v>
      </c>
      <c r="C176" s="13" t="s">
        <v>299</v>
      </c>
      <c r="D176" s="21" t="s">
        <v>5</v>
      </c>
      <c r="E176" s="484" t="s">
        <v>6</v>
      </c>
      <c r="F176" s="484"/>
      <c r="G176" s="484"/>
      <c r="H176" s="484"/>
    </row>
    <row r="177" spans="2:8" ht="22.15" customHeight="1" x14ac:dyDescent="0.25">
      <c r="B177" s="511" t="s">
        <v>325</v>
      </c>
      <c r="C177" s="512"/>
      <c r="D177" s="513"/>
      <c r="E177" s="475" t="s">
        <v>389</v>
      </c>
      <c r="F177" s="475"/>
      <c r="G177" s="475"/>
      <c r="H177" s="475"/>
    </row>
    <row r="178" spans="2:8" x14ac:dyDescent="0.25">
      <c r="B178" s="109" t="s">
        <v>12</v>
      </c>
      <c r="C178" s="112">
        <v>42</v>
      </c>
      <c r="D178" s="28" t="s">
        <v>100</v>
      </c>
      <c r="E178" s="475"/>
      <c r="F178" s="475"/>
      <c r="G178" s="475"/>
      <c r="H178" s="475"/>
    </row>
    <row r="179" spans="2:8" x14ac:dyDescent="0.25">
      <c r="B179" s="109" t="s">
        <v>13</v>
      </c>
      <c r="C179" s="112">
        <v>3.5</v>
      </c>
      <c r="D179" s="28" t="s">
        <v>36</v>
      </c>
      <c r="E179" s="475"/>
      <c r="F179" s="475"/>
      <c r="G179" s="475"/>
      <c r="H179" s="475"/>
    </row>
    <row r="180" spans="2:8" x14ac:dyDescent="0.25">
      <c r="B180" s="109" t="s">
        <v>132</v>
      </c>
      <c r="C180" s="102">
        <v>0.01</v>
      </c>
      <c r="D180" s="28" t="s">
        <v>16</v>
      </c>
      <c r="E180" s="475"/>
      <c r="F180" s="475"/>
      <c r="G180" s="475"/>
      <c r="H180" s="475"/>
    </row>
  </sheetData>
  <mergeCells count="32">
    <mergeCell ref="Q151:X152"/>
    <mergeCell ref="P151:P152"/>
    <mergeCell ref="K137:N137"/>
    <mergeCell ref="P137:S137"/>
    <mergeCell ref="U137:X137"/>
    <mergeCell ref="K138:N138"/>
    <mergeCell ref="P138:S138"/>
    <mergeCell ref="U138:X138"/>
    <mergeCell ref="B15:H15"/>
    <mergeCell ref="B16:J16"/>
    <mergeCell ref="C76:F76"/>
    <mergeCell ref="C90:F90"/>
    <mergeCell ref="C102:F102"/>
    <mergeCell ref="E114:H114"/>
    <mergeCell ref="E115:H115"/>
    <mergeCell ref="E116:H116"/>
    <mergeCell ref="E117:H117"/>
    <mergeCell ref="E118:H118"/>
    <mergeCell ref="E119:H119"/>
    <mergeCell ref="E121:H121"/>
    <mergeCell ref="E122:H122"/>
    <mergeCell ref="E123:H123"/>
    <mergeCell ref="E124:H124"/>
    <mergeCell ref="B171:D171"/>
    <mergeCell ref="E177:H180"/>
    <mergeCell ref="B177:D177"/>
    <mergeCell ref="F143:I144"/>
    <mergeCell ref="E125:H125"/>
    <mergeCell ref="E170:H170"/>
    <mergeCell ref="E174:H174"/>
    <mergeCell ref="E176:H176"/>
    <mergeCell ref="E171:H173"/>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K48"/>
  <sheetViews>
    <sheetView zoomScale="70" zoomScaleNormal="70" workbookViewId="0">
      <selection activeCell="G36" sqref="G36"/>
    </sheetView>
  </sheetViews>
  <sheetFormatPr defaultColWidth="26" defaultRowHeight="15" x14ac:dyDescent="0.25"/>
  <cols>
    <col min="1" max="1" width="53.7109375" style="309" customWidth="1"/>
    <col min="2" max="2" width="49.7109375" style="336" customWidth="1"/>
    <col min="3" max="3" width="19.28515625" style="234" customWidth="1"/>
    <col min="4" max="4" width="12.7109375" style="234" customWidth="1"/>
    <col min="5" max="5" width="13.7109375" style="234" customWidth="1"/>
    <col min="6" max="6" width="15.85546875" style="234" customWidth="1"/>
    <col min="7" max="7" width="12.28515625" style="276" customWidth="1"/>
    <col min="8" max="8" width="24.140625" style="234" customWidth="1"/>
    <col min="9" max="9" width="49" style="234" customWidth="1"/>
    <col min="10" max="10" width="45.140625" style="234" customWidth="1"/>
    <col min="11" max="16384" width="26" style="234"/>
  </cols>
  <sheetData>
    <row r="1" spans="1:11" ht="15.75" thickBot="1" x14ac:dyDescent="0.3">
      <c r="A1" s="363"/>
      <c r="B1" s="8"/>
      <c r="C1" s="364"/>
      <c r="D1" s="364"/>
      <c r="E1" s="364"/>
      <c r="F1" s="364"/>
      <c r="G1" s="365"/>
      <c r="H1" s="364"/>
      <c r="I1" s="364"/>
      <c r="J1" s="364"/>
      <c r="K1" s="268"/>
    </row>
    <row r="2" spans="1:11" ht="30.6" customHeight="1" x14ac:dyDescent="0.25">
      <c r="A2" s="227" t="s">
        <v>249</v>
      </c>
      <c r="B2" s="228" t="s">
        <v>250</v>
      </c>
      <c r="C2" s="229" t="s">
        <v>251</v>
      </c>
      <c r="D2" s="230" t="s">
        <v>252</v>
      </c>
      <c r="E2" s="229" t="s">
        <v>253</v>
      </c>
      <c r="F2" s="230" t="s">
        <v>254</v>
      </c>
      <c r="G2" s="231" t="s">
        <v>255</v>
      </c>
      <c r="H2" s="230" t="s">
        <v>256</v>
      </c>
      <c r="I2" s="230" t="s">
        <v>257</v>
      </c>
      <c r="J2" s="232" t="s">
        <v>258</v>
      </c>
      <c r="K2" s="233"/>
    </row>
    <row r="3" spans="1:11" ht="19.350000000000001" customHeight="1" x14ac:dyDescent="0.25">
      <c r="A3" s="505" t="s">
        <v>259</v>
      </c>
      <c r="B3" s="506"/>
      <c r="C3" s="506"/>
      <c r="D3" s="506"/>
      <c r="E3" s="506"/>
      <c r="F3" s="506"/>
      <c r="G3" s="506"/>
      <c r="H3" s="506"/>
      <c r="I3" s="506"/>
      <c r="J3" s="507"/>
      <c r="K3" s="236"/>
    </row>
    <row r="4" spans="1:11" s="244" customFormat="1" ht="19.350000000000001" customHeight="1" x14ac:dyDescent="0.25">
      <c r="A4" s="237" t="s">
        <v>260</v>
      </c>
      <c r="B4" s="238"/>
      <c r="C4" s="239"/>
      <c r="D4" s="239"/>
      <c r="E4" s="239"/>
      <c r="F4" s="239"/>
      <c r="G4" s="239"/>
      <c r="H4" s="240"/>
      <c r="I4" s="241"/>
      <c r="J4" s="242"/>
      <c r="K4" s="243"/>
    </row>
    <row r="5" spans="1:11" ht="19.350000000000001" customHeight="1" x14ac:dyDescent="0.25">
      <c r="A5" s="245" t="s">
        <v>371</v>
      </c>
      <c r="B5" s="411">
        <v>31052000</v>
      </c>
      <c r="C5" s="246">
        <v>0</v>
      </c>
      <c r="D5" s="246">
        <v>0</v>
      </c>
      <c r="E5" s="246">
        <v>0</v>
      </c>
      <c r="F5" s="246">
        <v>0.05</v>
      </c>
      <c r="G5" s="246">
        <v>0</v>
      </c>
      <c r="H5" s="247">
        <v>0.05</v>
      </c>
      <c r="I5" s="248" t="s">
        <v>261</v>
      </c>
      <c r="J5" s="249" t="s">
        <v>262</v>
      </c>
      <c r="K5" s="236"/>
    </row>
    <row r="6" spans="1:11" ht="19.350000000000001" customHeight="1" x14ac:dyDescent="0.25">
      <c r="A6" s="245" t="s">
        <v>264</v>
      </c>
      <c r="B6" s="251" t="s">
        <v>265</v>
      </c>
      <c r="C6" s="366" t="s">
        <v>265</v>
      </c>
      <c r="D6" s="366" t="s">
        <v>265</v>
      </c>
      <c r="E6" s="366" t="s">
        <v>265</v>
      </c>
      <c r="F6" s="366" t="s">
        <v>265</v>
      </c>
      <c r="G6" s="366" t="s">
        <v>265</v>
      </c>
      <c r="H6" s="366" t="s">
        <v>265</v>
      </c>
      <c r="I6" s="248"/>
      <c r="J6" s="249" t="s">
        <v>266</v>
      </c>
      <c r="K6" s="236"/>
    </row>
    <row r="7" spans="1:11" ht="19.350000000000001" customHeight="1" x14ac:dyDescent="0.25">
      <c r="A7" s="253" t="s">
        <v>269</v>
      </c>
      <c r="B7" s="235" t="s">
        <v>250</v>
      </c>
      <c r="C7" s="254" t="s">
        <v>251</v>
      </c>
      <c r="D7" s="255" t="s">
        <v>252</v>
      </c>
      <c r="E7" s="254" t="s">
        <v>253</v>
      </c>
      <c r="F7" s="254" t="s">
        <v>270</v>
      </c>
      <c r="G7" s="256" t="s">
        <v>255</v>
      </c>
      <c r="H7" s="255" t="s">
        <v>271</v>
      </c>
      <c r="I7" s="255" t="s">
        <v>257</v>
      </c>
      <c r="J7" s="257" t="s">
        <v>257</v>
      </c>
      <c r="K7" s="236"/>
    </row>
    <row r="8" spans="1:11" ht="19.350000000000001" customHeight="1" thickBot="1" x14ac:dyDescent="0.3">
      <c r="A8" s="245" t="str">
        <f>Assumption_Vegatables!B116</f>
        <v>Price of vegetable</v>
      </c>
      <c r="B8" s="258" t="s">
        <v>314</v>
      </c>
      <c r="C8" s="246"/>
      <c r="D8" s="246"/>
      <c r="E8" s="246"/>
      <c r="F8" s="246"/>
      <c r="G8" s="246"/>
      <c r="H8" s="247"/>
      <c r="I8" s="248"/>
      <c r="J8" s="252" t="s">
        <v>268</v>
      </c>
      <c r="K8" s="236"/>
    </row>
    <row r="9" spans="1:11" ht="19.350000000000001" customHeight="1" x14ac:dyDescent="0.25">
      <c r="A9" s="259" t="s">
        <v>272</v>
      </c>
      <c r="B9" s="260"/>
      <c r="C9" s="261"/>
      <c r="D9" s="262"/>
      <c r="E9" s="263"/>
      <c r="F9" s="263"/>
      <c r="G9" s="263"/>
      <c r="H9" s="263"/>
      <c r="I9" s="263"/>
      <c r="J9" s="264"/>
      <c r="K9" s="236"/>
    </row>
    <row r="10" spans="1:11" ht="19.350000000000001" customHeight="1" x14ac:dyDescent="0.25">
      <c r="A10" s="265" t="s">
        <v>273</v>
      </c>
      <c r="B10" s="266">
        <v>0.15</v>
      </c>
      <c r="C10" s="267" t="s">
        <v>274</v>
      </c>
      <c r="D10" s="268"/>
      <c r="E10" s="263"/>
      <c r="F10" s="269"/>
      <c r="G10" s="270"/>
      <c r="H10" s="271"/>
      <c r="I10" s="271"/>
      <c r="J10" s="272"/>
      <c r="K10" s="236"/>
    </row>
    <row r="11" spans="1:11" ht="19.350000000000001" customHeight="1" x14ac:dyDescent="0.25">
      <c r="A11" s="265" t="s">
        <v>275</v>
      </c>
      <c r="B11" s="266">
        <v>0.09</v>
      </c>
      <c r="C11" s="273" t="s">
        <v>276</v>
      </c>
      <c r="D11" s="236"/>
      <c r="E11" s="274"/>
      <c r="F11" s="275"/>
      <c r="J11" s="277"/>
      <c r="K11" s="236"/>
    </row>
    <row r="12" spans="1:11" ht="19.350000000000001" customHeight="1" x14ac:dyDescent="0.25">
      <c r="A12" s="265" t="s">
        <v>277</v>
      </c>
      <c r="B12" s="266">
        <v>0.06</v>
      </c>
      <c r="C12" s="273" t="s">
        <v>276</v>
      </c>
      <c r="D12" s="236"/>
      <c r="E12" s="274"/>
      <c r="F12" s="278"/>
      <c r="J12" s="277"/>
      <c r="K12" s="236"/>
    </row>
    <row r="13" spans="1:11" ht="19.350000000000001" customHeight="1" x14ac:dyDescent="0.25">
      <c r="A13" s="265" t="s">
        <v>278</v>
      </c>
      <c r="B13" s="266">
        <v>0.01</v>
      </c>
      <c r="C13" s="273" t="s">
        <v>276</v>
      </c>
      <c r="D13" s="236"/>
      <c r="E13" s="279"/>
      <c r="F13" s="275"/>
      <c r="J13" s="277"/>
      <c r="K13" s="236"/>
    </row>
    <row r="14" spans="1:11" ht="19.350000000000001" customHeight="1" x14ac:dyDescent="0.25">
      <c r="A14" s="265" t="s">
        <v>279</v>
      </c>
      <c r="B14" s="280">
        <v>0.01</v>
      </c>
      <c r="C14" s="273" t="s">
        <v>276</v>
      </c>
      <c r="D14" s="236"/>
      <c r="E14" s="279"/>
      <c r="F14" s="275"/>
      <c r="J14" s="277"/>
      <c r="K14" s="236"/>
    </row>
    <row r="15" spans="1:11" ht="19.350000000000001" customHeight="1" x14ac:dyDescent="0.25">
      <c r="A15" s="265" t="s">
        <v>280</v>
      </c>
      <c r="B15" s="266">
        <v>2.81E-2</v>
      </c>
      <c r="C15" s="281" t="s">
        <v>281</v>
      </c>
      <c r="D15" s="236"/>
      <c r="E15" s="279"/>
      <c r="F15" s="275"/>
      <c r="J15" s="277"/>
      <c r="K15" s="236"/>
    </row>
    <row r="16" spans="1:11" ht="19.350000000000001" customHeight="1" thickBot="1" x14ac:dyDescent="0.3">
      <c r="A16" s="282" t="s">
        <v>282</v>
      </c>
      <c r="B16" s="283">
        <v>0</v>
      </c>
      <c r="C16" s="284" t="s">
        <v>276</v>
      </c>
      <c r="D16" s="236"/>
      <c r="J16" s="277"/>
      <c r="K16" s="236"/>
    </row>
    <row r="17" spans="1:11" ht="19.350000000000001" customHeight="1" x14ac:dyDescent="0.25">
      <c r="A17" s="285" t="s">
        <v>283</v>
      </c>
      <c r="B17" s="286"/>
      <c r="C17" s="287"/>
      <c r="D17" s="288"/>
      <c r="E17" s="289"/>
      <c r="F17" s="289"/>
      <c r="G17" s="290"/>
      <c r="H17" s="291"/>
      <c r="I17" s="236"/>
      <c r="J17" s="277"/>
      <c r="K17" s="236"/>
    </row>
    <row r="18" spans="1:11" ht="19.350000000000001" customHeight="1" x14ac:dyDescent="0.25">
      <c r="A18" s="292" t="s">
        <v>284</v>
      </c>
      <c r="B18" s="293"/>
      <c r="C18" s="294"/>
      <c r="D18" s="295"/>
      <c r="H18" s="277"/>
      <c r="I18" s="236"/>
      <c r="J18" s="277"/>
      <c r="K18" s="236"/>
    </row>
    <row r="19" spans="1:11" ht="19.350000000000001" customHeight="1" x14ac:dyDescent="0.25">
      <c r="A19" s="292" t="s">
        <v>285</v>
      </c>
      <c r="B19" s="293"/>
      <c r="C19" s="294"/>
      <c r="D19" s="295"/>
      <c r="H19" s="277"/>
      <c r="I19" s="236"/>
      <c r="J19" s="277"/>
      <c r="K19" s="236"/>
    </row>
    <row r="20" spans="1:11" ht="19.350000000000001" customHeight="1" x14ac:dyDescent="0.25">
      <c r="A20" s="292" t="s">
        <v>286</v>
      </c>
      <c r="B20" s="293"/>
      <c r="C20" s="294"/>
      <c r="D20" s="295"/>
      <c r="H20" s="277"/>
      <c r="I20" s="236"/>
      <c r="J20" s="277"/>
      <c r="K20" s="236"/>
    </row>
    <row r="21" spans="1:11" ht="19.350000000000001" customHeight="1" x14ac:dyDescent="0.25">
      <c r="A21" s="292" t="s">
        <v>287</v>
      </c>
      <c r="B21" s="293"/>
      <c r="C21" s="294"/>
      <c r="D21" s="295"/>
      <c r="H21" s="277"/>
      <c r="I21" s="236"/>
      <c r="J21" s="277"/>
      <c r="K21" s="236"/>
    </row>
    <row r="22" spans="1:11" ht="19.350000000000001" customHeight="1" thickBot="1" x14ac:dyDescent="0.3">
      <c r="A22" s="296"/>
      <c r="B22" s="297"/>
      <c r="C22" s="298"/>
      <c r="D22" s="299"/>
      <c r="E22" s="300"/>
      <c r="F22" s="300"/>
      <c r="G22" s="301"/>
      <c r="H22" s="302"/>
      <c r="I22" s="236"/>
      <c r="J22" s="277"/>
      <c r="K22" s="236"/>
    </row>
    <row r="23" spans="1:11" ht="19.350000000000001" customHeight="1" x14ac:dyDescent="0.25">
      <c r="A23" s="303"/>
      <c r="B23" s="304"/>
      <c r="C23" s="305"/>
      <c r="D23" s="262"/>
      <c r="E23" s="263"/>
      <c r="F23" s="263"/>
      <c r="G23" s="263"/>
      <c r="H23" s="263"/>
      <c r="I23" s="236"/>
      <c r="J23" s="277"/>
      <c r="K23" s="236"/>
    </row>
    <row r="24" spans="1:11" ht="19.350000000000001" customHeight="1" x14ac:dyDescent="0.25">
      <c r="A24" s="306" t="s">
        <v>288</v>
      </c>
      <c r="B24" s="307"/>
      <c r="C24" s="308"/>
      <c r="D24" s="236"/>
      <c r="E24" s="263"/>
      <c r="F24" s="263"/>
      <c r="G24" s="263"/>
      <c r="H24" s="263"/>
      <c r="I24" s="236"/>
      <c r="J24" s="277"/>
      <c r="K24" s="236"/>
    </row>
    <row r="25" spans="1:11" ht="19.350000000000001" customHeight="1" x14ac:dyDescent="0.25">
      <c r="B25" s="244">
        <v>2018</v>
      </c>
      <c r="C25" s="310"/>
      <c r="D25" s="236"/>
      <c r="E25" s="263"/>
      <c r="F25" s="263"/>
      <c r="G25" s="263"/>
      <c r="H25" s="263"/>
      <c r="I25" s="236"/>
      <c r="J25" s="277"/>
      <c r="K25" s="236"/>
    </row>
    <row r="26" spans="1:11" ht="19.350000000000001" customHeight="1" x14ac:dyDescent="0.25">
      <c r="A26" s="309" t="s">
        <v>289</v>
      </c>
      <c r="B26" s="234">
        <v>29.797999999999998</v>
      </c>
      <c r="C26" s="310" t="s">
        <v>290</v>
      </c>
      <c r="D26" s="236"/>
      <c r="E26" s="263"/>
      <c r="F26" s="263"/>
      <c r="G26" s="263"/>
      <c r="H26" s="263"/>
      <c r="I26" s="236"/>
      <c r="J26" s="277"/>
      <c r="K26" s="236"/>
    </row>
    <row r="27" spans="1:11" ht="19.350000000000001" customHeight="1" x14ac:dyDescent="0.25">
      <c r="A27" s="309" t="s">
        <v>291</v>
      </c>
      <c r="B27" s="234">
        <v>67.709999999999994</v>
      </c>
      <c r="C27" s="310" t="s">
        <v>290</v>
      </c>
      <c r="D27" s="236"/>
      <c r="E27" s="263"/>
      <c r="F27" s="263"/>
      <c r="G27" s="263"/>
      <c r="H27" s="263"/>
      <c r="I27" s="236"/>
      <c r="J27" s="277"/>
      <c r="K27" s="236"/>
    </row>
    <row r="28" spans="1:11" ht="19.350000000000001" customHeight="1" x14ac:dyDescent="0.25">
      <c r="A28" s="311" t="s">
        <v>292</v>
      </c>
      <c r="B28" s="312">
        <v>2.74</v>
      </c>
      <c r="C28" s="313" t="s">
        <v>290</v>
      </c>
      <c r="D28" s="236"/>
      <c r="E28" s="263"/>
      <c r="F28" s="263"/>
      <c r="G28" s="263"/>
      <c r="H28" s="263"/>
      <c r="I28" s="236"/>
      <c r="J28" s="277"/>
      <c r="K28" s="236"/>
    </row>
    <row r="29" spans="1:11" ht="19.350000000000001" customHeight="1" x14ac:dyDescent="0.25">
      <c r="A29" s="314"/>
      <c r="B29" s="271"/>
      <c r="C29" s="264"/>
      <c r="D29" s="236"/>
      <c r="E29" s="263"/>
      <c r="F29" s="263"/>
      <c r="G29" s="263"/>
      <c r="H29" s="263"/>
      <c r="I29" s="236"/>
      <c r="J29" s="277"/>
      <c r="K29" s="236"/>
    </row>
    <row r="30" spans="1:11" ht="19.350000000000001" customHeight="1" x14ac:dyDescent="0.25">
      <c r="A30" s="315" t="s">
        <v>293</v>
      </c>
      <c r="B30" s="234"/>
      <c r="C30" s="310"/>
      <c r="D30" s="236"/>
      <c r="E30" s="263"/>
      <c r="F30" s="263"/>
      <c r="G30" s="263"/>
      <c r="H30" s="263"/>
      <c r="I30" s="236"/>
      <c r="J30" s="277"/>
      <c r="K30" s="236"/>
    </row>
    <row r="31" spans="1:11" ht="19.350000000000001" customHeight="1" thickBot="1" x14ac:dyDescent="0.3">
      <c r="A31" s="316"/>
      <c r="B31" s="317"/>
      <c r="C31" s="318"/>
      <c r="D31" s="262"/>
      <c r="E31" s="263"/>
      <c r="F31" s="263"/>
      <c r="G31" s="263"/>
      <c r="H31" s="263"/>
      <c r="I31" s="236"/>
      <c r="J31" s="277"/>
      <c r="K31" s="236"/>
    </row>
    <row r="32" spans="1:11" ht="19.350000000000001" customHeight="1" x14ac:dyDescent="0.25">
      <c r="A32" s="319"/>
      <c r="B32" s="263"/>
      <c r="C32" s="263"/>
      <c r="D32" s="263"/>
      <c r="E32" s="263"/>
      <c r="F32" s="263"/>
      <c r="G32" s="263"/>
      <c r="H32" s="263"/>
      <c r="I32" s="236"/>
      <c r="J32" s="277"/>
      <c r="K32" s="236"/>
    </row>
    <row r="33" spans="1:11" ht="19.350000000000001" customHeight="1" x14ac:dyDescent="0.25">
      <c r="A33" s="333"/>
      <c r="B33" s="371"/>
      <c r="C33" s="371"/>
      <c r="D33" s="372"/>
      <c r="E33" s="371"/>
      <c r="F33" s="371"/>
      <c r="G33" s="373"/>
      <c r="H33" s="374"/>
      <c r="I33" s="236"/>
      <c r="J33" s="277"/>
      <c r="K33" s="236"/>
    </row>
    <row r="34" spans="1:11" ht="19.350000000000001" customHeight="1" x14ac:dyDescent="0.25">
      <c r="A34" s="237" t="s">
        <v>371</v>
      </c>
      <c r="B34" s="6"/>
      <c r="C34" s="16"/>
      <c r="D34" s="16"/>
      <c r="E34" s="16"/>
      <c r="F34" s="16"/>
      <c r="G34" s="375"/>
      <c r="H34" s="16"/>
      <c r="I34" s="236"/>
      <c r="J34" s="277"/>
      <c r="K34" s="236"/>
    </row>
    <row r="35" spans="1:11" ht="19.350000000000001" customHeight="1" x14ac:dyDescent="0.25">
      <c r="A35" s="321"/>
      <c r="B35" s="322"/>
      <c r="C35" s="256" t="s">
        <v>294</v>
      </c>
      <c r="D35" s="256" t="s">
        <v>295</v>
      </c>
      <c r="E35" s="256" t="s">
        <v>296</v>
      </c>
      <c r="F35" s="256" t="s">
        <v>297</v>
      </c>
      <c r="G35" s="323" t="s">
        <v>298</v>
      </c>
      <c r="H35" s="324" t="s">
        <v>299</v>
      </c>
      <c r="I35" s="236"/>
      <c r="J35" s="277"/>
      <c r="K35" s="236"/>
    </row>
    <row r="36" spans="1:11" ht="19.350000000000001" customHeight="1" x14ac:dyDescent="0.25">
      <c r="A36" s="325"/>
      <c r="B36" s="326" t="s">
        <v>300</v>
      </c>
      <c r="C36" s="327"/>
      <c r="D36" s="328">
        <v>1</v>
      </c>
      <c r="E36" s="328"/>
      <c r="F36" s="329">
        <f>$B$15</f>
        <v>2.81E-2</v>
      </c>
      <c r="G36" s="330">
        <f>D36*F36</f>
        <v>2.81E-2</v>
      </c>
      <c r="H36" s="331">
        <f>D36+G36</f>
        <v>1.0281</v>
      </c>
      <c r="I36" s="236"/>
      <c r="J36" s="277"/>
      <c r="K36" s="236"/>
    </row>
    <row r="37" spans="1:11" ht="19.350000000000001" customHeight="1" x14ac:dyDescent="0.25">
      <c r="A37" s="325" t="s">
        <v>301</v>
      </c>
      <c r="B37" s="326" t="s">
        <v>302</v>
      </c>
      <c r="C37" s="329">
        <f>C5</f>
        <v>0</v>
      </c>
      <c r="D37" s="328">
        <f>C37*D36</f>
        <v>0</v>
      </c>
      <c r="E37" s="328"/>
      <c r="F37" s="328"/>
      <c r="G37" s="332"/>
      <c r="H37" s="331"/>
      <c r="I37" s="236"/>
      <c r="J37" s="277"/>
      <c r="K37" s="236"/>
    </row>
    <row r="38" spans="1:11" ht="19.350000000000001" customHeight="1" x14ac:dyDescent="0.25">
      <c r="A38" s="325" t="s">
        <v>301</v>
      </c>
      <c r="B38" s="326" t="s">
        <v>303</v>
      </c>
      <c r="C38" s="329">
        <f>E5</f>
        <v>0</v>
      </c>
      <c r="D38" s="328">
        <f>SUM(D36:D37)*C38</f>
        <v>0</v>
      </c>
      <c r="E38" s="328"/>
      <c r="F38" s="328"/>
      <c r="G38" s="332"/>
      <c r="H38" s="331"/>
      <c r="I38" s="236"/>
      <c r="J38" s="277"/>
      <c r="K38" s="236"/>
    </row>
    <row r="39" spans="1:11" ht="19.350000000000001" customHeight="1" x14ac:dyDescent="0.25">
      <c r="A39" s="325" t="s">
        <v>301</v>
      </c>
      <c r="B39" s="326" t="s">
        <v>304</v>
      </c>
      <c r="C39" s="329">
        <f>$B$13</f>
        <v>0.01</v>
      </c>
      <c r="D39" s="328">
        <f>D36*C39</f>
        <v>0.01</v>
      </c>
      <c r="E39" s="328">
        <f>1-$B$10</f>
        <v>0.85</v>
      </c>
      <c r="F39" s="328"/>
      <c r="G39" s="332"/>
      <c r="H39" s="331">
        <f>D39*E39</f>
        <v>8.5000000000000006E-3</v>
      </c>
      <c r="I39" s="236"/>
      <c r="J39" s="277"/>
      <c r="K39" s="236"/>
    </row>
    <row r="40" spans="1:11" ht="19.350000000000001" customHeight="1" x14ac:dyDescent="0.25">
      <c r="A40" s="325" t="s">
        <v>301</v>
      </c>
      <c r="B40" s="326" t="s">
        <v>305</v>
      </c>
      <c r="C40" s="329"/>
      <c r="D40" s="328">
        <f>SUM(D36:D39)</f>
        <v>1.01</v>
      </c>
      <c r="E40" s="328"/>
      <c r="F40" s="328"/>
      <c r="G40" s="332"/>
      <c r="H40" s="331"/>
      <c r="I40" s="236"/>
      <c r="J40" s="277"/>
      <c r="K40" s="236"/>
    </row>
    <row r="41" spans="1:11" ht="19.350000000000001" customHeight="1" x14ac:dyDescent="0.25">
      <c r="A41" s="325" t="s">
        <v>301</v>
      </c>
      <c r="B41" s="326" t="s">
        <v>306</v>
      </c>
      <c r="C41" s="329">
        <f>$B$14</f>
        <v>0.01</v>
      </c>
      <c r="D41" s="328">
        <f>D36*C41</f>
        <v>0.01</v>
      </c>
      <c r="E41" s="328">
        <f>1-$B$10</f>
        <v>0.85</v>
      </c>
      <c r="F41" s="328"/>
      <c r="G41" s="332"/>
      <c r="H41" s="331">
        <f>D41*E41</f>
        <v>8.5000000000000006E-3</v>
      </c>
      <c r="I41" s="236"/>
      <c r="J41" s="277"/>
      <c r="K41" s="236"/>
    </row>
    <row r="42" spans="1:11" ht="19.350000000000001" customHeight="1" x14ac:dyDescent="0.25">
      <c r="A42" s="325" t="s">
        <v>307</v>
      </c>
      <c r="B42" s="326" t="s">
        <v>308</v>
      </c>
      <c r="C42" s="246">
        <v>0</v>
      </c>
      <c r="D42" s="328">
        <f>C42*(SUM(D40,D41))</f>
        <v>0</v>
      </c>
      <c r="E42" s="328"/>
      <c r="F42" s="328"/>
      <c r="G42" s="332"/>
      <c r="H42" s="331"/>
      <c r="I42" s="236"/>
      <c r="J42" s="277"/>
      <c r="K42" s="236"/>
    </row>
    <row r="43" spans="1:11" ht="19.350000000000001" customHeight="1" x14ac:dyDescent="0.25">
      <c r="A43" s="325"/>
      <c r="B43" s="326" t="s">
        <v>309</v>
      </c>
      <c r="C43" s="327"/>
      <c r="D43" s="328">
        <f>SUM(D40:D41)</f>
        <v>1.02</v>
      </c>
      <c r="E43" s="328"/>
      <c r="F43" s="328"/>
      <c r="G43" s="332"/>
      <c r="H43" s="331">
        <f>SUM(H36:H42)</f>
        <v>1.0450999999999999</v>
      </c>
      <c r="I43" s="236"/>
      <c r="J43" s="277"/>
      <c r="K43" s="236"/>
    </row>
    <row r="44" spans="1:11" ht="19.350000000000001" customHeight="1" x14ac:dyDescent="0.25">
      <c r="A44" s="333"/>
      <c r="B44" s="235" t="s">
        <v>310</v>
      </c>
      <c r="C44" s="334">
        <f>H43/D43</f>
        <v>1.0246078431372547</v>
      </c>
      <c r="D44" s="262"/>
      <c r="E44" s="263"/>
      <c r="F44" s="263"/>
      <c r="G44" s="335"/>
      <c r="J44" s="277"/>
      <c r="K44" s="236"/>
    </row>
    <row r="45" spans="1:11" ht="19.350000000000001" customHeight="1" x14ac:dyDescent="0.25">
      <c r="A45" s="333"/>
      <c r="B45" s="263"/>
      <c r="C45" s="263"/>
      <c r="D45" s="262"/>
      <c r="E45" s="263"/>
      <c r="F45" s="263"/>
      <c r="G45" s="335"/>
      <c r="I45" s="236"/>
      <c r="J45" s="277"/>
      <c r="K45" s="236"/>
    </row>
    <row r="46" spans="1:11" x14ac:dyDescent="0.25">
      <c r="J46" s="277"/>
      <c r="K46" s="236"/>
    </row>
    <row r="47" spans="1:11" ht="15.75" thickBot="1" x14ac:dyDescent="0.3">
      <c r="A47" s="337"/>
      <c r="B47" s="338"/>
      <c r="C47" s="300"/>
      <c r="D47" s="300"/>
      <c r="E47" s="300"/>
      <c r="F47" s="300"/>
      <c r="G47" s="301"/>
      <c r="H47" s="300"/>
      <c r="I47" s="300"/>
      <c r="J47" s="302"/>
      <c r="K47" s="236"/>
    </row>
    <row r="48" spans="1:11" x14ac:dyDescent="0.25">
      <c r="A48" s="314"/>
      <c r="B48" s="339"/>
      <c r="C48" s="271"/>
      <c r="D48" s="271"/>
      <c r="E48" s="271"/>
      <c r="F48" s="271"/>
      <c r="G48" s="270"/>
      <c r="H48" s="271"/>
      <c r="I48" s="271"/>
      <c r="J48" s="271"/>
    </row>
  </sheetData>
  <mergeCells count="1">
    <mergeCell ref="A3:J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tint="-0.34998626667073579"/>
  </sheetPr>
  <dimension ref="A2:L77"/>
  <sheetViews>
    <sheetView showGridLines="0" topLeftCell="A55" zoomScale="85" zoomScaleNormal="85" workbookViewId="0">
      <selection activeCell="C67" sqref="C67"/>
    </sheetView>
  </sheetViews>
  <sheetFormatPr defaultColWidth="9" defaultRowHeight="15" x14ac:dyDescent="0.25"/>
  <cols>
    <col min="1" max="1" width="40.7109375" style="10" customWidth="1"/>
    <col min="2" max="2" width="12.7109375" style="26" customWidth="1"/>
    <col min="3" max="3" width="13" style="26" customWidth="1"/>
    <col min="4" max="4" width="17" style="26" customWidth="1"/>
    <col min="5" max="6" width="12.5703125" style="26" customWidth="1"/>
    <col min="7" max="7" width="11.85546875" style="26" customWidth="1"/>
    <col min="8" max="8" width="12.28515625" style="26" customWidth="1"/>
    <col min="9" max="9" width="11.7109375" style="26" customWidth="1"/>
    <col min="10" max="10" width="13" style="26" customWidth="1"/>
    <col min="11" max="11" width="12.7109375" style="26" customWidth="1"/>
    <col min="12" max="12" width="13.42578125" style="3" customWidth="1"/>
    <col min="13" max="16384" width="9" style="3"/>
  </cols>
  <sheetData>
    <row r="2" spans="1:12" ht="38.25" customHeight="1" x14ac:dyDescent="0.25">
      <c r="A2" s="11" t="s">
        <v>332</v>
      </c>
      <c r="B2" s="30"/>
      <c r="C2" s="69"/>
      <c r="D2" s="70"/>
      <c r="E2" s="30"/>
      <c r="F2" s="116" t="s">
        <v>91</v>
      </c>
      <c r="G2" s="30"/>
      <c r="H2" s="30"/>
      <c r="I2" s="30"/>
      <c r="J2" s="30"/>
      <c r="K2" s="30"/>
    </row>
    <row r="3" spans="1:12" ht="15" customHeight="1" x14ac:dyDescent="0.25">
      <c r="A3" s="22"/>
      <c r="B3" s="30"/>
      <c r="C3" s="30"/>
      <c r="D3" s="30"/>
      <c r="E3" s="30"/>
      <c r="F3" s="30"/>
      <c r="G3" s="30"/>
      <c r="H3" s="30"/>
      <c r="I3" s="30"/>
      <c r="J3" s="30"/>
      <c r="K3" s="30"/>
    </row>
    <row r="4" spans="1:12" x14ac:dyDescent="0.25">
      <c r="A4" s="10" t="s">
        <v>19</v>
      </c>
      <c r="B4" s="26">
        <v>0</v>
      </c>
      <c r="C4" s="26">
        <v>1</v>
      </c>
      <c r="D4" s="26">
        <v>2</v>
      </c>
      <c r="E4" s="26">
        <v>3</v>
      </c>
      <c r="F4" s="26">
        <v>4</v>
      </c>
      <c r="G4" s="26">
        <v>5</v>
      </c>
      <c r="H4" s="26">
        <v>6</v>
      </c>
      <c r="I4" s="26">
        <v>7</v>
      </c>
      <c r="J4" s="26">
        <v>8</v>
      </c>
      <c r="K4" s="26">
        <v>9</v>
      </c>
    </row>
    <row r="5" spans="1:12" x14ac:dyDescent="0.25">
      <c r="A5" s="23" t="s">
        <v>3</v>
      </c>
    </row>
    <row r="6" spans="1:12" x14ac:dyDescent="0.25">
      <c r="A6" s="10" t="s">
        <v>223</v>
      </c>
      <c r="B6" s="31">
        <f>Assumption_Vegatables!D11*Assumption_Vegatables!D155*Assumption_Vegatables!D156*Assumption_Vegatables!D158*(1+Assumption_Vegatables!D157)^Assumption_Vegatables!D154</f>
        <v>0</v>
      </c>
      <c r="C6" s="31">
        <f>Assumption_Vegatables!E11*Assumption_Vegatables!E155*Assumption_Vegatables!E156*Assumption_Vegatables!E158*(1+Assumption_Vegatables!E157)^Assumption_Vegatables!E154</f>
        <v>103020.00000000001</v>
      </c>
      <c r="D6" s="31">
        <f>Assumption_Vegatables!F11*Assumption_Vegatables!F155*Assumption_Vegatables!F156*Assumption_Vegatables!F159*(1+Assumption_Vegatables!F157)^Assumption_Vegatables!F154</f>
        <v>408040</v>
      </c>
      <c r="E6" s="31">
        <f>Assumption_Vegatables!G11*Assumption_Vegatables!G155*Assumption_Vegatables!G156*Assumption_Vegatables!G159*(1+Assumption_Vegatables!G157)^Assumption_Vegatables!G154</f>
        <v>644582.06312499999</v>
      </c>
      <c r="F6" s="31">
        <f>Assumption_Vegatables!H11*Assumption_Vegatables!H155*Assumption_Vegatables!H156*Assumption_Vegatables!H159*(1+Assumption_Vegatables!H157)^Assumption_Vegatables!H154</f>
        <v>936543.60900000005</v>
      </c>
      <c r="G6" s="31">
        <f>Assumption_Vegatables!I11*Assumption_Vegatables!I155*Assumption_Vegatables!I156*Assumption_Vegatables!I159*(1+Assumption_Vegatables!I157)^Assumption_Vegatables!I154</f>
        <v>893358.54258499993</v>
      </c>
      <c r="H6" s="31">
        <f>Assumption_Vegatables!J11*Assumption_Vegatables!J155*Assumption_Vegatables!J156*Assumption_Vegatables!J159*(1+Assumption_Vegatables!J157)^Assumption_Vegatables!J154</f>
        <v>613027.88697207754</v>
      </c>
      <c r="I6" s="31">
        <f>Assumption_Vegatables!K11*Assumption_Vegatables!K155*Assumption_Vegatables!K156*Assumption_Vegatables!K159*(1+Assumption_Vegatables!K157)^Assumption_Vegatables!K154</f>
        <v>375247.37323745346</v>
      </c>
      <c r="J6" s="31">
        <f>Assumption_Vegatables!L11*Assumption_Vegatables!L155*Assumption_Vegatables!L156*Assumption_Vegatables!L159*(1+Assumption_Vegatables!L157)^Assumption_Vegatables!L154</f>
        <v>108285.67056280802</v>
      </c>
      <c r="K6" s="31">
        <f>Assumption_Vegatables!M11*Assumption_Vegatables!M155*Assumption_Vegatables!M156*Assumption_Vegatables!M159*(1+Assumption_Vegatables!M157)^Assumption_Vegatables!M154</f>
        <v>105267.20749586976</v>
      </c>
    </row>
    <row r="7" spans="1:12" s="12" customFormat="1" x14ac:dyDescent="0.25">
      <c r="A7" s="23" t="s">
        <v>53</v>
      </c>
      <c r="B7" s="38">
        <f>B6</f>
        <v>0</v>
      </c>
      <c r="C7" s="38">
        <f t="shared" ref="C7:K7" si="0">C6</f>
        <v>103020.00000000001</v>
      </c>
      <c r="D7" s="38">
        <f t="shared" si="0"/>
        <v>408040</v>
      </c>
      <c r="E7" s="38">
        <f t="shared" si="0"/>
        <v>644582.06312499999</v>
      </c>
      <c r="F7" s="38">
        <f t="shared" si="0"/>
        <v>936543.60900000005</v>
      </c>
      <c r="G7" s="38">
        <f t="shared" si="0"/>
        <v>893358.54258499993</v>
      </c>
      <c r="H7" s="38">
        <f t="shared" si="0"/>
        <v>613027.88697207754</v>
      </c>
      <c r="I7" s="38">
        <f t="shared" si="0"/>
        <v>375247.37323745346</v>
      </c>
      <c r="J7" s="38">
        <f t="shared" si="0"/>
        <v>108285.67056280802</v>
      </c>
      <c r="K7" s="38">
        <f t="shared" si="0"/>
        <v>105267.20749586976</v>
      </c>
    </row>
    <row r="8" spans="1:12" x14ac:dyDescent="0.25">
      <c r="A8" s="23"/>
      <c r="B8" s="41"/>
      <c r="C8" s="41"/>
      <c r="D8" s="41"/>
      <c r="E8" s="41"/>
      <c r="F8" s="41"/>
      <c r="G8" s="41"/>
      <c r="H8" s="41"/>
      <c r="I8" s="41"/>
      <c r="J8" s="41"/>
      <c r="K8" s="41"/>
    </row>
    <row r="9" spans="1:12" x14ac:dyDescent="0.25">
      <c r="A9" s="23" t="s">
        <v>20</v>
      </c>
    </row>
    <row r="10" spans="1:12" ht="30" x14ac:dyDescent="0.25">
      <c r="A10" s="9" t="str">
        <f>Assumption_Vegatables!B162</f>
        <v>Land Preparation for cultivation (fenching.etc)</v>
      </c>
      <c r="B10" s="33">
        <f>Assumption_Vegatables!D162*Assumption_Vegatables!D11</f>
        <v>0</v>
      </c>
      <c r="C10" s="33">
        <f>Assumption_Vegatables!E162*Assumption_Vegatables!E11</f>
        <v>69000</v>
      </c>
      <c r="D10" s="33">
        <f>Assumption_Vegatables!F162*Assumption_Vegatables!F11</f>
        <v>184000</v>
      </c>
      <c r="E10" s="33">
        <f>Assumption_Vegatables!G162*Assumption_Vegatables!G11</f>
        <v>299000</v>
      </c>
      <c r="F10" s="33">
        <f>Assumption_Vegatables!H162*Assumption_Vegatables!H11</f>
        <v>414000</v>
      </c>
      <c r="G10" s="33">
        <f>Assumption_Vegatables!I162*Assumption_Vegatables!I11</f>
        <v>391000</v>
      </c>
      <c r="H10" s="33">
        <f>Assumption_Vegatables!J162*Assumption_Vegatables!J11</f>
        <v>276000</v>
      </c>
      <c r="I10" s="33">
        <f>Assumption_Vegatables!K162*Assumption_Vegatables!K11</f>
        <v>161000</v>
      </c>
      <c r="J10" s="33">
        <f>Assumption_Vegatables!L162*Assumption_Vegatables!L11</f>
        <v>46000</v>
      </c>
      <c r="K10" s="33">
        <f>Assumption_Vegatables!M162*Assumption_Vegatables!M11</f>
        <v>46000</v>
      </c>
    </row>
    <row r="11" spans="1:12" x14ac:dyDescent="0.25">
      <c r="A11" s="9" t="str">
        <f>Assumption_Vegatables!B163</f>
        <v>Organic Fartilizer/Seeds/Saplings etc.</v>
      </c>
      <c r="B11" s="33">
        <f>Assumption_Vegatables!D11*Assumption_Vegatables!D163</f>
        <v>0</v>
      </c>
      <c r="C11" s="33">
        <f>Assumption_Vegatables!E11*Assumption_Vegatables!E163</f>
        <v>82993.235294117636</v>
      </c>
      <c r="D11" s="33">
        <f>Assumption_Vegatables!F11*Assumption_Vegatables!F163</f>
        <v>221315.29411764702</v>
      </c>
      <c r="E11" s="33">
        <f>Assumption_Vegatables!G11*Assumption_Vegatables!G163</f>
        <v>366830.1</v>
      </c>
      <c r="F11" s="33">
        <f>Assumption_Vegatables!H11*Assumption_Vegatables!H163</f>
        <v>497959.41176470579</v>
      </c>
      <c r="G11" s="33">
        <f>Assumption_Vegatables!I11*Assumption_Vegatables!I163</f>
        <v>470294.99999999994</v>
      </c>
      <c r="H11" s="33">
        <f>Assumption_Vegatables!J11*Assumption_Vegatables!J163</f>
        <v>338612.39999999997</v>
      </c>
      <c r="I11" s="33">
        <f>Assumption_Vegatables!K11*Assumption_Vegatables!K163</f>
        <v>193650.88235294115</v>
      </c>
      <c r="J11" s="33">
        <f>Assumption_Vegatables!L11*Assumption_Vegatables!L163</f>
        <v>55328.823529411755</v>
      </c>
      <c r="K11" s="33">
        <f>Assumption_Vegatables!M11*Assumption_Vegatables!M163</f>
        <v>56435.399999999994</v>
      </c>
    </row>
    <row r="12" spans="1:12" s="50" customFormat="1" x14ac:dyDescent="0.25">
      <c r="A12" s="52" t="s">
        <v>131</v>
      </c>
      <c r="B12" s="49">
        <f>Assumption_Vegatables!D40</f>
        <v>0</v>
      </c>
      <c r="C12" s="49">
        <f>Assumption_Vegatables!E40</f>
        <v>186000</v>
      </c>
      <c r="D12" s="49">
        <f>Assumption_Vegatables!F40</f>
        <v>310000</v>
      </c>
      <c r="E12" s="49">
        <f>Assumption_Vegatables!G40</f>
        <v>310000</v>
      </c>
      <c r="F12" s="49">
        <f>Assumption_Vegatables!H40</f>
        <v>310000</v>
      </c>
      <c r="G12" s="49">
        <f>Assumption_Vegatables!I40</f>
        <v>124000</v>
      </c>
      <c r="H12" s="49">
        <f>Assumption_Vegatables!J40</f>
        <v>0</v>
      </c>
      <c r="I12" s="49">
        <f>Assumption_Vegatables!K40</f>
        <v>0</v>
      </c>
      <c r="J12" s="49">
        <f>Assumption_Vegatables!L40</f>
        <v>0</v>
      </c>
      <c r="K12" s="49">
        <f>Assumption_Vegatables!M40</f>
        <v>0</v>
      </c>
    </row>
    <row r="13" spans="1:12" x14ac:dyDescent="0.25">
      <c r="A13" s="117" t="s">
        <v>54</v>
      </c>
      <c r="B13" s="37">
        <f t="shared" ref="B13:K13" si="1">SUM(B10:B12)</f>
        <v>0</v>
      </c>
      <c r="C13" s="37">
        <f t="shared" si="1"/>
        <v>337993.23529411765</v>
      </c>
      <c r="D13" s="37">
        <f t="shared" si="1"/>
        <v>715315.29411764699</v>
      </c>
      <c r="E13" s="37">
        <f t="shared" si="1"/>
        <v>975830.1</v>
      </c>
      <c r="F13" s="37">
        <f t="shared" si="1"/>
        <v>1221959.4117647058</v>
      </c>
      <c r="G13" s="37">
        <f t="shared" si="1"/>
        <v>985295</v>
      </c>
      <c r="H13" s="37">
        <f t="shared" si="1"/>
        <v>614612.39999999991</v>
      </c>
      <c r="I13" s="37">
        <f t="shared" si="1"/>
        <v>354650.88235294115</v>
      </c>
      <c r="J13" s="37">
        <f t="shared" si="1"/>
        <v>101328.82352941175</v>
      </c>
      <c r="K13" s="37">
        <f t="shared" si="1"/>
        <v>102435.4</v>
      </c>
    </row>
    <row r="14" spans="1:12" x14ac:dyDescent="0.25">
      <c r="B14" s="32"/>
      <c r="C14" s="32"/>
      <c r="D14" s="32"/>
      <c r="E14" s="32"/>
      <c r="F14" s="32"/>
      <c r="G14" s="32"/>
      <c r="H14" s="32"/>
      <c r="I14" s="32"/>
      <c r="J14" s="32"/>
      <c r="K14" s="32"/>
    </row>
    <row r="15" spans="1:12" x14ac:dyDescent="0.25">
      <c r="A15" s="23" t="s">
        <v>55</v>
      </c>
      <c r="B15" s="34">
        <f t="shared" ref="B15:K15" si="2">B7-B13</f>
        <v>0</v>
      </c>
      <c r="C15" s="34">
        <f t="shared" si="2"/>
        <v>-234973.23529411765</v>
      </c>
      <c r="D15" s="34">
        <f t="shared" si="2"/>
        <v>-307275.29411764699</v>
      </c>
      <c r="E15" s="34">
        <f t="shared" si="2"/>
        <v>-331248.03687499999</v>
      </c>
      <c r="F15" s="34">
        <f t="shared" si="2"/>
        <v>-285415.80276470573</v>
      </c>
      <c r="G15" s="34">
        <f t="shared" si="2"/>
        <v>-91936.45741500007</v>
      </c>
      <c r="H15" s="34">
        <f t="shared" si="2"/>
        <v>-1584.5130279223667</v>
      </c>
      <c r="I15" s="34">
        <f t="shared" si="2"/>
        <v>20596.490884512314</v>
      </c>
      <c r="J15" s="34">
        <f t="shared" si="2"/>
        <v>6956.8470333962759</v>
      </c>
      <c r="K15" s="34">
        <f t="shared" si="2"/>
        <v>2831.8074958697689</v>
      </c>
    </row>
    <row r="16" spans="1:12" x14ac:dyDescent="0.25">
      <c r="A16" s="23"/>
      <c r="B16" s="344"/>
      <c r="C16" s="344"/>
      <c r="D16" s="344"/>
      <c r="E16" s="344"/>
      <c r="F16" s="344"/>
      <c r="G16" s="344"/>
      <c r="H16" s="344"/>
      <c r="I16" s="344"/>
      <c r="J16" s="344"/>
      <c r="K16" s="344"/>
      <c r="L16" s="12"/>
    </row>
    <row r="17" spans="1:12" x14ac:dyDescent="0.25">
      <c r="A17" s="10" t="s">
        <v>319</v>
      </c>
      <c r="B17" s="346">
        <f>B7/(1+Assumption_Vegatables!$C73)^BaU_Vegetables!B4</f>
        <v>0</v>
      </c>
      <c r="C17" s="346">
        <f>C7/(1+Assumption_Vegatables!$C73)^BaU_Vegetables!C4</f>
        <v>97188.679245283027</v>
      </c>
      <c r="D17" s="346">
        <f>D7/(1+Assumption_Vegatables!$C73)^BaU_Vegetables!D4</f>
        <v>363154.14738341043</v>
      </c>
      <c r="E17" s="346">
        <f>E7/(1+Assumption_Vegatables!$C73)^BaU_Vegetables!E4</f>
        <v>541203.52969649422</v>
      </c>
      <c r="F17" s="346">
        <f>F7/(1+Assumption_Vegatables!$C73)^BaU_Vegetables!F4</f>
        <v>741830.2580349663</v>
      </c>
      <c r="G17" s="346">
        <f>G7/(1+Assumption_Vegatables!$C73)^BaU_Vegetables!G4</f>
        <v>667569.47224635049</v>
      </c>
      <c r="H17" s="346">
        <f>H7/(1+Assumption_Vegatables!$C73)^BaU_Vegetables!H4</f>
        <v>432160.47050442855</v>
      </c>
      <c r="I17" s="346">
        <f>I7/(1+Assumption_Vegatables!$C73)^BaU_Vegetables!I4</f>
        <v>249560.93493966421</v>
      </c>
      <c r="J17" s="346">
        <f>J7/(1+Assumption_Vegatables!$C73)^BaU_Vegetables!J4</f>
        <v>67939.769350151197</v>
      </c>
      <c r="K17" s="346">
        <f>K7/(1+Assumption_Vegatables!$C73)^BaU_Vegetables!K4</f>
        <v>62307.498376901647</v>
      </c>
      <c r="L17" s="343">
        <f>SUM(B17:K17)</f>
        <v>3222914.7597776502</v>
      </c>
    </row>
    <row r="18" spans="1:12" s="12" customFormat="1" x14ac:dyDescent="0.25">
      <c r="A18" s="10" t="s">
        <v>320</v>
      </c>
      <c r="B18" s="346">
        <f>B13/(1+Assumption_Vegatables!$C73)^BaU_Vegetables!B4</f>
        <v>0</v>
      </c>
      <c r="C18" s="346">
        <f>C13/(1+Assumption_Vegatables!$C73)^BaU_Vegetables!C4</f>
        <v>318861.54273029964</v>
      </c>
      <c r="D18" s="346">
        <f>D13/(1+Assumption_Vegatables!$C73)^BaU_Vegetables!D4</f>
        <v>636628.06525244471</v>
      </c>
      <c r="E18" s="346">
        <f>E13/(1+Assumption_Vegatables!$C73)^BaU_Vegetables!E4</f>
        <v>819325.7689233392</v>
      </c>
      <c r="F18" s="346">
        <f>F13/(1+Assumption_Vegatables!$C73)^BaU_Vegetables!F4</f>
        <v>967906.30679288239</v>
      </c>
      <c r="G18" s="346">
        <f>G13/(1+Assumption_Vegatables!$C73)^BaU_Vegetables!G4</f>
        <v>736269.74143406155</v>
      </c>
      <c r="H18" s="346">
        <f>H13/(1+Assumption_Vegatables!$C73)^BaU_Vegetables!H4</f>
        <v>433277.48966492643</v>
      </c>
      <c r="I18" s="346">
        <f>I13/(1+Assumption_Vegatables!$C73)^BaU_Vegetables!I4</f>
        <v>235863.09216126171</v>
      </c>
      <c r="J18" s="346">
        <f>J13/(1+Assumption_Vegatables!$C73)^BaU_Vegetables!J4</f>
        <v>63574.95745586569</v>
      </c>
      <c r="K18" s="346">
        <f>K13/(1+Assumption_Vegatables!$C73)^BaU_Vegetables!K4</f>
        <v>60631.35587108352</v>
      </c>
      <c r="L18" s="343">
        <f>SUM(B18:K18)</f>
        <v>4272338.3202861641</v>
      </c>
    </row>
    <row r="19" spans="1:12" x14ac:dyDescent="0.25">
      <c r="B19" s="32"/>
      <c r="C19" s="32"/>
      <c r="D19" s="32"/>
      <c r="E19" s="32"/>
      <c r="F19" s="32"/>
      <c r="G19" s="32"/>
      <c r="H19" s="32"/>
      <c r="I19" s="32"/>
      <c r="J19" s="32"/>
      <c r="K19" s="32"/>
      <c r="L19" s="12"/>
    </row>
    <row r="20" spans="1:12" s="12" customFormat="1" x14ac:dyDescent="0.25">
      <c r="A20" s="25" t="s">
        <v>318</v>
      </c>
      <c r="B20" s="35">
        <f>NPV(Assumption_Vegatables!$C73,C15:K15)+B15</f>
        <v>-1049423.5605085143</v>
      </c>
      <c r="C20" s="40"/>
      <c r="D20" s="40"/>
      <c r="E20" s="40"/>
      <c r="F20" s="40"/>
      <c r="G20" s="40"/>
      <c r="H20" s="40"/>
      <c r="I20" s="40"/>
      <c r="J20" s="40"/>
      <c r="K20" s="40"/>
    </row>
    <row r="22" spans="1:12" s="12" customFormat="1" x14ac:dyDescent="0.25">
      <c r="A22" s="25" t="s">
        <v>238</v>
      </c>
      <c r="B22" s="36" t="e">
        <f>IRR(B15:K15)</f>
        <v>#NUM!</v>
      </c>
      <c r="C22" s="4"/>
      <c r="D22" s="4"/>
      <c r="E22" s="4"/>
      <c r="F22" s="4"/>
      <c r="G22" s="4"/>
      <c r="H22" s="4"/>
      <c r="I22" s="4"/>
      <c r="J22" s="4"/>
      <c r="K22" s="4"/>
    </row>
    <row r="25" spans="1:12" s="1" customFormat="1" x14ac:dyDescent="0.25">
      <c r="A25" s="24"/>
      <c r="B25" s="42"/>
      <c r="C25" s="42"/>
      <c r="D25" s="42"/>
      <c r="E25" s="42"/>
      <c r="F25" s="42"/>
      <c r="G25" s="42"/>
      <c r="H25" s="42"/>
      <c r="I25" s="42"/>
      <c r="J25" s="42"/>
      <c r="K25" s="42"/>
    </row>
    <row r="27" spans="1:12" ht="38.25" customHeight="1" x14ac:dyDescent="0.25">
      <c r="A27" s="11" t="str">
        <f>A2</f>
        <v>Aggregate Economic Analysis</v>
      </c>
      <c r="B27" s="30"/>
      <c r="C27" s="69"/>
      <c r="D27" s="70"/>
      <c r="E27" s="30"/>
      <c r="F27" s="116" t="s">
        <v>90</v>
      </c>
      <c r="G27" s="30"/>
      <c r="H27" s="30"/>
      <c r="I27" s="30"/>
      <c r="J27" s="30"/>
      <c r="K27" s="30"/>
    </row>
    <row r="28" spans="1:12" ht="38.25" customHeight="1" x14ac:dyDescent="0.25">
      <c r="A28" s="11"/>
      <c r="B28" s="30"/>
      <c r="C28" s="69"/>
      <c r="D28" s="70"/>
      <c r="E28" s="30"/>
      <c r="F28" s="116"/>
      <c r="G28" s="30"/>
      <c r="H28" s="30"/>
      <c r="I28" s="30"/>
      <c r="J28" s="30"/>
      <c r="K28" s="30"/>
    </row>
    <row r="29" spans="1:12" x14ac:dyDescent="0.25">
      <c r="A29" s="10" t="s">
        <v>19</v>
      </c>
      <c r="B29" s="26">
        <v>0</v>
      </c>
      <c r="C29" s="26">
        <v>1</v>
      </c>
      <c r="D29" s="26">
        <v>2</v>
      </c>
      <c r="E29" s="26">
        <v>3</v>
      </c>
      <c r="F29" s="26">
        <v>4</v>
      </c>
      <c r="G29" s="26">
        <v>5</v>
      </c>
      <c r="H29" s="26">
        <v>6</v>
      </c>
      <c r="I29" s="26">
        <v>7</v>
      </c>
      <c r="J29" s="26">
        <v>8</v>
      </c>
      <c r="K29" s="26">
        <v>9</v>
      </c>
    </row>
    <row r="30" spans="1:12" x14ac:dyDescent="0.25">
      <c r="A30" s="23" t="str">
        <f>A5</f>
        <v>Benefits</v>
      </c>
    </row>
    <row r="31" spans="1:12" x14ac:dyDescent="0.25">
      <c r="A31" s="10" t="str">
        <f>A6</f>
        <v>Vagetable Sale ($)</v>
      </c>
      <c r="B31" s="31">
        <f t="shared" ref="B31:K31" si="3">B6</f>
        <v>0</v>
      </c>
      <c r="C31" s="31">
        <f t="shared" si="3"/>
        <v>103020.00000000001</v>
      </c>
      <c r="D31" s="31">
        <f t="shared" si="3"/>
        <v>408040</v>
      </c>
      <c r="E31" s="31">
        <f t="shared" si="3"/>
        <v>644582.06312499999</v>
      </c>
      <c r="F31" s="31">
        <f t="shared" si="3"/>
        <v>936543.60900000005</v>
      </c>
      <c r="G31" s="31">
        <f t="shared" si="3"/>
        <v>893358.54258499993</v>
      </c>
      <c r="H31" s="31">
        <f t="shared" si="3"/>
        <v>613027.88697207754</v>
      </c>
      <c r="I31" s="31">
        <f t="shared" si="3"/>
        <v>375247.37323745346</v>
      </c>
      <c r="J31" s="31">
        <f t="shared" si="3"/>
        <v>108285.67056280802</v>
      </c>
      <c r="K31" s="31">
        <f t="shared" si="3"/>
        <v>105267.20749586976</v>
      </c>
    </row>
    <row r="32" spans="1:12" s="377" customFormat="1" x14ac:dyDescent="0.25">
      <c r="A32" s="376" t="str">
        <f>Assumption_Vegatables!B171</f>
        <v>Consumption price of vegetables</v>
      </c>
      <c r="B32" s="136">
        <f>Assumption_Vegatables!D11*Assumption_Vegatables!D155*Assumption_Vegatables!D156*(1+Assumption_Vegatables!D157)^Assumption_Vegatables!D154*Assumption_Vegatables!$C172</f>
        <v>0</v>
      </c>
      <c r="C32" s="136">
        <f>Assumption_Vegatables!E11*Assumption_Vegatables!E155*Assumption_Vegatables!E156*(1+Assumption_Vegatables!E157)^Assumption_Vegatables!E154*Assumption_Vegatables!$C172</f>
        <v>502980</v>
      </c>
      <c r="D32" s="136">
        <f>Assumption_Vegatables!F11*Assumption_Vegatables!F155*Assumption_Vegatables!F156*(1+Assumption_Vegatables!F157)^Assumption_Vegatables!F154*Assumption_Vegatables!$C173</f>
        <v>1224120</v>
      </c>
      <c r="E32" s="136">
        <f>Assumption_Vegatables!G11*Assumption_Vegatables!G155*Assumption_Vegatables!G156*(1+Assumption_Vegatables!G157)^Assumption_Vegatables!G154*Assumption_Vegatables!$C173</f>
        <v>1933746.1893750001</v>
      </c>
      <c r="F32" s="136">
        <f>Assumption_Vegatables!H11*Assumption_Vegatables!H155*Assumption_Vegatables!H156*(1+Assumption_Vegatables!H157)^Assumption_Vegatables!H154*Assumption_Vegatables!$C173</f>
        <v>2809630.827</v>
      </c>
      <c r="G32" s="136">
        <f>Assumption_Vegatables!I11*Assumption_Vegatables!I155*Assumption_Vegatables!I156*(1+Assumption_Vegatables!I157)^Assumption_Vegatables!I154*Assumption_Vegatables!$C173</f>
        <v>2680075.6277549998</v>
      </c>
      <c r="H32" s="136">
        <f>Assumption_Vegatables!J11*Assumption_Vegatables!J155*Assumption_Vegatables!J156*(1+Assumption_Vegatables!J157)^Assumption_Vegatables!J154*Assumption_Vegatables!$C173</f>
        <v>1839083.6609162325</v>
      </c>
      <c r="I32" s="136">
        <f>Assumption_Vegatables!K11*Assumption_Vegatables!K155*Assumption_Vegatables!K156*(1+Assumption_Vegatables!K157)^Assumption_Vegatables!K154*Assumption_Vegatables!$C173</f>
        <v>1125742.1197123604</v>
      </c>
      <c r="J32" s="136">
        <f>Assumption_Vegatables!L11*Assumption_Vegatables!L155*Assumption_Vegatables!L156*(1+Assumption_Vegatables!L157)^Assumption_Vegatables!L154*Assumption_Vegatables!$C173</f>
        <v>324857.01168842404</v>
      </c>
      <c r="K32" s="136">
        <f>Assumption_Vegatables!M11*Assumption_Vegatables!M155*Assumption_Vegatables!M156*(1+Assumption_Vegatables!M157)^Assumption_Vegatables!M154*Assumption_Vegatables!$C173</f>
        <v>315801.62248760927</v>
      </c>
    </row>
    <row r="33" spans="1:12" s="12" customFormat="1" x14ac:dyDescent="0.25">
      <c r="A33" s="23" t="s">
        <v>53</v>
      </c>
      <c r="B33" s="38">
        <f>B31+B32</f>
        <v>0</v>
      </c>
      <c r="C33" s="38">
        <f t="shared" ref="C33:K33" si="4">C31+C32</f>
        <v>606000</v>
      </c>
      <c r="D33" s="38">
        <f t="shared" si="4"/>
        <v>1632160</v>
      </c>
      <c r="E33" s="38">
        <f t="shared" si="4"/>
        <v>2578328.2524999999</v>
      </c>
      <c r="F33" s="38">
        <f t="shared" si="4"/>
        <v>3746174.4360000002</v>
      </c>
      <c r="G33" s="38">
        <f t="shared" si="4"/>
        <v>3573434.1703399997</v>
      </c>
      <c r="H33" s="38">
        <f t="shared" si="4"/>
        <v>2452111.5478883102</v>
      </c>
      <c r="I33" s="38">
        <f t="shared" si="4"/>
        <v>1500989.4929498138</v>
      </c>
      <c r="J33" s="38">
        <f t="shared" si="4"/>
        <v>433142.68225123209</v>
      </c>
      <c r="K33" s="38">
        <f t="shared" si="4"/>
        <v>421068.82998347905</v>
      </c>
    </row>
    <row r="34" spans="1:12" x14ac:dyDescent="0.25">
      <c r="A34" s="23"/>
      <c r="B34" s="41"/>
      <c r="C34" s="41"/>
      <c r="D34" s="41"/>
      <c r="E34" s="41"/>
      <c r="F34" s="41"/>
      <c r="G34" s="41"/>
      <c r="H34" s="41"/>
      <c r="I34" s="41"/>
      <c r="J34" s="41"/>
      <c r="K34" s="41"/>
    </row>
    <row r="35" spans="1:12" x14ac:dyDescent="0.25">
      <c r="A35" s="23" t="s">
        <v>20</v>
      </c>
    </row>
    <row r="36" spans="1:12" ht="30" x14ac:dyDescent="0.25">
      <c r="A36" s="9" t="str">
        <f t="shared" ref="A36:K36" si="5">A10</f>
        <v>Land Preparation for cultivation (fenching.etc)</v>
      </c>
      <c r="B36" s="33">
        <f t="shared" si="5"/>
        <v>0</v>
      </c>
      <c r="C36" s="33">
        <f t="shared" si="5"/>
        <v>69000</v>
      </c>
      <c r="D36" s="33">
        <f t="shared" si="5"/>
        <v>184000</v>
      </c>
      <c r="E36" s="33">
        <f t="shared" si="5"/>
        <v>299000</v>
      </c>
      <c r="F36" s="33">
        <f t="shared" si="5"/>
        <v>414000</v>
      </c>
      <c r="G36" s="33">
        <f t="shared" si="5"/>
        <v>391000</v>
      </c>
      <c r="H36" s="33">
        <f t="shared" si="5"/>
        <v>276000</v>
      </c>
      <c r="I36" s="33">
        <f t="shared" si="5"/>
        <v>161000</v>
      </c>
      <c r="J36" s="33">
        <f t="shared" si="5"/>
        <v>46000</v>
      </c>
      <c r="K36" s="33">
        <f t="shared" si="5"/>
        <v>46000</v>
      </c>
    </row>
    <row r="37" spans="1:12" x14ac:dyDescent="0.25">
      <c r="A37" s="9" t="str">
        <f t="shared" ref="A37:K37" si="6">A11</f>
        <v>Organic Fartilizer/Seeds/Saplings etc.</v>
      </c>
      <c r="B37" s="33">
        <f t="shared" si="6"/>
        <v>0</v>
      </c>
      <c r="C37" s="33">
        <f t="shared" si="6"/>
        <v>82993.235294117636</v>
      </c>
      <c r="D37" s="33">
        <f t="shared" si="6"/>
        <v>221315.29411764702</v>
      </c>
      <c r="E37" s="33">
        <f t="shared" si="6"/>
        <v>366830.1</v>
      </c>
      <c r="F37" s="33">
        <f t="shared" si="6"/>
        <v>497959.41176470579</v>
      </c>
      <c r="G37" s="33">
        <f t="shared" si="6"/>
        <v>470294.99999999994</v>
      </c>
      <c r="H37" s="33">
        <f t="shared" si="6"/>
        <v>338612.39999999997</v>
      </c>
      <c r="I37" s="33">
        <f t="shared" si="6"/>
        <v>193650.88235294115</v>
      </c>
      <c r="J37" s="33">
        <f t="shared" si="6"/>
        <v>55328.823529411755</v>
      </c>
      <c r="K37" s="33">
        <f t="shared" si="6"/>
        <v>56435.399999999994</v>
      </c>
    </row>
    <row r="38" spans="1:12" s="50" customFormat="1" x14ac:dyDescent="0.25">
      <c r="A38" s="52" t="s">
        <v>131</v>
      </c>
      <c r="B38" s="49">
        <f>Assumption_Vegatables!D50</f>
        <v>0</v>
      </c>
      <c r="C38" s="49">
        <f>Assumption_Vegatables!E50</f>
        <v>93000</v>
      </c>
      <c r="D38" s="49">
        <f>Assumption_Vegatables!F50</f>
        <v>155000</v>
      </c>
      <c r="E38" s="49">
        <f>Assumption_Vegatables!G50</f>
        <v>155000</v>
      </c>
      <c r="F38" s="49">
        <f>Assumption_Vegatables!H50</f>
        <v>155000</v>
      </c>
      <c r="G38" s="49">
        <f>Assumption_Vegatables!I50</f>
        <v>62000</v>
      </c>
      <c r="H38" s="49">
        <f>Assumption_Vegatables!J50</f>
        <v>0</v>
      </c>
      <c r="I38" s="49">
        <f>Assumption_Vegatables!K50</f>
        <v>0</v>
      </c>
      <c r="J38" s="49">
        <f>Assumption_Vegatables!L50</f>
        <v>0</v>
      </c>
      <c r="K38" s="49">
        <f>Assumption_Vegatables!M50</f>
        <v>0</v>
      </c>
    </row>
    <row r="39" spans="1:12" s="377" customFormat="1" ht="30" x14ac:dyDescent="0.25">
      <c r="A39" s="121" t="str">
        <f>Assumption_Vegatables!B177</f>
        <v>Opportunity cost of labor by women households</v>
      </c>
      <c r="B39" s="137">
        <f>Assumption_Vegatables!D11*Assumption_Vegatables!$C178*Assumption_Vegatables!$C179*(1+Assumption_Vegatables!$C180)^Assumption_Vegatables!D154</f>
        <v>0</v>
      </c>
      <c r="C39" s="137">
        <f>Assumption_Vegatables!E11*Assumption_Vegatables!$C178*Assumption_Vegatables!$C179*(1+Assumption_Vegatables!$C180)^Assumption_Vegatables!E154</f>
        <v>445410</v>
      </c>
      <c r="D39" s="137">
        <f>Assumption_Vegatables!F11*Assumption_Vegatables!$C178*Assumption_Vegatables!$C179*(1+Assumption_Vegatables!$C180)^Assumption_Vegatables!F154</f>
        <v>1199637.6000000001</v>
      </c>
      <c r="E39" s="137">
        <f>Assumption_Vegatables!G11*Assumption_Vegatables!$C178*Assumption_Vegatables!$C179*(1+Assumption_Vegatables!$C180)^Assumption_Vegatables!G154</f>
        <v>1968905.2109999999</v>
      </c>
      <c r="F39" s="137">
        <f>Assumption_Vegatables!H11*Assumption_Vegatables!$C178*Assumption_Vegatables!$C179*(1+Assumption_Vegatables!$C180)^Assumption_Vegatables!H154</f>
        <v>2753438.2104600002</v>
      </c>
      <c r="G39" s="137">
        <f>Assumption_Vegatables!I11*Assumption_Vegatables!$C178*Assumption_Vegatables!$C179*(1+Assumption_Vegatables!$C180)^Assumption_Vegatables!I154</f>
        <v>2626474.1151998998</v>
      </c>
      <c r="H39" s="137">
        <f>Assumption_Vegatables!J11*Assumption_Vegatables!$C178*Assumption_Vegatables!$C179*(1+Assumption_Vegatables!$C180)^Assumption_Vegatables!J154</f>
        <v>1872521.5456601642</v>
      </c>
      <c r="I39" s="137">
        <f>Assumption_Vegatables!K11*Assumption_Vegatables!$C178*Assumption_Vegatables!$C179*(1+Assumption_Vegatables!$C180)^Assumption_Vegatables!K154</f>
        <v>1103227.277318113</v>
      </c>
      <c r="J39" s="137">
        <f>Assumption_Vegatables!L11*Assumption_Vegatables!$C178*Assumption_Vegatables!$C179*(1+Assumption_Vegatables!$C180)^Assumption_Vegatables!L154</f>
        <v>318359.8714546556</v>
      </c>
      <c r="K39" s="137">
        <f>Assumption_Vegatables!M11*Assumption_Vegatables!$C178*Assumption_Vegatables!$C179*(1+Assumption_Vegatables!$C180)^Assumption_Vegatables!M154</f>
        <v>321543.47016920219</v>
      </c>
    </row>
    <row r="40" spans="1:12" x14ac:dyDescent="0.25">
      <c r="A40" s="117" t="s">
        <v>54</v>
      </c>
      <c r="B40" s="37">
        <f>SUM(B36:B39)</f>
        <v>0</v>
      </c>
      <c r="C40" s="37">
        <f t="shared" ref="C40:K40" si="7">SUM(C36:C39)</f>
        <v>690403.23529411759</v>
      </c>
      <c r="D40" s="37">
        <f t="shared" si="7"/>
        <v>1759952.8941176471</v>
      </c>
      <c r="E40" s="37">
        <f t="shared" si="7"/>
        <v>2789735.3109999998</v>
      </c>
      <c r="F40" s="37">
        <f t="shared" si="7"/>
        <v>3820397.6222247062</v>
      </c>
      <c r="G40" s="37">
        <f t="shared" si="7"/>
        <v>3549769.1151998998</v>
      </c>
      <c r="H40" s="37">
        <f t="shared" si="7"/>
        <v>2487133.9456601641</v>
      </c>
      <c r="I40" s="37">
        <f t="shared" si="7"/>
        <v>1457878.1596710542</v>
      </c>
      <c r="J40" s="37">
        <f t="shared" si="7"/>
        <v>419688.69498406735</v>
      </c>
      <c r="K40" s="37">
        <f t="shared" si="7"/>
        <v>423978.87016920222</v>
      </c>
    </row>
    <row r="41" spans="1:12" x14ac:dyDescent="0.25">
      <c r="B41" s="32"/>
      <c r="C41" s="32"/>
      <c r="D41" s="32"/>
      <c r="E41" s="32"/>
      <c r="F41" s="32"/>
      <c r="G41" s="32"/>
      <c r="H41" s="32"/>
      <c r="I41" s="32"/>
      <c r="J41" s="32"/>
      <c r="K41" s="32"/>
    </row>
    <row r="42" spans="1:12" x14ac:dyDescent="0.25">
      <c r="A42" s="23" t="s">
        <v>55</v>
      </c>
      <c r="B42" s="34">
        <f t="shared" ref="B42:K42" si="8">B33-B40</f>
        <v>0</v>
      </c>
      <c r="C42" s="34">
        <f t="shared" si="8"/>
        <v>-84403.235294117592</v>
      </c>
      <c r="D42" s="34">
        <f t="shared" si="8"/>
        <v>-127792.89411764708</v>
      </c>
      <c r="E42" s="34">
        <f t="shared" si="8"/>
        <v>-211407.05849999981</v>
      </c>
      <c r="F42" s="34">
        <f t="shared" si="8"/>
        <v>-74223.186224706005</v>
      </c>
      <c r="G42" s="34">
        <f t="shared" si="8"/>
        <v>23665.055140099954</v>
      </c>
      <c r="H42" s="34">
        <f t="shared" si="8"/>
        <v>-35022.397771853954</v>
      </c>
      <c r="I42" s="34">
        <f t="shared" si="8"/>
        <v>43111.333278759615</v>
      </c>
      <c r="J42" s="34">
        <f t="shared" si="8"/>
        <v>13453.987267164746</v>
      </c>
      <c r="K42" s="34">
        <f t="shared" si="8"/>
        <v>-2910.0401857231627</v>
      </c>
    </row>
    <row r="43" spans="1:12" x14ac:dyDescent="0.25">
      <c r="B43" s="32"/>
      <c r="C43" s="32"/>
      <c r="D43" s="32"/>
      <c r="E43" s="32"/>
      <c r="F43" s="32"/>
      <c r="G43" s="32"/>
      <c r="H43" s="32"/>
      <c r="I43" s="32"/>
      <c r="J43" s="32"/>
      <c r="K43" s="32"/>
    </row>
    <row r="44" spans="1:12" s="12" customFormat="1" x14ac:dyDescent="0.25">
      <c r="A44" s="10" t="s">
        <v>319</v>
      </c>
      <c r="B44" s="346">
        <f>B33/(1+Assumption_Vegatables!$C73)^BaU_Vegetables!B29</f>
        <v>0</v>
      </c>
      <c r="C44" s="346">
        <f>C33/(1+Assumption_Vegatables!$C73)^BaU_Vegetables!C29</f>
        <v>571698.11320754711</v>
      </c>
      <c r="D44" s="346">
        <f>D33/(1+Assumption_Vegatables!$C73)^BaU_Vegetables!D29</f>
        <v>1452616.5895336417</v>
      </c>
      <c r="E44" s="346">
        <f>E33/(1+Assumption_Vegatables!$C73)^BaU_Vegetables!E29</f>
        <v>2164814.1187859769</v>
      </c>
      <c r="F44" s="346">
        <f>F33/(1+Assumption_Vegatables!$C73)^BaU_Vegetables!F29</f>
        <v>2967321.0321398652</v>
      </c>
      <c r="G44" s="346">
        <f>G33/(1+Assumption_Vegatables!$C73)^BaU_Vegetables!G29</f>
        <v>2670277.888985402</v>
      </c>
      <c r="H44" s="346">
        <f>H33/(1+Assumption_Vegatables!$C73)^BaU_Vegetables!H29</f>
        <v>1728641.8820177142</v>
      </c>
      <c r="I44" s="346">
        <f>I33/(1+Assumption_Vegatables!$C73)^BaU_Vegetables!I29</f>
        <v>998243.73975865683</v>
      </c>
      <c r="J44" s="346">
        <f>J33/(1+Assumption_Vegatables!$C73)^BaU_Vegetables!J29</f>
        <v>271759.07740060479</v>
      </c>
      <c r="K44" s="346">
        <f>K33/(1+Assumption_Vegatables!$C73)^BaU_Vegetables!K29</f>
        <v>249229.99350760659</v>
      </c>
      <c r="L44" s="343">
        <f>SUM(B44:K44)</f>
        <v>13074602.435337016</v>
      </c>
    </row>
    <row r="45" spans="1:12" s="12" customFormat="1" x14ac:dyDescent="0.25">
      <c r="A45" s="10" t="s">
        <v>320</v>
      </c>
      <c r="B45" s="346">
        <f>B40/(1+Assumption_Vegatables!$C73)^BaU_Vegetables!B29</f>
        <v>0</v>
      </c>
      <c r="C45" s="346">
        <f>C40/(1+Assumption_Vegatables!$C73)^BaU_Vegetables!C29</f>
        <v>651323.80688124301</v>
      </c>
      <c r="D45" s="346">
        <f>D40/(1+Assumption_Vegatables!$C73)^BaU_Vegetables!D29</f>
        <v>1566351.8103574642</v>
      </c>
      <c r="E45" s="346">
        <f>E40/(1+Assumption_Vegatables!$C73)^BaU_Vegetables!E29</f>
        <v>2342315.5616717148</v>
      </c>
      <c r="F45" s="346">
        <f>F40/(1+Assumption_Vegatables!$C73)^BaU_Vegetables!F29</f>
        <v>3026112.7476137904</v>
      </c>
      <c r="G45" s="346">
        <f>G40/(1+Assumption_Vegatables!$C73)^BaU_Vegetables!G29</f>
        <v>2652593.9831206365</v>
      </c>
      <c r="H45" s="346">
        <f>H40/(1+Assumption_Vegatables!$C73)^BaU_Vegetables!H29</f>
        <v>1753331.2904784537</v>
      </c>
      <c r="I45" s="346">
        <f>I40/(1+Assumption_Vegatables!$C73)^BaU_Vegetables!I29</f>
        <v>969572.24088387447</v>
      </c>
      <c r="J45" s="346">
        <f>J40/(1+Assumption_Vegatables!$C73)^BaU_Vegetables!J29</f>
        <v>263317.87934531021</v>
      </c>
      <c r="K45" s="346">
        <f>K40/(1+Assumption_Vegatables!$C73)^BaU_Vegetables!K29</f>
        <v>250952.44182234674</v>
      </c>
      <c r="L45" s="343">
        <f>SUM(B45:K45)</f>
        <v>13475871.762174834</v>
      </c>
    </row>
    <row r="46" spans="1:12" x14ac:dyDescent="0.25">
      <c r="B46" s="32"/>
      <c r="C46" s="32"/>
      <c r="D46" s="32"/>
      <c r="E46" s="32"/>
      <c r="F46" s="32"/>
      <c r="G46" s="32"/>
      <c r="H46" s="32"/>
      <c r="I46" s="32"/>
      <c r="J46" s="32"/>
      <c r="K46" s="32"/>
    </row>
    <row r="47" spans="1:12" s="12" customFormat="1" x14ac:dyDescent="0.25">
      <c r="A47" s="25" t="s">
        <v>318</v>
      </c>
      <c r="B47" s="35">
        <f>NPV(Assumption_Hatchery!C76,C42:K42)+B42</f>
        <v>-401269.32683781837</v>
      </c>
      <c r="C47" s="40"/>
      <c r="D47" s="40"/>
      <c r="E47" s="40"/>
      <c r="F47" s="40"/>
      <c r="G47" s="40"/>
      <c r="H47" s="40"/>
      <c r="I47" s="40"/>
      <c r="J47" s="40"/>
      <c r="K47" s="40"/>
    </row>
    <row r="49" spans="1:11" s="12" customFormat="1" x14ac:dyDescent="0.25">
      <c r="A49" s="25" t="s">
        <v>238</v>
      </c>
      <c r="B49" s="36" t="e">
        <f>IRR(B42:K42)</f>
        <v>#NUM!</v>
      </c>
      <c r="C49" s="4"/>
      <c r="D49" s="4"/>
      <c r="E49" s="4"/>
      <c r="F49" s="4"/>
      <c r="G49" s="4"/>
      <c r="H49" s="4"/>
      <c r="I49" s="4"/>
      <c r="J49" s="4"/>
      <c r="K49" s="4"/>
    </row>
    <row r="51" spans="1:11" ht="38.25" customHeight="1" x14ac:dyDescent="0.25">
      <c r="A51" s="11"/>
      <c r="B51" s="30"/>
      <c r="C51" s="69"/>
      <c r="D51" s="70"/>
      <c r="E51" s="30"/>
      <c r="F51" s="116"/>
      <c r="G51" s="30"/>
      <c r="H51" s="30"/>
      <c r="I51" s="30"/>
      <c r="J51" s="30"/>
      <c r="K51" s="30"/>
    </row>
    <row r="52" spans="1:11" s="1" customFormat="1" x14ac:dyDescent="0.25">
      <c r="A52" s="24"/>
      <c r="B52" s="42"/>
      <c r="C52" s="42"/>
      <c r="D52" s="42"/>
      <c r="E52" s="42"/>
      <c r="F52" s="42"/>
      <c r="G52" s="42"/>
      <c r="H52" s="42"/>
      <c r="I52" s="42"/>
      <c r="J52" s="42"/>
      <c r="K52" s="42"/>
    </row>
    <row r="54" spans="1:11" ht="26.25" x14ac:dyDescent="0.25">
      <c r="F54" s="19" t="s">
        <v>92</v>
      </c>
    </row>
    <row r="55" spans="1:11" ht="38.25" customHeight="1" x14ac:dyDescent="0.25">
      <c r="A55" s="11" t="str">
        <f>A2</f>
        <v>Aggregate Economic Analysis</v>
      </c>
      <c r="B55" s="30"/>
      <c r="C55" s="69"/>
      <c r="D55" s="70"/>
      <c r="E55" s="30"/>
      <c r="F55" s="30"/>
      <c r="G55" s="30"/>
      <c r="H55" s="30"/>
      <c r="I55" s="30"/>
      <c r="J55" s="30"/>
      <c r="K55" s="30"/>
    </row>
    <row r="57" spans="1:11" x14ac:dyDescent="0.25">
      <c r="A57" s="10" t="s">
        <v>19</v>
      </c>
      <c r="B57" s="26">
        <v>0</v>
      </c>
      <c r="C57" s="26">
        <v>1</v>
      </c>
      <c r="D57" s="26">
        <v>2</v>
      </c>
      <c r="E57" s="26">
        <v>3</v>
      </c>
      <c r="F57" s="26">
        <v>4</v>
      </c>
      <c r="G57" s="26">
        <v>5</v>
      </c>
      <c r="H57" s="26">
        <v>6</v>
      </c>
      <c r="I57" s="26">
        <v>7</v>
      </c>
      <c r="J57" s="26">
        <v>8</v>
      </c>
      <c r="K57" s="26">
        <v>9</v>
      </c>
    </row>
    <row r="58" spans="1:11" x14ac:dyDescent="0.25">
      <c r="A58" s="23" t="str">
        <f>A5</f>
        <v>Benefits</v>
      </c>
    </row>
    <row r="59" spans="1:11" x14ac:dyDescent="0.25">
      <c r="A59" s="10" t="str">
        <f>A6</f>
        <v>Vagetable Sale ($)</v>
      </c>
      <c r="B59" s="31">
        <f t="shared" ref="B59:K59" si="9">B6</f>
        <v>0</v>
      </c>
      <c r="C59" s="31">
        <f t="shared" si="9"/>
        <v>103020.00000000001</v>
      </c>
      <c r="D59" s="31">
        <f t="shared" si="9"/>
        <v>408040</v>
      </c>
      <c r="E59" s="31">
        <f t="shared" si="9"/>
        <v>644582.06312499999</v>
      </c>
      <c r="F59" s="31">
        <f t="shared" si="9"/>
        <v>936543.60900000005</v>
      </c>
      <c r="G59" s="31">
        <f t="shared" si="9"/>
        <v>893358.54258499993</v>
      </c>
      <c r="H59" s="31">
        <f t="shared" si="9"/>
        <v>613027.88697207754</v>
      </c>
      <c r="I59" s="31">
        <f t="shared" si="9"/>
        <v>375247.37323745346</v>
      </c>
      <c r="J59" s="31">
        <f t="shared" si="9"/>
        <v>108285.67056280802</v>
      </c>
      <c r="K59" s="31">
        <f t="shared" si="9"/>
        <v>105267.20749586976</v>
      </c>
    </row>
    <row r="60" spans="1:11" s="377" customFormat="1" x14ac:dyDescent="0.25">
      <c r="A60" s="376" t="str">
        <f>A32</f>
        <v>Consumption price of vegetables</v>
      </c>
      <c r="B60" s="136">
        <f>B32</f>
        <v>0</v>
      </c>
      <c r="C60" s="136">
        <f t="shared" ref="C60:K60" si="10">C32</f>
        <v>502980</v>
      </c>
      <c r="D60" s="136">
        <f t="shared" si="10"/>
        <v>1224120</v>
      </c>
      <c r="E60" s="136">
        <f t="shared" si="10"/>
        <v>1933746.1893750001</v>
      </c>
      <c r="F60" s="136">
        <f t="shared" si="10"/>
        <v>2809630.827</v>
      </c>
      <c r="G60" s="136">
        <f t="shared" si="10"/>
        <v>2680075.6277549998</v>
      </c>
      <c r="H60" s="136">
        <f t="shared" si="10"/>
        <v>1839083.6609162325</v>
      </c>
      <c r="I60" s="136">
        <f t="shared" si="10"/>
        <v>1125742.1197123604</v>
      </c>
      <c r="J60" s="136">
        <f t="shared" si="10"/>
        <v>324857.01168842404</v>
      </c>
      <c r="K60" s="136">
        <f t="shared" si="10"/>
        <v>315801.62248760927</v>
      </c>
    </row>
    <row r="61" spans="1:11" s="12" customFormat="1" x14ac:dyDescent="0.25">
      <c r="A61" s="23" t="s">
        <v>53</v>
      </c>
      <c r="B61" s="38">
        <f>B59+B60</f>
        <v>0</v>
      </c>
      <c r="C61" s="38">
        <f t="shared" ref="C61:K61" si="11">C59+C60</f>
        <v>606000</v>
      </c>
      <c r="D61" s="38">
        <f t="shared" si="11"/>
        <v>1632160</v>
      </c>
      <c r="E61" s="38">
        <f t="shared" si="11"/>
        <v>2578328.2524999999</v>
      </c>
      <c r="F61" s="38">
        <f t="shared" si="11"/>
        <v>3746174.4360000002</v>
      </c>
      <c r="G61" s="38">
        <f t="shared" si="11"/>
        <v>3573434.1703399997</v>
      </c>
      <c r="H61" s="38">
        <f t="shared" si="11"/>
        <v>2452111.5478883102</v>
      </c>
      <c r="I61" s="38">
        <f t="shared" si="11"/>
        <v>1500989.4929498138</v>
      </c>
      <c r="J61" s="38">
        <f t="shared" si="11"/>
        <v>433142.68225123209</v>
      </c>
      <c r="K61" s="38">
        <f t="shared" si="11"/>
        <v>421068.82998347905</v>
      </c>
    </row>
    <row r="62" spans="1:11" x14ac:dyDescent="0.25">
      <c r="A62" s="23"/>
      <c r="B62" s="41"/>
      <c r="C62" s="41"/>
      <c r="D62" s="41"/>
      <c r="E62" s="41"/>
      <c r="F62" s="41"/>
      <c r="G62" s="41"/>
      <c r="H62" s="41"/>
      <c r="I62" s="41"/>
      <c r="J62" s="41"/>
      <c r="K62" s="41"/>
    </row>
    <row r="63" spans="1:11" x14ac:dyDescent="0.25">
      <c r="A63" s="23" t="s">
        <v>20</v>
      </c>
    </row>
    <row r="64" spans="1:11" ht="30" x14ac:dyDescent="0.25">
      <c r="A64" s="9" t="str">
        <f t="shared" ref="A64:K64" si="12">A10</f>
        <v>Land Preparation for cultivation (fenching.etc)</v>
      </c>
      <c r="B64" s="33">
        <f t="shared" si="12"/>
        <v>0</v>
      </c>
      <c r="C64" s="33">
        <f t="shared" si="12"/>
        <v>69000</v>
      </c>
      <c r="D64" s="33">
        <f t="shared" si="12"/>
        <v>184000</v>
      </c>
      <c r="E64" s="33">
        <f t="shared" si="12"/>
        <v>299000</v>
      </c>
      <c r="F64" s="33">
        <f t="shared" si="12"/>
        <v>414000</v>
      </c>
      <c r="G64" s="33">
        <f t="shared" si="12"/>
        <v>391000</v>
      </c>
      <c r="H64" s="33">
        <f t="shared" si="12"/>
        <v>276000</v>
      </c>
      <c r="I64" s="33">
        <f t="shared" si="12"/>
        <v>161000</v>
      </c>
      <c r="J64" s="33">
        <f t="shared" si="12"/>
        <v>46000</v>
      </c>
      <c r="K64" s="33">
        <f t="shared" si="12"/>
        <v>46000</v>
      </c>
    </row>
    <row r="65" spans="1:12" x14ac:dyDescent="0.25">
      <c r="A65" s="9" t="str">
        <f t="shared" ref="A65:K65" si="13">A11</f>
        <v>Organic Fartilizer/Seeds/Saplings etc.</v>
      </c>
      <c r="B65" s="33">
        <f t="shared" si="13"/>
        <v>0</v>
      </c>
      <c r="C65" s="33">
        <f t="shared" si="13"/>
        <v>82993.235294117636</v>
      </c>
      <c r="D65" s="33">
        <f t="shared" si="13"/>
        <v>221315.29411764702</v>
      </c>
      <c r="E65" s="33">
        <f t="shared" si="13"/>
        <v>366830.1</v>
      </c>
      <c r="F65" s="33">
        <f t="shared" si="13"/>
        <v>497959.41176470579</v>
      </c>
      <c r="G65" s="33">
        <f t="shared" si="13"/>
        <v>470294.99999999994</v>
      </c>
      <c r="H65" s="33">
        <f t="shared" si="13"/>
        <v>338612.39999999997</v>
      </c>
      <c r="I65" s="33">
        <f t="shared" si="13"/>
        <v>193650.88235294115</v>
      </c>
      <c r="J65" s="33">
        <f t="shared" si="13"/>
        <v>55328.823529411755</v>
      </c>
      <c r="K65" s="33">
        <f t="shared" si="13"/>
        <v>56435.399999999994</v>
      </c>
    </row>
    <row r="66" spans="1:12" s="50" customFormat="1" x14ac:dyDescent="0.25">
      <c r="A66" s="52" t="s">
        <v>131</v>
      </c>
      <c r="B66" s="49">
        <f>B12*Assumption_Vegatables!$C30</f>
        <v>0</v>
      </c>
      <c r="C66" s="49">
        <f>C12*Assumption_Vegatables!$C30</f>
        <v>0</v>
      </c>
      <c r="D66" s="49">
        <f>D12*Assumption_Vegatables!$C30</f>
        <v>0</v>
      </c>
      <c r="E66" s="49">
        <f>E12*Assumption_Vegatables!$C30</f>
        <v>0</v>
      </c>
      <c r="F66" s="49">
        <f>F12*Assumption_Vegatables!$C30</f>
        <v>0</v>
      </c>
      <c r="G66" s="49">
        <f>G12*Assumption_Vegatables!$C30</f>
        <v>0</v>
      </c>
      <c r="H66" s="49">
        <f>H12*Assumption_Vegatables!$C30</f>
        <v>0</v>
      </c>
      <c r="I66" s="49">
        <f>I12*Assumption_Vegatables!$C30</f>
        <v>0</v>
      </c>
      <c r="J66" s="49">
        <f>J12*Assumption_Vegatables!$C30</f>
        <v>0</v>
      </c>
      <c r="K66" s="49">
        <f>K12*Assumption_Vegatables!$C30</f>
        <v>0</v>
      </c>
    </row>
    <row r="67" spans="1:12" s="377" customFormat="1" ht="30" x14ac:dyDescent="0.25">
      <c r="A67" s="121" t="str">
        <f>A39</f>
        <v>Opportunity cost of labor by women households</v>
      </c>
      <c r="B67" s="137">
        <f>B39</f>
        <v>0</v>
      </c>
      <c r="C67" s="137">
        <f t="shared" ref="C67:K67" si="14">C39</f>
        <v>445410</v>
      </c>
      <c r="D67" s="137">
        <f t="shared" si="14"/>
        <v>1199637.6000000001</v>
      </c>
      <c r="E67" s="137">
        <f t="shared" si="14"/>
        <v>1968905.2109999999</v>
      </c>
      <c r="F67" s="137">
        <f t="shared" si="14"/>
        <v>2753438.2104600002</v>
      </c>
      <c r="G67" s="137">
        <f t="shared" si="14"/>
        <v>2626474.1151998998</v>
      </c>
      <c r="H67" s="137">
        <f t="shared" si="14"/>
        <v>1872521.5456601642</v>
      </c>
      <c r="I67" s="137">
        <f t="shared" si="14"/>
        <v>1103227.277318113</v>
      </c>
      <c r="J67" s="137">
        <f t="shared" si="14"/>
        <v>318359.8714546556</v>
      </c>
      <c r="K67" s="137">
        <f t="shared" si="14"/>
        <v>321543.47016920219</v>
      </c>
    </row>
    <row r="68" spans="1:12" x14ac:dyDescent="0.25">
      <c r="A68" s="117" t="s">
        <v>54</v>
      </c>
      <c r="B68" s="37">
        <f>SUM(B64:B67)</f>
        <v>0</v>
      </c>
      <c r="C68" s="37">
        <f t="shared" ref="C68:K68" si="15">SUM(C64:C67)</f>
        <v>597403.23529411759</v>
      </c>
      <c r="D68" s="37">
        <f t="shared" si="15"/>
        <v>1604952.8941176471</v>
      </c>
      <c r="E68" s="37">
        <f t="shared" si="15"/>
        <v>2634735.3109999998</v>
      </c>
      <c r="F68" s="37">
        <f t="shared" si="15"/>
        <v>3665397.6222247062</v>
      </c>
      <c r="G68" s="37">
        <f t="shared" si="15"/>
        <v>3487769.1151998998</v>
      </c>
      <c r="H68" s="37">
        <f t="shared" si="15"/>
        <v>2487133.9456601641</v>
      </c>
      <c r="I68" s="37">
        <f t="shared" si="15"/>
        <v>1457878.1596710542</v>
      </c>
      <c r="J68" s="37">
        <f t="shared" si="15"/>
        <v>419688.69498406735</v>
      </c>
      <c r="K68" s="37">
        <f t="shared" si="15"/>
        <v>423978.87016920222</v>
      </c>
    </row>
    <row r="69" spans="1:12" x14ac:dyDescent="0.25">
      <c r="B69" s="32"/>
      <c r="C69" s="32"/>
      <c r="D69" s="32"/>
      <c r="E69" s="32"/>
      <c r="F69" s="32"/>
      <c r="G69" s="32"/>
      <c r="H69" s="32"/>
      <c r="I69" s="32"/>
      <c r="J69" s="32"/>
      <c r="K69" s="32"/>
    </row>
    <row r="70" spans="1:12" x14ac:dyDescent="0.25">
      <c r="A70" s="23" t="s">
        <v>55</v>
      </c>
      <c r="B70" s="34">
        <f t="shared" ref="B70:K70" si="16">B61-B68</f>
        <v>0</v>
      </c>
      <c r="C70" s="34">
        <f t="shared" si="16"/>
        <v>8596.7647058824077</v>
      </c>
      <c r="D70" s="34">
        <f t="shared" si="16"/>
        <v>27207.105882352917</v>
      </c>
      <c r="E70" s="34">
        <f t="shared" si="16"/>
        <v>-56407.05849999981</v>
      </c>
      <c r="F70" s="34">
        <f t="shared" si="16"/>
        <v>80776.813775293995</v>
      </c>
      <c r="G70" s="34">
        <f t="shared" si="16"/>
        <v>85665.055140099954</v>
      </c>
      <c r="H70" s="34">
        <f t="shared" si="16"/>
        <v>-35022.397771853954</v>
      </c>
      <c r="I70" s="34">
        <f t="shared" si="16"/>
        <v>43111.333278759615</v>
      </c>
      <c r="J70" s="34">
        <f t="shared" si="16"/>
        <v>13453.987267164746</v>
      </c>
      <c r="K70" s="34">
        <f t="shared" si="16"/>
        <v>-2910.0401857231627</v>
      </c>
    </row>
    <row r="71" spans="1:12" x14ac:dyDescent="0.25">
      <c r="B71" s="32"/>
      <c r="C71" s="32"/>
      <c r="D71" s="32"/>
      <c r="E71" s="32"/>
      <c r="F71" s="32"/>
      <c r="G71" s="32"/>
      <c r="H71" s="32"/>
      <c r="I71" s="32"/>
      <c r="J71" s="32"/>
      <c r="K71" s="32"/>
    </row>
    <row r="72" spans="1:12" s="12" customFormat="1" x14ac:dyDescent="0.25">
      <c r="A72" s="10" t="s">
        <v>319</v>
      </c>
      <c r="B72" s="346">
        <f>B61/(1+Assumption_Vegatables!$C73)^BaU_Vegetables!B57</f>
        <v>0</v>
      </c>
      <c r="C72" s="346">
        <f>C61/(1+Assumption_Vegatables!$C73)^BaU_Vegetables!C57</f>
        <v>571698.11320754711</v>
      </c>
      <c r="D72" s="346">
        <f>D61/(1+Assumption_Vegatables!$C73)^BaU_Vegetables!D57</f>
        <v>1452616.5895336417</v>
      </c>
      <c r="E72" s="346">
        <f>E61/(1+Assumption_Vegatables!$C73)^BaU_Vegetables!E57</f>
        <v>2164814.1187859769</v>
      </c>
      <c r="F72" s="346">
        <f>F61/(1+Assumption_Vegatables!$C73)^BaU_Vegetables!F57</f>
        <v>2967321.0321398652</v>
      </c>
      <c r="G72" s="346">
        <f>G61/(1+Assumption_Vegatables!$C73)^BaU_Vegetables!G57</f>
        <v>2670277.888985402</v>
      </c>
      <c r="H72" s="346">
        <f>H61/(1+Assumption_Vegatables!$C73)^BaU_Vegetables!H57</f>
        <v>1728641.8820177142</v>
      </c>
      <c r="I72" s="346">
        <f>I61/(1+Assumption_Vegatables!$C73)^BaU_Vegetables!I57</f>
        <v>998243.73975865683</v>
      </c>
      <c r="J72" s="346">
        <f>J61/(1+Assumption_Vegatables!$C73)^BaU_Vegetables!J57</f>
        <v>271759.07740060479</v>
      </c>
      <c r="K72" s="346">
        <f>K61/(1+Assumption_Vegatables!$C73)^BaU_Vegetables!K57</f>
        <v>249229.99350760659</v>
      </c>
      <c r="L72" s="343">
        <f>SUM(B72:K72)</f>
        <v>13074602.435337016</v>
      </c>
    </row>
    <row r="73" spans="1:12" s="12" customFormat="1" x14ac:dyDescent="0.25">
      <c r="A73" s="10" t="s">
        <v>320</v>
      </c>
      <c r="B73" s="346">
        <f>B68/(1+Assumption_Vegatables!$C73)^BaU_Vegetables!B57</f>
        <v>0</v>
      </c>
      <c r="C73" s="346">
        <f>C68/(1+Assumption_Vegatables!$C73)^BaU_Vegetables!C57</f>
        <v>563587.95782463916</v>
      </c>
      <c r="D73" s="346">
        <f>D68/(1+Assumption_Vegatables!$C73)^BaU_Vegetables!D57</f>
        <v>1428402.362155257</v>
      </c>
      <c r="E73" s="346">
        <f>E68/(1+Assumption_Vegatables!$C73)^BaU_Vegetables!E57</f>
        <v>2212174.5728017082</v>
      </c>
      <c r="F73" s="346">
        <f>F68/(1+Assumption_Vegatables!$C73)^BaU_Vegetables!F57</f>
        <v>2903338.229811897</v>
      </c>
      <c r="G73" s="346">
        <f>G68/(1+Assumption_Vegatables!$C73)^BaU_Vegetables!G57</f>
        <v>2606263.9764029412</v>
      </c>
      <c r="H73" s="346">
        <f>H68/(1+Assumption_Vegatables!$C73)^BaU_Vegetables!H57</f>
        <v>1753331.2904784537</v>
      </c>
      <c r="I73" s="346">
        <f>I68/(1+Assumption_Vegatables!$C73)^BaU_Vegetables!I57</f>
        <v>969572.24088387447</v>
      </c>
      <c r="J73" s="346">
        <f>J68/(1+Assumption_Vegatables!$C73)^BaU_Vegetables!J57</f>
        <v>263317.87934531021</v>
      </c>
      <c r="K73" s="346">
        <f>K68/(1+Assumption_Vegatables!$C73)^BaU_Vegetables!K57</f>
        <v>250952.44182234674</v>
      </c>
      <c r="L73" s="343">
        <f>SUM(B73:K73)</f>
        <v>12950940.951526426</v>
      </c>
    </row>
    <row r="74" spans="1:12" x14ac:dyDescent="0.25">
      <c r="B74" s="32"/>
      <c r="C74" s="32"/>
      <c r="D74" s="32"/>
      <c r="E74" s="32"/>
      <c r="F74" s="32"/>
      <c r="G74" s="32"/>
      <c r="H74" s="32"/>
      <c r="I74" s="32"/>
      <c r="J74" s="32"/>
      <c r="K74" s="32"/>
    </row>
    <row r="75" spans="1:12" s="12" customFormat="1" x14ac:dyDescent="0.25">
      <c r="A75" s="25" t="s">
        <v>318</v>
      </c>
      <c r="B75" s="35">
        <f>NPV(Assumption_Hatchery!C76,C70:K70)+B70</f>
        <v>123661.48381058803</v>
      </c>
      <c r="C75" s="40"/>
      <c r="D75" s="40"/>
      <c r="E75" s="40"/>
      <c r="F75" s="40"/>
      <c r="G75" s="40"/>
      <c r="H75" s="40"/>
      <c r="I75" s="40"/>
      <c r="J75" s="40"/>
      <c r="K75" s="40"/>
    </row>
    <row r="77" spans="1:12" s="12" customFormat="1" x14ac:dyDescent="0.25">
      <c r="A77" s="25" t="s">
        <v>238</v>
      </c>
      <c r="B77" s="36" t="e">
        <f>IRR(B70:K70)</f>
        <v>#NUM!</v>
      </c>
      <c r="C77" s="4"/>
      <c r="D77" s="4"/>
      <c r="E77" s="4"/>
      <c r="F77" s="4"/>
      <c r="G77" s="4"/>
      <c r="H77" s="4"/>
      <c r="I77" s="4"/>
      <c r="J77" s="4"/>
      <c r="K77" s="4"/>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025DC6-222F-4655-A638-540780E8D0A7}"/>
</file>

<file path=customXml/itemProps2.xml><?xml version="1.0" encoding="utf-8"?>
<ds:datastoreItem xmlns:ds="http://schemas.openxmlformats.org/officeDocument/2006/customXml" ds:itemID="{730D4614-C14E-44A3-9214-41FBB34801E7}">
  <ds:schemaRefs>
    <ds:schemaRef ds:uri="http://purl.org/dc/elements/1.1/"/>
    <ds:schemaRef ds:uri="http://schemas.microsoft.com/office/2006/metadata/properties"/>
    <ds:schemaRef ds:uri="765ce9ec-8dc2-4810-b47b-aff11b69c291"/>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9dbd42b-4e70-49db-9652-074cdc37e754"/>
    <ds:schemaRef ds:uri="a4080d2f-248d-41d9-867e-cfc4f0ff9883"/>
    <ds:schemaRef ds:uri="http://www.w3.org/XML/1998/namespace"/>
    <ds:schemaRef ds:uri="http://purl.org/dc/dcmitype/"/>
  </ds:schemaRefs>
</ds:datastoreItem>
</file>

<file path=customXml/itemProps3.xml><?xml version="1.0" encoding="utf-8"?>
<ds:datastoreItem xmlns:ds="http://schemas.openxmlformats.org/officeDocument/2006/customXml" ds:itemID="{60F2B65C-99B5-460A-947B-2AD1CD2A204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Economic Analyis_Summary</vt:lpstr>
      <vt:lpstr>Eco Assumption_Goat</vt:lpstr>
      <vt:lpstr>CFs Derivation_Goat</vt:lpstr>
      <vt:lpstr>Eco BaU_Goat</vt:lpstr>
      <vt:lpstr>Eco RCP 4.5_Goat</vt:lpstr>
      <vt:lpstr>Eco RCP 8.5_Goat</vt:lpstr>
      <vt:lpstr>Assumption_Vegatables</vt:lpstr>
      <vt:lpstr>CFs Derivation_Vegetables</vt:lpstr>
      <vt:lpstr>BaU_Vegetables</vt:lpstr>
      <vt:lpstr>RCP 4.5_Vegetables</vt:lpstr>
      <vt:lpstr>RCP 8.5_Vegetables</vt:lpstr>
      <vt:lpstr>Fin_BaU_CRAB Value</vt:lpstr>
      <vt:lpstr>Fin_RCP 4.5_CRAB Value</vt:lpstr>
      <vt:lpstr>Fin_RCP 8.5_CRAB Value</vt:lpstr>
      <vt:lpstr>Assumption_CRAB Value chain</vt:lpstr>
      <vt:lpstr>CFs Derivation_CRAB Value chain</vt:lpstr>
      <vt:lpstr>BaU_CRAB Value</vt:lpstr>
      <vt:lpstr>RCP 4.5_CRAB Value</vt:lpstr>
      <vt:lpstr>RCP 8.5_CRAB Value</vt:lpstr>
      <vt:lpstr>Assumption_Hatchery</vt:lpstr>
      <vt:lpstr>CFs Derivation_Hatchery</vt:lpstr>
      <vt:lpstr>BaU_Hatchery</vt:lpstr>
      <vt:lpstr>RCP 4.5_Hatchery</vt:lpstr>
      <vt:lpstr>RCP 8.5_Hatchery</vt:lpstr>
      <vt:lpstr>Assumption_Nursery</vt:lpstr>
      <vt:lpstr>CFs Derivation_Nursery</vt:lpstr>
      <vt:lpstr>BaU_Nursery</vt:lpstr>
      <vt:lpstr>RCP 4.5_Nursery</vt:lpstr>
      <vt:lpstr>RCP 8.5_Nursery</vt:lpstr>
      <vt:lpstr>Assumption_Fattening</vt:lpstr>
      <vt:lpstr>CFs Derivation_Fattening</vt:lpstr>
      <vt:lpstr>BaU_Fattening</vt:lpstr>
      <vt:lpstr>RCP 4.5_Fattening</vt:lpstr>
      <vt:lpstr>RCP 8.5_Fattening</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LENOVO</dc:creator>
  <cp:keywords/>
  <dc:description/>
  <cp:lastModifiedBy>rabbisadeque</cp:lastModifiedBy>
  <cp:revision/>
  <dcterms:created xsi:type="dcterms:W3CDTF">2015-06-05T18:17:20Z</dcterms:created>
  <dcterms:modified xsi:type="dcterms:W3CDTF">2023-05-30T12:18:19Z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