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defaultThemeVersion="166925"/>
  <mc:AlternateContent xmlns:mc="http://schemas.openxmlformats.org/markup-compatibility/2006">
    <mc:Choice Requires="x15">
      <x15ac:absPath xmlns:x15ac="http://schemas.microsoft.com/office/spreadsheetml/2010/11/ac" url="https://unfao-my.sharepoint.com/personal/sergio_hinojosaramos_fao_org/Documents/CBC/FP/Bolivia/20230209_FP package for Board approval/ANNEX_4_BUDGET/"/>
    </mc:Choice>
  </mc:AlternateContent>
  <xr:revisionPtr revIDLastSave="4" documentId="11_DC53469FEB2699FF53ED653C182AEE6E62AC6DB8" xr6:coauthVersionLast="47" xr6:coauthVersionMax="47" xr10:uidLastSave="{03C4D230-541E-4733-A723-2C25F4FC5E88}"/>
  <bookViews>
    <workbookView xWindow="30" yWindow="780" windowWidth="28770" windowHeight="15300" xr2:uid="{00000000-000D-0000-FFFF-FFFF00000000}"/>
  </bookViews>
  <sheets>
    <sheet name="DETAILED BUDGET PLAN" sheetId="1" r:id="rId1"/>
    <sheet name="Per category" sheetId="10" r:id="rId2"/>
    <sheet name="Component-year" sheetId="18" r:id="rId3"/>
    <sheet name="Budget Notes" sheetId="15" r:id="rId4"/>
    <sheet name="categories" sheetId="7" r:id="rId5"/>
    <sheet name="TOR-P3 staff" sheetId="16" r:id="rId6"/>
  </sheets>
  <definedNames>
    <definedName name="_xlnm._FilterDatabase" localSheetId="3" hidden="1">'Budget Notes'!$A$1:$G$97</definedName>
    <definedName name="_xlnm._FilterDatabase" localSheetId="0" hidden="1">'DETAILED BUDGET PLAN'!$B$7:$X$260</definedName>
    <definedName name="_ftn1" localSheetId="3">'Budget Notes'!#REF!</definedName>
    <definedName name="_ftnref1" localSheetId="3">'Budget Notes'!$G$71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8" i="18" l="1"/>
  <c r="J20" i="18"/>
  <c r="K20" i="18" s="1"/>
  <c r="J28" i="18"/>
  <c r="K28" i="18" s="1"/>
  <c r="K37" i="18"/>
  <c r="D39" i="18"/>
  <c r="E39" i="18"/>
  <c r="F39" i="18"/>
  <c r="G39" i="18"/>
  <c r="H39" i="18"/>
  <c r="I39" i="18"/>
  <c r="M40" i="18"/>
  <c r="D41" i="18"/>
  <c r="E41" i="18"/>
  <c r="F41" i="18"/>
  <c r="G41" i="18"/>
  <c r="H41" i="18"/>
  <c r="I41" i="18"/>
  <c r="M44" i="18"/>
  <c r="M48" i="18"/>
  <c r="D49" i="18"/>
  <c r="E49" i="18"/>
  <c r="F49" i="18"/>
  <c r="G49" i="18"/>
  <c r="H49" i="18"/>
  <c r="I49" i="18"/>
  <c r="J51" i="18"/>
  <c r="K51" i="18"/>
  <c r="D53" i="18"/>
  <c r="E53" i="18"/>
  <c r="F53" i="18"/>
  <c r="G53" i="18"/>
  <c r="H53" i="18"/>
  <c r="I53" i="18"/>
  <c r="M55" i="18"/>
  <c r="J57" i="18"/>
  <c r="K57" i="18" s="1"/>
  <c r="M57" i="18"/>
  <c r="L60" i="18"/>
  <c r="L61" i="18"/>
  <c r="L62" i="18"/>
  <c r="G79" i="18"/>
  <c r="E89" i="18"/>
  <c r="M62" i="18" l="1"/>
  <c r="J49" i="18"/>
  <c r="K49" i="18" s="1"/>
  <c r="J41" i="18"/>
  <c r="K41" i="18" s="1"/>
  <c r="J39" i="18"/>
  <c r="K39" i="18" s="1"/>
  <c r="J53" i="18"/>
  <c r="K53" i="18" s="1"/>
  <c r="C13" i="10"/>
  <c r="D6" i="10" s="1"/>
  <c r="P213" i="1"/>
  <c r="T213" i="1"/>
  <c r="R213" i="1"/>
  <c r="D10" i="10" l="1"/>
  <c r="D7" i="10"/>
  <c r="D5" i="10"/>
  <c r="D9" i="10"/>
  <c r="D8" i="10"/>
  <c r="D11" i="10"/>
  <c r="D12" i="10"/>
  <c r="D4" i="10"/>
  <c r="T211" i="1"/>
  <c r="R211" i="1"/>
  <c r="P211" i="1"/>
  <c r="N211" i="1"/>
  <c r="L211" i="1"/>
  <c r="D13" i="10" l="1"/>
  <c r="U211" i="1"/>
  <c r="T210" i="1" l="1"/>
  <c r="R210" i="1"/>
  <c r="P210" i="1"/>
  <c r="N210" i="1"/>
  <c r="L210" i="1"/>
  <c r="T246" i="1"/>
  <c r="R246" i="1"/>
  <c r="P246" i="1"/>
  <c r="N246" i="1"/>
  <c r="L246" i="1"/>
  <c r="L213" i="1"/>
  <c r="T214" i="1"/>
  <c r="R214" i="1"/>
  <c r="P214" i="1"/>
  <c r="N214" i="1"/>
  <c r="L214" i="1"/>
  <c r="N213" i="1"/>
  <c r="T212" i="1"/>
  <c r="R212" i="1"/>
  <c r="P212" i="1"/>
  <c r="N212" i="1"/>
  <c r="L212" i="1"/>
  <c r="T209" i="1"/>
  <c r="R209" i="1"/>
  <c r="R216" i="1" s="1"/>
  <c r="P209" i="1"/>
  <c r="N209" i="1"/>
  <c r="L209" i="1"/>
  <c r="T216" i="1" l="1"/>
  <c r="N216" i="1"/>
  <c r="L216" i="1"/>
  <c r="P216" i="1"/>
  <c r="P219" i="1"/>
  <c r="R219" i="1"/>
  <c r="T219" i="1"/>
  <c r="L219" i="1"/>
  <c r="N219" i="1"/>
  <c r="U246" i="1"/>
  <c r="U210" i="1"/>
  <c r="U212" i="1"/>
  <c r="U214" i="1"/>
  <c r="U213" i="1"/>
  <c r="U209" i="1"/>
  <c r="D27" i="18" l="1"/>
  <c r="D56" i="18"/>
  <c r="D10" i="18"/>
  <c r="E10" i="18"/>
  <c r="E27" i="18"/>
  <c r="E56" i="18"/>
  <c r="H56" i="18"/>
  <c r="H10" i="18"/>
  <c r="H27" i="18"/>
  <c r="G10" i="18"/>
  <c r="G27" i="18"/>
  <c r="G56" i="18"/>
  <c r="F10" i="18"/>
  <c r="F27" i="18"/>
  <c r="F56" i="18"/>
  <c r="U216" i="1"/>
  <c r="U219" i="1"/>
  <c r="T181" i="1"/>
  <c r="R181" i="1"/>
  <c r="P181" i="1"/>
  <c r="N181" i="1"/>
  <c r="T180" i="1"/>
  <c r="R180" i="1"/>
  <c r="P180" i="1"/>
  <c r="N180" i="1"/>
  <c r="T179" i="1"/>
  <c r="R179" i="1"/>
  <c r="P179" i="1"/>
  <c r="N179" i="1"/>
  <c r="T178" i="1"/>
  <c r="T177" i="1"/>
  <c r="R177" i="1"/>
  <c r="R178" i="1"/>
  <c r="L181" i="1"/>
  <c r="L179" i="1"/>
  <c r="L180" i="1"/>
  <c r="J56" i="18" l="1"/>
  <c r="J10" i="18"/>
  <c r="I27" i="18"/>
  <c r="I56" i="18"/>
  <c r="I10" i="18"/>
  <c r="J27" i="18"/>
  <c r="C22" i="10"/>
  <c r="C33" i="10" s="1"/>
  <c r="U180" i="1"/>
  <c r="U181" i="1"/>
  <c r="U179" i="1"/>
  <c r="E77" i="18" l="1"/>
  <c r="D77" i="18" s="1"/>
  <c r="C97" i="18"/>
  <c r="F97" i="18" s="1"/>
  <c r="K27" i="18"/>
  <c r="K10" i="18"/>
  <c r="K56" i="18"/>
  <c r="N178" i="1"/>
  <c r="P178" i="1"/>
  <c r="L178" i="1"/>
  <c r="P177" i="1"/>
  <c r="N177" i="1"/>
  <c r="L177" i="1"/>
  <c r="R176" i="1"/>
  <c r="P176" i="1"/>
  <c r="N176" i="1"/>
  <c r="L176" i="1"/>
  <c r="T176" i="1"/>
  <c r="U178" i="1" l="1"/>
  <c r="U177" i="1"/>
  <c r="U176" i="1"/>
  <c r="T137" i="1"/>
  <c r="R137" i="1"/>
  <c r="P137" i="1"/>
  <c r="N137" i="1"/>
  <c r="L137" i="1"/>
  <c r="T92" i="1"/>
  <c r="R92" i="1"/>
  <c r="P92" i="1"/>
  <c r="N92" i="1"/>
  <c r="L92" i="1"/>
  <c r="T41" i="1"/>
  <c r="R41" i="1"/>
  <c r="P41" i="1"/>
  <c r="N41" i="1"/>
  <c r="L41" i="1"/>
  <c r="U137" i="1" l="1"/>
  <c r="U92" i="1"/>
  <c r="U41" i="1"/>
  <c r="L140" i="1" l="1"/>
  <c r="L88" i="1" l="1"/>
  <c r="T136" i="1" l="1"/>
  <c r="R136" i="1"/>
  <c r="P136" i="1"/>
  <c r="N136" i="1"/>
  <c r="L136" i="1"/>
  <c r="L135" i="1"/>
  <c r="N135" i="1"/>
  <c r="P135" i="1"/>
  <c r="R135" i="1"/>
  <c r="T135" i="1"/>
  <c r="T18" i="1"/>
  <c r="R18" i="1"/>
  <c r="P18" i="1"/>
  <c r="N18" i="1"/>
  <c r="L18" i="1"/>
  <c r="T17" i="1"/>
  <c r="R17" i="1"/>
  <c r="P17" i="1"/>
  <c r="N17" i="1"/>
  <c r="L17" i="1"/>
  <c r="U136" i="1" l="1"/>
  <c r="U135" i="1"/>
  <c r="U18" i="1"/>
  <c r="U17" i="1"/>
  <c r="T12" i="1"/>
  <c r="R12" i="1"/>
  <c r="P12" i="1"/>
  <c r="N12" i="1"/>
  <c r="L12" i="1"/>
  <c r="U12" i="1" l="1"/>
  <c r="M114" i="1" l="1"/>
  <c r="N70" i="1" l="1"/>
  <c r="L24" i="1"/>
  <c r="L35" i="1"/>
  <c r="N14" i="1"/>
  <c r="L194" i="1"/>
  <c r="L67" i="1" l="1"/>
  <c r="L68" i="1"/>
  <c r="L69" i="1"/>
  <c r="L70" i="1"/>
  <c r="L71" i="1"/>
  <c r="L61" i="1"/>
  <c r="L62" i="1"/>
  <c r="L63" i="1"/>
  <c r="L64" i="1"/>
  <c r="L65" i="1"/>
  <c r="L47" i="1"/>
  <c r="L48" i="1"/>
  <c r="L49" i="1"/>
  <c r="L50" i="1"/>
  <c r="L51" i="1"/>
  <c r="L52" i="1"/>
  <c r="L53" i="1"/>
  <c r="L54" i="1"/>
  <c r="L55" i="1"/>
  <c r="L56" i="1"/>
  <c r="L57" i="1"/>
  <c r="L58" i="1"/>
  <c r="L59" i="1"/>
  <c r="L26" i="1"/>
  <c r="L27" i="1"/>
  <c r="L28" i="1"/>
  <c r="L29" i="1"/>
  <c r="L30" i="1"/>
  <c r="L31" i="1"/>
  <c r="L32" i="1"/>
  <c r="L33" i="1"/>
  <c r="L34" i="1"/>
  <c r="L36" i="1"/>
  <c r="L37" i="1"/>
  <c r="L38" i="1"/>
  <c r="L39" i="1"/>
  <c r="L40" i="1"/>
  <c r="L8" i="1"/>
  <c r="L9" i="1"/>
  <c r="L10" i="1"/>
  <c r="L11" i="1"/>
  <c r="L13" i="1"/>
  <c r="L14" i="1"/>
  <c r="L15" i="1"/>
  <c r="L16" i="1"/>
  <c r="L19" i="1"/>
  <c r="L20" i="1"/>
  <c r="L21" i="1"/>
  <c r="L22" i="1"/>
  <c r="L23" i="1"/>
  <c r="N67" i="1"/>
  <c r="N68" i="1"/>
  <c r="N69" i="1"/>
  <c r="N71" i="1"/>
  <c r="N61" i="1"/>
  <c r="N62" i="1"/>
  <c r="N63" i="1"/>
  <c r="N64" i="1"/>
  <c r="N65" i="1"/>
  <c r="N47" i="1"/>
  <c r="N48" i="1"/>
  <c r="N49" i="1"/>
  <c r="N50" i="1"/>
  <c r="N51" i="1"/>
  <c r="N52" i="1"/>
  <c r="N53" i="1"/>
  <c r="N54" i="1"/>
  <c r="N55" i="1"/>
  <c r="N56" i="1"/>
  <c r="N57" i="1"/>
  <c r="N58" i="1"/>
  <c r="N59" i="1"/>
  <c r="N26" i="1"/>
  <c r="N27" i="1"/>
  <c r="N28" i="1"/>
  <c r="N29" i="1"/>
  <c r="N30" i="1"/>
  <c r="N31" i="1"/>
  <c r="N32" i="1"/>
  <c r="N33" i="1"/>
  <c r="N34" i="1"/>
  <c r="N35" i="1"/>
  <c r="N36" i="1"/>
  <c r="N37" i="1"/>
  <c r="N38" i="1"/>
  <c r="N39" i="1"/>
  <c r="N40" i="1"/>
  <c r="N8" i="1"/>
  <c r="N9" i="1"/>
  <c r="N10" i="1"/>
  <c r="N11" i="1"/>
  <c r="N13" i="1"/>
  <c r="N15" i="1"/>
  <c r="N16" i="1"/>
  <c r="N19" i="1"/>
  <c r="N20" i="1"/>
  <c r="N21" i="1"/>
  <c r="N22" i="1"/>
  <c r="N23" i="1"/>
  <c r="N24" i="1"/>
  <c r="P67" i="1"/>
  <c r="P68" i="1"/>
  <c r="P69" i="1"/>
  <c r="P70" i="1"/>
  <c r="P71" i="1"/>
  <c r="P61" i="1"/>
  <c r="P62" i="1"/>
  <c r="P63" i="1"/>
  <c r="P64" i="1"/>
  <c r="P65" i="1"/>
  <c r="P47" i="1"/>
  <c r="P48" i="1"/>
  <c r="P49" i="1"/>
  <c r="P50" i="1"/>
  <c r="P51" i="1"/>
  <c r="P52" i="1"/>
  <c r="P53" i="1"/>
  <c r="P54" i="1"/>
  <c r="P55" i="1"/>
  <c r="P56" i="1"/>
  <c r="P57" i="1"/>
  <c r="P58" i="1"/>
  <c r="P59" i="1"/>
  <c r="P26" i="1"/>
  <c r="P27" i="1"/>
  <c r="P28" i="1"/>
  <c r="P29" i="1"/>
  <c r="P30" i="1"/>
  <c r="P31" i="1"/>
  <c r="P32" i="1"/>
  <c r="P33" i="1"/>
  <c r="P34" i="1"/>
  <c r="P35" i="1"/>
  <c r="P36" i="1"/>
  <c r="P37" i="1"/>
  <c r="P38" i="1"/>
  <c r="P39" i="1"/>
  <c r="P40" i="1"/>
  <c r="P8" i="1"/>
  <c r="P9" i="1"/>
  <c r="P10" i="1"/>
  <c r="P11" i="1"/>
  <c r="P13" i="1"/>
  <c r="P14" i="1"/>
  <c r="P15" i="1"/>
  <c r="P16" i="1"/>
  <c r="P19" i="1"/>
  <c r="P20" i="1"/>
  <c r="P21" i="1"/>
  <c r="P22" i="1"/>
  <c r="P23" i="1"/>
  <c r="P24" i="1"/>
  <c r="R67" i="1"/>
  <c r="R68" i="1"/>
  <c r="R69" i="1"/>
  <c r="R70" i="1"/>
  <c r="R71" i="1"/>
  <c r="R61" i="1"/>
  <c r="R62" i="1"/>
  <c r="R63" i="1"/>
  <c r="R64" i="1"/>
  <c r="R65" i="1"/>
  <c r="R47" i="1"/>
  <c r="R48" i="1"/>
  <c r="R49" i="1"/>
  <c r="R50" i="1"/>
  <c r="R51" i="1"/>
  <c r="R52" i="1"/>
  <c r="R53" i="1"/>
  <c r="R54" i="1"/>
  <c r="R55" i="1"/>
  <c r="R56" i="1"/>
  <c r="R57" i="1"/>
  <c r="R58" i="1"/>
  <c r="R59" i="1"/>
  <c r="R26" i="1"/>
  <c r="R27" i="1"/>
  <c r="R28" i="1"/>
  <c r="R29" i="1"/>
  <c r="R30" i="1"/>
  <c r="R31" i="1"/>
  <c r="R32" i="1"/>
  <c r="R33" i="1"/>
  <c r="R34" i="1"/>
  <c r="R35" i="1"/>
  <c r="R36" i="1"/>
  <c r="R37" i="1"/>
  <c r="R38" i="1"/>
  <c r="R39" i="1"/>
  <c r="R40" i="1"/>
  <c r="R8" i="1"/>
  <c r="R9" i="1"/>
  <c r="R10" i="1"/>
  <c r="R11" i="1"/>
  <c r="R13" i="1"/>
  <c r="R14" i="1"/>
  <c r="R15" i="1"/>
  <c r="R16" i="1"/>
  <c r="R19" i="1"/>
  <c r="R20" i="1"/>
  <c r="R21" i="1"/>
  <c r="R22" i="1"/>
  <c r="R23" i="1"/>
  <c r="R24" i="1"/>
  <c r="T67" i="1"/>
  <c r="T68" i="1"/>
  <c r="T69" i="1"/>
  <c r="T70" i="1"/>
  <c r="T71" i="1"/>
  <c r="T61" i="1"/>
  <c r="T62" i="1"/>
  <c r="T63" i="1"/>
  <c r="T64" i="1"/>
  <c r="T65" i="1"/>
  <c r="T47" i="1"/>
  <c r="T48" i="1"/>
  <c r="T49" i="1"/>
  <c r="T50" i="1"/>
  <c r="T51" i="1"/>
  <c r="T52" i="1"/>
  <c r="T53" i="1"/>
  <c r="T54" i="1"/>
  <c r="T55" i="1"/>
  <c r="T56" i="1"/>
  <c r="T57" i="1"/>
  <c r="T58" i="1"/>
  <c r="T59" i="1"/>
  <c r="T26" i="1"/>
  <c r="T28" i="1"/>
  <c r="T29" i="1"/>
  <c r="T30" i="1"/>
  <c r="T31" i="1"/>
  <c r="T32" i="1"/>
  <c r="T33" i="1"/>
  <c r="T34" i="1"/>
  <c r="T35" i="1"/>
  <c r="T36" i="1"/>
  <c r="T37" i="1"/>
  <c r="T38" i="1"/>
  <c r="T39" i="1"/>
  <c r="T40" i="1"/>
  <c r="T8" i="1"/>
  <c r="T9" i="1"/>
  <c r="T10" i="1"/>
  <c r="T11" i="1"/>
  <c r="T13" i="1"/>
  <c r="T14" i="1"/>
  <c r="T15" i="1"/>
  <c r="T16" i="1"/>
  <c r="T19" i="1"/>
  <c r="T20" i="1"/>
  <c r="T21" i="1"/>
  <c r="T22" i="1"/>
  <c r="T23" i="1"/>
  <c r="T24" i="1"/>
  <c r="L121" i="1"/>
  <c r="L127" i="1" s="1"/>
  <c r="L122" i="1"/>
  <c r="L123" i="1"/>
  <c r="L115" i="1"/>
  <c r="L116" i="1"/>
  <c r="L117" i="1"/>
  <c r="L118" i="1"/>
  <c r="L119" i="1"/>
  <c r="L111" i="1"/>
  <c r="L126" i="1" s="1"/>
  <c r="L112" i="1"/>
  <c r="L113" i="1"/>
  <c r="L100" i="1"/>
  <c r="L101" i="1"/>
  <c r="L102" i="1"/>
  <c r="L103" i="1"/>
  <c r="L104" i="1"/>
  <c r="L105" i="1"/>
  <c r="L106" i="1"/>
  <c r="L107" i="1"/>
  <c r="L108" i="1"/>
  <c r="L109" i="1"/>
  <c r="L94" i="1"/>
  <c r="L95" i="1" s="1"/>
  <c r="L87" i="1"/>
  <c r="L89" i="1"/>
  <c r="L91" i="1"/>
  <c r="L81" i="1"/>
  <c r="L82" i="1"/>
  <c r="L83" i="1"/>
  <c r="L84" i="1"/>
  <c r="L85" i="1"/>
  <c r="N121" i="1"/>
  <c r="N122" i="1"/>
  <c r="N123" i="1"/>
  <c r="N115" i="1"/>
  <c r="N116" i="1"/>
  <c r="N117" i="1"/>
  <c r="N118" i="1"/>
  <c r="N119" i="1"/>
  <c r="N111" i="1"/>
  <c r="N112" i="1"/>
  <c r="N113" i="1"/>
  <c r="N100" i="1"/>
  <c r="N101" i="1"/>
  <c r="N102" i="1"/>
  <c r="N103" i="1"/>
  <c r="N104" i="1"/>
  <c r="N105" i="1"/>
  <c r="N106" i="1"/>
  <c r="N107" i="1"/>
  <c r="N108" i="1"/>
  <c r="N109" i="1"/>
  <c r="N94" i="1"/>
  <c r="N95" i="1" s="1"/>
  <c r="N87" i="1"/>
  <c r="N88" i="1"/>
  <c r="N89" i="1"/>
  <c r="N90" i="1"/>
  <c r="N91" i="1"/>
  <c r="N81" i="1"/>
  <c r="N82" i="1"/>
  <c r="N83" i="1"/>
  <c r="N84" i="1"/>
  <c r="N85" i="1"/>
  <c r="P121" i="1"/>
  <c r="P122" i="1"/>
  <c r="P123" i="1"/>
  <c r="P115" i="1"/>
  <c r="P116" i="1"/>
  <c r="P117" i="1"/>
  <c r="P118" i="1"/>
  <c r="P119" i="1"/>
  <c r="P111" i="1"/>
  <c r="P112" i="1"/>
  <c r="P113" i="1"/>
  <c r="P100" i="1"/>
  <c r="P101" i="1"/>
  <c r="P102" i="1"/>
  <c r="P103" i="1"/>
  <c r="P104" i="1"/>
  <c r="P105" i="1"/>
  <c r="P106" i="1"/>
  <c r="P107" i="1"/>
  <c r="P108" i="1"/>
  <c r="P109" i="1"/>
  <c r="P94" i="1"/>
  <c r="P95" i="1" s="1"/>
  <c r="P87" i="1"/>
  <c r="P88" i="1"/>
  <c r="P89" i="1"/>
  <c r="P90" i="1"/>
  <c r="P91" i="1"/>
  <c r="P81" i="1"/>
  <c r="P82" i="1"/>
  <c r="P83" i="1"/>
  <c r="P84" i="1"/>
  <c r="P85" i="1"/>
  <c r="R121" i="1"/>
  <c r="R122" i="1"/>
  <c r="R123" i="1"/>
  <c r="R115" i="1"/>
  <c r="R116" i="1"/>
  <c r="R117" i="1"/>
  <c r="R118" i="1"/>
  <c r="R119" i="1"/>
  <c r="R111" i="1"/>
  <c r="R112" i="1"/>
  <c r="R113" i="1"/>
  <c r="R100" i="1"/>
  <c r="R101" i="1"/>
  <c r="R102" i="1"/>
  <c r="R103" i="1"/>
  <c r="R104" i="1"/>
  <c r="R105" i="1"/>
  <c r="R106" i="1"/>
  <c r="R107" i="1"/>
  <c r="R108" i="1"/>
  <c r="R109" i="1"/>
  <c r="R94" i="1"/>
  <c r="R95" i="1" s="1"/>
  <c r="R87" i="1"/>
  <c r="R88" i="1"/>
  <c r="R89" i="1"/>
  <c r="R90" i="1"/>
  <c r="R91" i="1"/>
  <c r="R81" i="1"/>
  <c r="R82" i="1"/>
  <c r="R83" i="1"/>
  <c r="R84" i="1"/>
  <c r="R85" i="1"/>
  <c r="T121" i="1"/>
  <c r="T122" i="1"/>
  <c r="T123" i="1"/>
  <c r="T115" i="1"/>
  <c r="T116" i="1"/>
  <c r="T117" i="1"/>
  <c r="T118" i="1"/>
  <c r="T119" i="1"/>
  <c r="T111" i="1"/>
  <c r="T112" i="1"/>
  <c r="T113" i="1"/>
  <c r="T100" i="1"/>
  <c r="T101" i="1"/>
  <c r="T102" i="1"/>
  <c r="T103" i="1"/>
  <c r="T104" i="1"/>
  <c r="T105" i="1"/>
  <c r="T106" i="1"/>
  <c r="T107" i="1"/>
  <c r="T108" i="1"/>
  <c r="T109" i="1"/>
  <c r="T94" i="1"/>
  <c r="T95" i="1" s="1"/>
  <c r="T87" i="1"/>
  <c r="T88" i="1"/>
  <c r="T89" i="1"/>
  <c r="T90" i="1"/>
  <c r="T91" i="1"/>
  <c r="T81" i="1"/>
  <c r="T82" i="1"/>
  <c r="T83" i="1"/>
  <c r="T84" i="1"/>
  <c r="T85" i="1"/>
  <c r="L148" i="1"/>
  <c r="L149" i="1"/>
  <c r="L150" i="1"/>
  <c r="L151" i="1"/>
  <c r="L152" i="1"/>
  <c r="L139" i="1"/>
  <c r="L141" i="1"/>
  <c r="L142" i="1"/>
  <c r="L159" i="1" s="1"/>
  <c r="L133" i="1"/>
  <c r="L134" i="1"/>
  <c r="N148" i="1"/>
  <c r="N149" i="1"/>
  <c r="N150" i="1"/>
  <c r="N151" i="1"/>
  <c r="N152" i="1"/>
  <c r="N139" i="1"/>
  <c r="N140" i="1"/>
  <c r="N141" i="1"/>
  <c r="N142" i="1"/>
  <c r="N159" i="1" s="1"/>
  <c r="N133" i="1"/>
  <c r="N134" i="1"/>
  <c r="P148" i="1"/>
  <c r="P149" i="1"/>
  <c r="P150" i="1"/>
  <c r="P151" i="1"/>
  <c r="P152" i="1"/>
  <c r="P139" i="1"/>
  <c r="P140" i="1"/>
  <c r="P145" i="1" s="1"/>
  <c r="F47" i="18" s="1"/>
  <c r="P141" i="1"/>
  <c r="P142" i="1"/>
  <c r="P159" i="1" s="1"/>
  <c r="P133" i="1"/>
  <c r="P134" i="1"/>
  <c r="R148" i="1"/>
  <c r="R149" i="1"/>
  <c r="R150" i="1"/>
  <c r="R151" i="1"/>
  <c r="R152" i="1"/>
  <c r="R139" i="1"/>
  <c r="R140" i="1"/>
  <c r="R141" i="1"/>
  <c r="R142" i="1"/>
  <c r="R159" i="1" s="1"/>
  <c r="R133" i="1"/>
  <c r="R134" i="1"/>
  <c r="T148" i="1"/>
  <c r="T149" i="1"/>
  <c r="T150" i="1"/>
  <c r="T151" i="1"/>
  <c r="T152" i="1"/>
  <c r="T139" i="1"/>
  <c r="T140" i="1"/>
  <c r="T141" i="1"/>
  <c r="T142" i="1"/>
  <c r="T133" i="1"/>
  <c r="T134" i="1"/>
  <c r="L197" i="1"/>
  <c r="L199" i="1"/>
  <c r="L193" i="1"/>
  <c r="L195" i="1"/>
  <c r="L190" i="1"/>
  <c r="L191" i="1"/>
  <c r="L188" i="1"/>
  <c r="L162" i="1"/>
  <c r="L163" i="1"/>
  <c r="U163" i="1" s="1"/>
  <c r="L175" i="1"/>
  <c r="L182" i="1"/>
  <c r="L169" i="1"/>
  <c r="L170" i="1"/>
  <c r="L171" i="1"/>
  <c r="L172" i="1"/>
  <c r="L173" i="1"/>
  <c r="N197" i="1"/>
  <c r="N199" i="1"/>
  <c r="N193" i="1"/>
  <c r="N194" i="1"/>
  <c r="N195" i="1"/>
  <c r="N190" i="1"/>
  <c r="N191" i="1"/>
  <c r="N188" i="1"/>
  <c r="N162" i="1"/>
  <c r="N175" i="1"/>
  <c r="N169" i="1"/>
  <c r="N170" i="1"/>
  <c r="N171" i="1"/>
  <c r="N172" i="1"/>
  <c r="N173" i="1"/>
  <c r="P197" i="1"/>
  <c r="P199" i="1"/>
  <c r="P198" i="1"/>
  <c r="P193" i="1"/>
  <c r="P194" i="1"/>
  <c r="P195" i="1"/>
  <c r="P190" i="1"/>
  <c r="P191" i="1"/>
  <c r="P189" i="1"/>
  <c r="P162" i="1"/>
  <c r="P175" i="1"/>
  <c r="P169" i="1"/>
  <c r="P170" i="1"/>
  <c r="P171" i="1"/>
  <c r="P172" i="1"/>
  <c r="P173" i="1"/>
  <c r="R197" i="1"/>
  <c r="R199" i="1"/>
  <c r="R193" i="1"/>
  <c r="R194" i="1"/>
  <c r="R195" i="1"/>
  <c r="R190" i="1"/>
  <c r="R191" i="1"/>
  <c r="R189" i="1"/>
  <c r="R162" i="1"/>
  <c r="R175" i="1"/>
  <c r="R169" i="1"/>
  <c r="R170" i="1"/>
  <c r="R171" i="1"/>
  <c r="R172" i="1"/>
  <c r="R173" i="1"/>
  <c r="T197" i="1"/>
  <c r="T199" i="1"/>
  <c r="T193" i="1"/>
  <c r="T194" i="1"/>
  <c r="T195" i="1"/>
  <c r="T190" i="1"/>
  <c r="T191" i="1"/>
  <c r="T189" i="1"/>
  <c r="T162" i="1"/>
  <c r="T175" i="1"/>
  <c r="T182" i="1"/>
  <c r="T169" i="1"/>
  <c r="T170" i="1"/>
  <c r="T171" i="1"/>
  <c r="T172" i="1"/>
  <c r="T173" i="1"/>
  <c r="L198" i="1"/>
  <c r="N198" i="1"/>
  <c r="R198" i="1"/>
  <c r="T198" i="1"/>
  <c r="L244" i="1"/>
  <c r="L245" i="1"/>
  <c r="L247" i="1"/>
  <c r="L248" i="1"/>
  <c r="L250" i="1"/>
  <c r="L220" i="1"/>
  <c r="L221" i="1"/>
  <c r="L222" i="1"/>
  <c r="L223" i="1"/>
  <c r="L224" i="1"/>
  <c r="L225" i="1"/>
  <c r="L226" i="1"/>
  <c r="L227" i="1"/>
  <c r="L228" i="1"/>
  <c r="L229" i="1"/>
  <c r="L230" i="1"/>
  <c r="L231" i="1"/>
  <c r="L232" i="1"/>
  <c r="L233" i="1"/>
  <c r="L234" i="1"/>
  <c r="L235" i="1"/>
  <c r="L236" i="1"/>
  <c r="L237" i="1"/>
  <c r="L238" i="1"/>
  <c r="L239" i="1"/>
  <c r="L240" i="1"/>
  <c r="L241" i="1"/>
  <c r="L242" i="1"/>
  <c r="N244" i="1"/>
  <c r="N245" i="1"/>
  <c r="N247" i="1"/>
  <c r="N248" i="1"/>
  <c r="N250" i="1"/>
  <c r="N220" i="1"/>
  <c r="N221" i="1"/>
  <c r="N222" i="1"/>
  <c r="N223" i="1"/>
  <c r="N224" i="1"/>
  <c r="N225" i="1"/>
  <c r="N226" i="1"/>
  <c r="N227" i="1"/>
  <c r="N228" i="1"/>
  <c r="N229" i="1"/>
  <c r="N230" i="1"/>
  <c r="N231" i="1"/>
  <c r="N232" i="1"/>
  <c r="N233" i="1"/>
  <c r="N234" i="1"/>
  <c r="N235" i="1"/>
  <c r="N236" i="1"/>
  <c r="N237" i="1"/>
  <c r="N238" i="1"/>
  <c r="N239" i="1"/>
  <c r="N240" i="1"/>
  <c r="N241" i="1"/>
  <c r="N242" i="1"/>
  <c r="P244" i="1"/>
  <c r="P245" i="1"/>
  <c r="P247" i="1"/>
  <c r="P248" i="1"/>
  <c r="P250" i="1"/>
  <c r="P220" i="1"/>
  <c r="P221" i="1"/>
  <c r="P222" i="1"/>
  <c r="P223" i="1"/>
  <c r="P224" i="1"/>
  <c r="P225" i="1"/>
  <c r="P226" i="1"/>
  <c r="P227" i="1"/>
  <c r="P228" i="1"/>
  <c r="P229" i="1"/>
  <c r="P230" i="1"/>
  <c r="P231" i="1"/>
  <c r="P232" i="1"/>
  <c r="P233" i="1"/>
  <c r="P234" i="1"/>
  <c r="P235" i="1"/>
  <c r="P236" i="1"/>
  <c r="P237" i="1"/>
  <c r="P238" i="1"/>
  <c r="P239" i="1"/>
  <c r="P240" i="1"/>
  <c r="P241" i="1"/>
  <c r="P242" i="1"/>
  <c r="R244" i="1"/>
  <c r="R245" i="1"/>
  <c r="R247" i="1"/>
  <c r="R248" i="1"/>
  <c r="R250" i="1"/>
  <c r="R220" i="1"/>
  <c r="R221" i="1"/>
  <c r="R222" i="1"/>
  <c r="R223" i="1"/>
  <c r="R224" i="1"/>
  <c r="R225" i="1"/>
  <c r="R226" i="1"/>
  <c r="R227" i="1"/>
  <c r="R228" i="1"/>
  <c r="R229" i="1"/>
  <c r="R230" i="1"/>
  <c r="R231" i="1"/>
  <c r="R232" i="1"/>
  <c r="R233" i="1"/>
  <c r="R234" i="1"/>
  <c r="R235" i="1"/>
  <c r="R236" i="1"/>
  <c r="R237" i="1"/>
  <c r="R238" i="1"/>
  <c r="R239" i="1"/>
  <c r="R240" i="1"/>
  <c r="R241" i="1"/>
  <c r="R242" i="1"/>
  <c r="T244" i="1"/>
  <c r="T245" i="1"/>
  <c r="T247" i="1"/>
  <c r="T248" i="1"/>
  <c r="T250" i="1"/>
  <c r="T220" i="1"/>
  <c r="T221" i="1"/>
  <c r="T222" i="1"/>
  <c r="T223" i="1"/>
  <c r="T224" i="1"/>
  <c r="T225" i="1"/>
  <c r="T226" i="1"/>
  <c r="T227" i="1"/>
  <c r="T228" i="1"/>
  <c r="T229" i="1"/>
  <c r="T230" i="1"/>
  <c r="T231" i="1"/>
  <c r="T232" i="1"/>
  <c r="T233" i="1"/>
  <c r="T234" i="1"/>
  <c r="T235" i="1"/>
  <c r="T236" i="1"/>
  <c r="T237" i="1"/>
  <c r="T238" i="1"/>
  <c r="T239" i="1"/>
  <c r="T240" i="1"/>
  <c r="T241" i="1"/>
  <c r="T242" i="1"/>
  <c r="J249" i="1"/>
  <c r="M124" i="1"/>
  <c r="O124" i="1"/>
  <c r="Q124" i="1"/>
  <c r="S124" i="1"/>
  <c r="O114" i="1"/>
  <c r="Q114" i="1"/>
  <c r="S114" i="1"/>
  <c r="V174" i="1"/>
  <c r="V183" i="1" s="1"/>
  <c r="V153" i="1"/>
  <c r="V164" i="1" s="1"/>
  <c r="V138" i="1"/>
  <c r="V143" i="1" s="1"/>
  <c r="T145" i="1" l="1"/>
  <c r="H47" i="18" s="1"/>
  <c r="D45" i="18"/>
  <c r="R145" i="1"/>
  <c r="G47" i="18" s="1"/>
  <c r="L145" i="1"/>
  <c r="D47" i="18" s="1"/>
  <c r="N145" i="1"/>
  <c r="E47" i="18" s="1"/>
  <c r="T159" i="1"/>
  <c r="T126" i="1"/>
  <c r="T127" i="1"/>
  <c r="R126" i="1"/>
  <c r="R127" i="1"/>
  <c r="P126" i="1"/>
  <c r="P127" i="1"/>
  <c r="N126" i="1"/>
  <c r="N127" i="1"/>
  <c r="T97" i="1"/>
  <c r="L97" i="1"/>
  <c r="D43" i="18" s="1"/>
  <c r="L131" i="1"/>
  <c r="T131" i="1"/>
  <c r="R131" i="1"/>
  <c r="P131" i="1"/>
  <c r="N131" i="1"/>
  <c r="R201" i="1"/>
  <c r="G54" i="18" s="1"/>
  <c r="N201" i="1"/>
  <c r="E54" i="18" s="1"/>
  <c r="L201" i="1"/>
  <c r="D54" i="18" s="1"/>
  <c r="U133" i="1"/>
  <c r="P201" i="1"/>
  <c r="F54" i="18" s="1"/>
  <c r="T201" i="1"/>
  <c r="H54" i="18" s="1"/>
  <c r="L96" i="1"/>
  <c r="T96" i="1"/>
  <c r="H42" i="18" s="1"/>
  <c r="R96" i="1"/>
  <c r="G42" i="18" s="1"/>
  <c r="P96" i="1"/>
  <c r="F42" i="18" s="1"/>
  <c r="N96" i="1"/>
  <c r="E42" i="18" s="1"/>
  <c r="U239" i="1"/>
  <c r="T183" i="1"/>
  <c r="N182" i="1"/>
  <c r="L183" i="1"/>
  <c r="T125" i="1"/>
  <c r="H44" i="18" s="1"/>
  <c r="R86" i="1"/>
  <c r="T86" i="1"/>
  <c r="T93" i="1"/>
  <c r="P93" i="1"/>
  <c r="N93" i="1"/>
  <c r="R200" i="1"/>
  <c r="R138" i="1"/>
  <c r="R144" i="1" s="1"/>
  <c r="T200" i="1"/>
  <c r="T138" i="1"/>
  <c r="T144" i="1" s="1"/>
  <c r="L93" i="1"/>
  <c r="D42" i="18" s="1"/>
  <c r="P200" i="1"/>
  <c r="L203" i="1"/>
  <c r="D55" i="18" s="1"/>
  <c r="N200" i="1"/>
  <c r="L200" i="1"/>
  <c r="T153" i="1"/>
  <c r="T158" i="1" s="1"/>
  <c r="T72" i="1"/>
  <c r="N138" i="1"/>
  <c r="N144" i="1" s="1"/>
  <c r="L243" i="1"/>
  <c r="L138" i="1"/>
  <c r="L143" i="1"/>
  <c r="D24" i="18" s="1"/>
  <c r="P138" i="1"/>
  <c r="P144" i="1" s="1"/>
  <c r="E12" i="10"/>
  <c r="E4" i="10"/>
  <c r="E9" i="10"/>
  <c r="E6" i="10"/>
  <c r="E11" i="10"/>
  <c r="E10" i="10"/>
  <c r="E8" i="10"/>
  <c r="E7" i="10"/>
  <c r="E5" i="10"/>
  <c r="U221" i="1"/>
  <c r="P203" i="1"/>
  <c r="F55" i="18" s="1"/>
  <c r="N203" i="1"/>
  <c r="E55" i="18" s="1"/>
  <c r="R203" i="1"/>
  <c r="G55" i="18" s="1"/>
  <c r="R97" i="1"/>
  <c r="L25" i="1"/>
  <c r="T203" i="1"/>
  <c r="H55" i="18" s="1"/>
  <c r="N125" i="1"/>
  <c r="E44" i="18" s="1"/>
  <c r="R125" i="1"/>
  <c r="G44" i="18" s="1"/>
  <c r="P125" i="1"/>
  <c r="F44" i="18" s="1"/>
  <c r="P97" i="1"/>
  <c r="N97" i="1"/>
  <c r="N189" i="1"/>
  <c r="P154" i="1"/>
  <c r="F48" i="18" s="1"/>
  <c r="N154" i="1"/>
  <c r="E48" i="18" s="1"/>
  <c r="L154" i="1"/>
  <c r="D48" i="18" s="1"/>
  <c r="L125" i="1"/>
  <c r="D44" i="18" s="1"/>
  <c r="P164" i="1"/>
  <c r="P165" i="1" s="1"/>
  <c r="P168" i="1" s="1"/>
  <c r="F50" i="18" s="1"/>
  <c r="N164" i="1"/>
  <c r="N165" i="1" s="1"/>
  <c r="N168" i="1" s="1"/>
  <c r="E50" i="18" s="1"/>
  <c r="R164" i="1"/>
  <c r="R165" i="1" s="1"/>
  <c r="R168" i="1" s="1"/>
  <c r="G50" i="18" s="1"/>
  <c r="T154" i="1"/>
  <c r="H48" i="18" s="1"/>
  <c r="R154" i="1"/>
  <c r="G48" i="18" s="1"/>
  <c r="L249" i="1"/>
  <c r="L251" i="1" s="1"/>
  <c r="N249" i="1"/>
  <c r="N251" i="1" s="1"/>
  <c r="P249" i="1"/>
  <c r="P251" i="1" s="1"/>
  <c r="R249" i="1"/>
  <c r="R251" i="1" s="1"/>
  <c r="T249" i="1"/>
  <c r="T251" i="1" s="1"/>
  <c r="U227" i="1"/>
  <c r="P143" i="1"/>
  <c r="F24" i="18" s="1"/>
  <c r="L124" i="1"/>
  <c r="U188" i="1"/>
  <c r="P124" i="1"/>
  <c r="U38" i="1"/>
  <c r="U103" i="1"/>
  <c r="T25" i="1"/>
  <c r="U58" i="1"/>
  <c r="P192" i="1"/>
  <c r="U150" i="1"/>
  <c r="U70" i="1"/>
  <c r="U194" i="1"/>
  <c r="U102" i="1"/>
  <c r="U119" i="1"/>
  <c r="N114" i="1"/>
  <c r="U122" i="1"/>
  <c r="U108" i="1"/>
  <c r="U100" i="1"/>
  <c r="U65" i="1"/>
  <c r="U51" i="1"/>
  <c r="L60" i="1"/>
  <c r="U141" i="1"/>
  <c r="U84" i="1"/>
  <c r="N66" i="1"/>
  <c r="U30" i="1"/>
  <c r="N196" i="1"/>
  <c r="E26" i="18" s="1"/>
  <c r="N60" i="1"/>
  <c r="T192" i="1"/>
  <c r="L164" i="1"/>
  <c r="L165" i="1" s="1"/>
  <c r="L168" i="1" s="1"/>
  <c r="D50" i="18" s="1"/>
  <c r="U199" i="1"/>
  <c r="U16" i="1"/>
  <c r="U22" i="1"/>
  <c r="U71" i="1"/>
  <c r="L72" i="1"/>
  <c r="U19" i="1"/>
  <c r="U9" i="1"/>
  <c r="U37" i="1"/>
  <c r="U29" i="1"/>
  <c r="R72" i="1"/>
  <c r="L66" i="1"/>
  <c r="U237" i="1"/>
  <c r="R196" i="1"/>
  <c r="G26" i="18" s="1"/>
  <c r="U171" i="1"/>
  <c r="L189" i="1"/>
  <c r="U152" i="1"/>
  <c r="U142" i="1"/>
  <c r="T42" i="1"/>
  <c r="P196" i="1"/>
  <c r="F26" i="18" s="1"/>
  <c r="U118" i="1"/>
  <c r="N86" i="1"/>
  <c r="U90" i="1"/>
  <c r="U107" i="1"/>
  <c r="U94" i="1"/>
  <c r="U95" i="1" s="1"/>
  <c r="U89" i="1"/>
  <c r="U229" i="1"/>
  <c r="U245" i="1"/>
  <c r="U109" i="1"/>
  <c r="U238" i="1"/>
  <c r="U230" i="1"/>
  <c r="U235" i="1"/>
  <c r="T124" i="1"/>
  <c r="U117" i="1"/>
  <c r="U52" i="1"/>
  <c r="T243" i="1"/>
  <c r="P243" i="1"/>
  <c r="U59" i="1"/>
  <c r="R192" i="1"/>
  <c r="P110" i="1"/>
  <c r="R60" i="1"/>
  <c r="U39" i="1"/>
  <c r="U31" i="1"/>
  <c r="U53" i="1"/>
  <c r="T196" i="1"/>
  <c r="H26" i="18" s="1"/>
  <c r="L192" i="1"/>
  <c r="R114" i="1"/>
  <c r="P120" i="1"/>
  <c r="U88" i="1"/>
  <c r="U8" i="1"/>
  <c r="U20" i="1"/>
  <c r="U10" i="1"/>
  <c r="R110" i="1"/>
  <c r="U236" i="1"/>
  <c r="T143" i="1"/>
  <c r="H24" i="18" s="1"/>
  <c r="U224" i="1"/>
  <c r="U197" i="1"/>
  <c r="U195" i="1"/>
  <c r="U173" i="1"/>
  <c r="R124" i="1"/>
  <c r="U83" i="1"/>
  <c r="T60" i="1"/>
  <c r="R25" i="1"/>
  <c r="U231" i="1"/>
  <c r="U223" i="1"/>
  <c r="P174" i="1"/>
  <c r="U172" i="1"/>
  <c r="N153" i="1"/>
  <c r="N158" i="1" s="1"/>
  <c r="U123" i="1"/>
  <c r="N110" i="1"/>
  <c r="U69" i="1"/>
  <c r="U63" i="1"/>
  <c r="U228" i="1"/>
  <c r="T174" i="1"/>
  <c r="P86" i="1"/>
  <c r="N124" i="1"/>
  <c r="U232" i="1"/>
  <c r="U248" i="1"/>
  <c r="U191" i="1"/>
  <c r="L196" i="1"/>
  <c r="D26" i="18" s="1"/>
  <c r="U140" i="1"/>
  <c r="U145" i="1" s="1"/>
  <c r="I47" i="18" s="1"/>
  <c r="P153" i="1"/>
  <c r="P158" i="1" s="1"/>
  <c r="T110" i="1"/>
  <c r="T120" i="1"/>
  <c r="U111" i="1"/>
  <c r="U91" i="1"/>
  <c r="U32" i="1"/>
  <c r="U250" i="1"/>
  <c r="U240" i="1"/>
  <c r="U242" i="1"/>
  <c r="U234" i="1"/>
  <c r="U226" i="1"/>
  <c r="R174" i="1"/>
  <c r="U134" i="1"/>
  <c r="U121" i="1"/>
  <c r="U104" i="1"/>
  <c r="L110" i="1"/>
  <c r="U116" i="1"/>
  <c r="P66" i="1"/>
  <c r="U40" i="1"/>
  <c r="U34" i="1"/>
  <c r="U26" i="1"/>
  <c r="U24" i="1"/>
  <c r="U14" i="1"/>
  <c r="V189" i="1"/>
  <c r="U222" i="1"/>
  <c r="T164" i="1"/>
  <c r="T165" i="1" s="1"/>
  <c r="T168" i="1" s="1"/>
  <c r="H50" i="18" s="1"/>
  <c r="U162" i="1"/>
  <c r="R143" i="1"/>
  <c r="G24" i="18" s="1"/>
  <c r="U85" i="1"/>
  <c r="T66" i="1"/>
  <c r="R42" i="1"/>
  <c r="N25" i="1"/>
  <c r="U54" i="1"/>
  <c r="U220" i="1"/>
  <c r="N243" i="1"/>
  <c r="U241" i="1"/>
  <c r="U233" i="1"/>
  <c r="U225" i="1"/>
  <c r="N143" i="1"/>
  <c r="E24" i="18" s="1"/>
  <c r="U139" i="1"/>
  <c r="U113" i="1"/>
  <c r="U68" i="1"/>
  <c r="U21" i="1"/>
  <c r="U11" i="1"/>
  <c r="U175" i="1"/>
  <c r="U247" i="1"/>
  <c r="U170" i="1"/>
  <c r="U101" i="1"/>
  <c r="T114" i="1"/>
  <c r="R120" i="1"/>
  <c r="P114" i="1"/>
  <c r="N120" i="1"/>
  <c r="U106" i="1"/>
  <c r="L114" i="1"/>
  <c r="U112" i="1"/>
  <c r="U64" i="1"/>
  <c r="R243" i="1"/>
  <c r="U169" i="1"/>
  <c r="L174" i="1"/>
  <c r="U105" i="1"/>
  <c r="U50" i="1"/>
  <c r="P25" i="1"/>
  <c r="P72" i="1"/>
  <c r="U67" i="1"/>
  <c r="R153" i="1"/>
  <c r="R158" i="1" s="1"/>
  <c r="U148" i="1"/>
  <c r="L153" i="1"/>
  <c r="L158" i="1" s="1"/>
  <c r="U149" i="1"/>
  <c r="U87" i="1"/>
  <c r="U56" i="1"/>
  <c r="U48" i="1"/>
  <c r="U62" i="1"/>
  <c r="N72" i="1"/>
  <c r="U57" i="1"/>
  <c r="U49" i="1"/>
  <c r="U151" i="1"/>
  <c r="U244" i="1"/>
  <c r="U198" i="1"/>
  <c r="N174" i="1"/>
  <c r="U82" i="1"/>
  <c r="U36" i="1"/>
  <c r="U28" i="1"/>
  <c r="R66" i="1"/>
  <c r="P42" i="1"/>
  <c r="P60" i="1"/>
  <c r="U23" i="1"/>
  <c r="U13" i="1"/>
  <c r="U33" i="1"/>
  <c r="U55" i="1"/>
  <c r="U47" i="1"/>
  <c r="U61" i="1"/>
  <c r="U35" i="1"/>
  <c r="L42" i="1"/>
  <c r="U193" i="1"/>
  <c r="U115" i="1"/>
  <c r="L120" i="1"/>
  <c r="N192" i="1"/>
  <c r="U190" i="1"/>
  <c r="R93" i="1"/>
  <c r="U81" i="1"/>
  <c r="L86" i="1"/>
  <c r="U15" i="1"/>
  <c r="N42" i="1"/>
  <c r="U27" i="1"/>
  <c r="E46" i="18" l="1"/>
  <c r="N147" i="1"/>
  <c r="H46" i="18"/>
  <c r="T147" i="1"/>
  <c r="T161" i="1" s="1"/>
  <c r="U159" i="1"/>
  <c r="N130" i="1"/>
  <c r="E45" i="18"/>
  <c r="J45" i="18" s="1"/>
  <c r="H45" i="18"/>
  <c r="T130" i="1"/>
  <c r="G46" i="18"/>
  <c r="R147" i="1"/>
  <c r="P130" i="1"/>
  <c r="F45" i="18"/>
  <c r="L144" i="1"/>
  <c r="L147" i="1" s="1"/>
  <c r="L130" i="1"/>
  <c r="G45" i="18"/>
  <c r="R130" i="1"/>
  <c r="U131" i="1"/>
  <c r="F46" i="18"/>
  <c r="P147" i="1"/>
  <c r="U127" i="1"/>
  <c r="U126" i="1"/>
  <c r="J44" i="18"/>
  <c r="J54" i="18"/>
  <c r="F59" i="18"/>
  <c r="F30" i="18"/>
  <c r="J50" i="18"/>
  <c r="J42" i="18"/>
  <c r="J26" i="18"/>
  <c r="E30" i="18"/>
  <c r="E59" i="18"/>
  <c r="D58" i="18"/>
  <c r="D29" i="18"/>
  <c r="H22" i="18"/>
  <c r="D30" i="18"/>
  <c r="D59" i="18"/>
  <c r="G22" i="18"/>
  <c r="G43" i="18"/>
  <c r="D22" i="18"/>
  <c r="H43" i="18"/>
  <c r="E43" i="18"/>
  <c r="E22" i="18"/>
  <c r="J48" i="18"/>
  <c r="E29" i="18"/>
  <c r="E58" i="18"/>
  <c r="H58" i="18"/>
  <c r="H29" i="18"/>
  <c r="J47" i="18"/>
  <c r="F22" i="18"/>
  <c r="F43" i="18"/>
  <c r="H30" i="18"/>
  <c r="H59" i="18"/>
  <c r="F29" i="18"/>
  <c r="F58" i="18"/>
  <c r="G58" i="18"/>
  <c r="G29" i="18"/>
  <c r="G30" i="18"/>
  <c r="G59" i="18"/>
  <c r="J24" i="18"/>
  <c r="J55" i="18"/>
  <c r="P207" i="1"/>
  <c r="P258" i="1" s="1"/>
  <c r="T207" i="1"/>
  <c r="T258" i="1" s="1"/>
  <c r="R207" i="1"/>
  <c r="R258" i="1" s="1"/>
  <c r="N207" i="1"/>
  <c r="N258" i="1" s="1"/>
  <c r="L207" i="1"/>
  <c r="L258" i="1" s="1"/>
  <c r="P129" i="1"/>
  <c r="R129" i="1"/>
  <c r="N129" i="1"/>
  <c r="T129" i="1"/>
  <c r="L129" i="1"/>
  <c r="U201" i="1"/>
  <c r="I54" i="18" s="1"/>
  <c r="U203" i="1"/>
  <c r="I55" i="18" s="1"/>
  <c r="U144" i="1"/>
  <c r="U174" i="1"/>
  <c r="P182" i="1"/>
  <c r="N183" i="1"/>
  <c r="N184" i="1" s="1"/>
  <c r="E52" i="18" s="1"/>
  <c r="T99" i="1"/>
  <c r="U93" i="1"/>
  <c r="I42" i="18" s="1"/>
  <c r="U200" i="1"/>
  <c r="U143" i="1"/>
  <c r="I24" i="18" s="1"/>
  <c r="U138" i="1"/>
  <c r="U42" i="1"/>
  <c r="U189" i="1"/>
  <c r="U153" i="1"/>
  <c r="U154" i="1" s="1"/>
  <c r="I48" i="18" s="1"/>
  <c r="U72" i="1"/>
  <c r="T253" i="1"/>
  <c r="R253" i="1"/>
  <c r="R252" i="1"/>
  <c r="P252" i="1"/>
  <c r="P253" i="1"/>
  <c r="P257" i="1" s="1"/>
  <c r="T252" i="1"/>
  <c r="N253" i="1"/>
  <c r="L253" i="1"/>
  <c r="L252" i="1"/>
  <c r="N252" i="1"/>
  <c r="L184" i="1"/>
  <c r="D52" i="18" s="1"/>
  <c r="T184" i="1"/>
  <c r="H52" i="18" s="1"/>
  <c r="U192" i="1"/>
  <c r="U114" i="1"/>
  <c r="U164" i="1"/>
  <c r="U165" i="1" s="1"/>
  <c r="U168" i="1" s="1"/>
  <c r="I50" i="18" s="1"/>
  <c r="P157" i="1"/>
  <c r="N157" i="1"/>
  <c r="U120" i="1"/>
  <c r="L157" i="1"/>
  <c r="U196" i="1"/>
  <c r="I26" i="18" s="1"/>
  <c r="R157" i="1"/>
  <c r="R99" i="1"/>
  <c r="U110" i="1"/>
  <c r="T157" i="1"/>
  <c r="U60" i="1"/>
  <c r="U86" i="1"/>
  <c r="U243" i="1"/>
  <c r="U66" i="1"/>
  <c r="U124" i="1"/>
  <c r="U25" i="1"/>
  <c r="P204" i="1"/>
  <c r="R204" i="1"/>
  <c r="T204" i="1"/>
  <c r="N99" i="1"/>
  <c r="N204" i="1"/>
  <c r="L99" i="1"/>
  <c r="L204" i="1"/>
  <c r="T128" i="1"/>
  <c r="R73" i="1"/>
  <c r="G40" i="18" s="1"/>
  <c r="P73" i="1"/>
  <c r="F40" i="18" s="1"/>
  <c r="P128" i="1"/>
  <c r="T73" i="1"/>
  <c r="H40" i="18" s="1"/>
  <c r="N73" i="1"/>
  <c r="E40" i="18" s="1"/>
  <c r="N128" i="1"/>
  <c r="R128" i="1"/>
  <c r="P99" i="1"/>
  <c r="L128" i="1"/>
  <c r="D90" i="18"/>
  <c r="D92" i="18" s="1"/>
  <c r="U249" i="1"/>
  <c r="U251" i="1" s="1"/>
  <c r="L73" i="1"/>
  <c r="D40" i="18" s="1"/>
  <c r="P43" i="1"/>
  <c r="F38" i="18" s="1"/>
  <c r="L43" i="1"/>
  <c r="D38" i="18" s="1"/>
  <c r="N43" i="1"/>
  <c r="E38" i="18" s="1"/>
  <c r="T43" i="1"/>
  <c r="H38" i="18" s="1"/>
  <c r="R43" i="1"/>
  <c r="G38" i="18" s="1"/>
  <c r="V192" i="1"/>
  <c r="I45" i="18" l="1"/>
  <c r="I46" i="18"/>
  <c r="C90" i="18" s="1"/>
  <c r="U147" i="1"/>
  <c r="U158" i="1"/>
  <c r="D46" i="18"/>
  <c r="J46" i="18" s="1"/>
  <c r="K46" i="18" s="1"/>
  <c r="U43" i="1"/>
  <c r="I38" i="18" s="1"/>
  <c r="K48" i="18"/>
  <c r="K24" i="18"/>
  <c r="H60" i="18"/>
  <c r="E60" i="18"/>
  <c r="K26" i="18"/>
  <c r="E72" i="18"/>
  <c r="D72" i="18" s="1"/>
  <c r="C87" i="18"/>
  <c r="E70" i="18"/>
  <c r="D70" i="18" s="1"/>
  <c r="C93" i="18"/>
  <c r="E74" i="18"/>
  <c r="D74" i="18" s="1"/>
  <c r="E95" i="18"/>
  <c r="E96" i="18" s="1"/>
  <c r="E99" i="18" s="1"/>
  <c r="K55" i="18"/>
  <c r="K47" i="18"/>
  <c r="J59" i="18"/>
  <c r="C95" i="18"/>
  <c r="K54" i="18"/>
  <c r="E76" i="18"/>
  <c r="D76" i="18" s="1"/>
  <c r="J30" i="18"/>
  <c r="K42" i="18"/>
  <c r="J38" i="18"/>
  <c r="L257" i="1"/>
  <c r="J43" i="18"/>
  <c r="J29" i="18"/>
  <c r="K50" i="18"/>
  <c r="I29" i="18"/>
  <c r="I58" i="18"/>
  <c r="E73" i="18"/>
  <c r="D73" i="18" s="1"/>
  <c r="C91" i="18"/>
  <c r="F91" i="18" s="1"/>
  <c r="J22" i="18"/>
  <c r="J58" i="18"/>
  <c r="J40" i="18"/>
  <c r="I59" i="18"/>
  <c r="I30" i="18"/>
  <c r="I22" i="18"/>
  <c r="I43" i="18"/>
  <c r="D87" i="18" s="1"/>
  <c r="D89" i="18" s="1"/>
  <c r="T257" i="1"/>
  <c r="N257" i="1"/>
  <c r="R257" i="1"/>
  <c r="T205" i="1"/>
  <c r="N205" i="1"/>
  <c r="U207" i="1"/>
  <c r="U258" i="1" s="1"/>
  <c r="L205" i="1"/>
  <c r="U96" i="1"/>
  <c r="N77" i="1"/>
  <c r="L77" i="1"/>
  <c r="T77" i="1"/>
  <c r="P77" i="1"/>
  <c r="R77" i="1"/>
  <c r="U204" i="1"/>
  <c r="U97" i="1"/>
  <c r="U130" i="1" s="1"/>
  <c r="L132" i="1"/>
  <c r="D7" i="18" s="1"/>
  <c r="D21" i="18" s="1"/>
  <c r="T132" i="1"/>
  <c r="H7" i="18" s="1"/>
  <c r="H21" i="18" s="1"/>
  <c r="R182" i="1"/>
  <c r="R183" i="1" s="1"/>
  <c r="R184" i="1" s="1"/>
  <c r="G52" i="18" s="1"/>
  <c r="G60" i="18" s="1"/>
  <c r="P183" i="1"/>
  <c r="P184" i="1" s="1"/>
  <c r="F52" i="18" s="1"/>
  <c r="R132" i="1"/>
  <c r="G7" i="18" s="1"/>
  <c r="N187" i="1"/>
  <c r="N208" i="1" s="1"/>
  <c r="E9" i="18" s="1"/>
  <c r="E25" i="18" s="1"/>
  <c r="H8" i="18"/>
  <c r="H23" i="18" s="1"/>
  <c r="T255" i="1"/>
  <c r="H11" i="18" s="1"/>
  <c r="R255" i="1"/>
  <c r="G11" i="18" s="1"/>
  <c r="P255" i="1"/>
  <c r="F11" i="18" s="1"/>
  <c r="T187" i="1"/>
  <c r="T208" i="1" s="1"/>
  <c r="H9" i="18" s="1"/>
  <c r="H25" i="18" s="1"/>
  <c r="N255" i="1"/>
  <c r="E11" i="18" s="1"/>
  <c r="L187" i="1"/>
  <c r="L208" i="1" s="1"/>
  <c r="D9" i="18" s="1"/>
  <c r="D25" i="18" s="1"/>
  <c r="L255" i="1"/>
  <c r="D11" i="18" s="1"/>
  <c r="U157" i="1"/>
  <c r="R161" i="1"/>
  <c r="G8" i="18" s="1"/>
  <c r="U125" i="1"/>
  <c r="I44" i="18" s="1"/>
  <c r="K45" i="18"/>
  <c r="U128" i="1"/>
  <c r="U252" i="1"/>
  <c r="P161" i="1"/>
  <c r="F8" i="18" s="1"/>
  <c r="F23" i="18" s="1"/>
  <c r="N161" i="1"/>
  <c r="E8" i="18" s="1"/>
  <c r="E23" i="18" s="1"/>
  <c r="P76" i="1"/>
  <c r="R76" i="1"/>
  <c r="N76" i="1"/>
  <c r="L161" i="1"/>
  <c r="D8" i="18" s="1"/>
  <c r="L76" i="1"/>
  <c r="T76" i="1"/>
  <c r="N132" i="1"/>
  <c r="E7" i="18" s="1"/>
  <c r="E21" i="18" s="1"/>
  <c r="P132" i="1"/>
  <c r="F7" i="18" s="1"/>
  <c r="F21" i="18" s="1"/>
  <c r="T46" i="1"/>
  <c r="L46" i="1"/>
  <c r="N46" i="1"/>
  <c r="R46" i="1"/>
  <c r="P46" i="1"/>
  <c r="U73" i="1"/>
  <c r="I40" i="18" s="1"/>
  <c r="C29" i="10"/>
  <c r="C30" i="10"/>
  <c r="C34" i="10"/>
  <c r="V196" i="1"/>
  <c r="V200" i="1" s="1"/>
  <c r="D60" i="18" l="1"/>
  <c r="L256" i="1"/>
  <c r="L259" i="1" s="1"/>
  <c r="L260" i="1" s="1"/>
  <c r="J52" i="18"/>
  <c r="J60" i="18" s="1"/>
  <c r="F95" i="18"/>
  <c r="F60" i="18"/>
  <c r="F93" i="18"/>
  <c r="C84" i="18"/>
  <c r="K38" i="18"/>
  <c r="E68" i="18"/>
  <c r="E69" i="18"/>
  <c r="D69" i="18" s="1"/>
  <c r="C85" i="18"/>
  <c r="F85" i="18" s="1"/>
  <c r="K40" i="18"/>
  <c r="J7" i="18"/>
  <c r="G21" i="18"/>
  <c r="J21" i="18" s="1"/>
  <c r="C98" i="18"/>
  <c r="E78" i="18"/>
  <c r="D78" i="18" s="1"/>
  <c r="K58" i="18"/>
  <c r="F87" i="18"/>
  <c r="G23" i="18"/>
  <c r="K22" i="18"/>
  <c r="D23" i="18"/>
  <c r="J8" i="18"/>
  <c r="N256" i="1"/>
  <c r="N259" i="1" s="1"/>
  <c r="N260" i="1" s="1"/>
  <c r="K29" i="18"/>
  <c r="D98" i="18"/>
  <c r="K59" i="18"/>
  <c r="F90" i="18"/>
  <c r="C92" i="18"/>
  <c r="F92" i="18" s="1"/>
  <c r="E71" i="18"/>
  <c r="D71" i="18" s="1"/>
  <c r="C88" i="18"/>
  <c r="F88" i="18" s="1"/>
  <c r="K44" i="18"/>
  <c r="J11" i="18"/>
  <c r="K43" i="18"/>
  <c r="K30" i="18"/>
  <c r="T256" i="1"/>
  <c r="T259" i="1" s="1"/>
  <c r="T260" i="1" s="1"/>
  <c r="P205" i="1"/>
  <c r="P256" i="1" s="1"/>
  <c r="P259" i="1" s="1"/>
  <c r="P260" i="1" s="1"/>
  <c r="R205" i="1"/>
  <c r="R256" i="1" s="1"/>
  <c r="R259" i="1" s="1"/>
  <c r="R260" i="1" s="1"/>
  <c r="U99" i="1"/>
  <c r="U132" i="1" s="1"/>
  <c r="I7" i="18" s="1"/>
  <c r="I21" i="18" s="1"/>
  <c r="U129" i="1"/>
  <c r="U77" i="1"/>
  <c r="U182" i="1"/>
  <c r="U183" i="1" s="1"/>
  <c r="U184" i="1" s="1"/>
  <c r="I52" i="18" s="1"/>
  <c r="I60" i="18" s="1"/>
  <c r="P187" i="1"/>
  <c r="P208" i="1" s="1"/>
  <c r="F9" i="18" s="1"/>
  <c r="F25" i="18" s="1"/>
  <c r="R187" i="1"/>
  <c r="R208" i="1" s="1"/>
  <c r="G9" i="18" s="1"/>
  <c r="U253" i="1"/>
  <c r="U257" i="1" s="1"/>
  <c r="U76" i="1"/>
  <c r="U161" i="1"/>
  <c r="I8" i="18" s="1"/>
  <c r="I23" i="18" s="1"/>
  <c r="R80" i="1"/>
  <c r="N80" i="1"/>
  <c r="P80" i="1"/>
  <c r="T80" i="1"/>
  <c r="L80" i="1"/>
  <c r="U46" i="1"/>
  <c r="J23" i="18" l="1"/>
  <c r="K23" i="18" s="1"/>
  <c r="C94" i="18"/>
  <c r="E75" i="18"/>
  <c r="D75" i="18" s="1"/>
  <c r="K52" i="18"/>
  <c r="E6" i="18"/>
  <c r="E12" i="18" s="1"/>
  <c r="E19" i="18"/>
  <c r="C104" i="18" s="1"/>
  <c r="D68" i="18"/>
  <c r="G6" i="18"/>
  <c r="G19" i="18"/>
  <c r="F98" i="18"/>
  <c r="G98" i="18" s="1"/>
  <c r="C86" i="18"/>
  <c r="F84" i="18"/>
  <c r="F86" i="18" s="1"/>
  <c r="D99" i="18"/>
  <c r="K7" i="18"/>
  <c r="F61" i="18"/>
  <c r="U255" i="1"/>
  <c r="I11" i="18" s="1"/>
  <c r="K11" i="18" s="1"/>
  <c r="D19" i="18"/>
  <c r="C103" i="18" s="1"/>
  <c r="D6" i="18"/>
  <c r="D12" i="18" s="1"/>
  <c r="J9" i="18"/>
  <c r="G25" i="18"/>
  <c r="J25" i="18" s="1"/>
  <c r="K8" i="18"/>
  <c r="F89" i="18"/>
  <c r="F6" i="18"/>
  <c r="F12" i="18" s="1"/>
  <c r="F19" i="18"/>
  <c r="C105" i="18" s="1"/>
  <c r="K21" i="18"/>
  <c r="H6" i="18"/>
  <c r="H12" i="18" s="1"/>
  <c r="H19" i="18"/>
  <c r="C107" i="18" s="1"/>
  <c r="G92" i="18"/>
  <c r="C89" i="18"/>
  <c r="U205" i="1"/>
  <c r="U256" i="1"/>
  <c r="U187" i="1"/>
  <c r="U208" i="1" s="1"/>
  <c r="I9" i="18" s="1"/>
  <c r="I25" i="18" s="1"/>
  <c r="C31" i="10"/>
  <c r="C269" i="1"/>
  <c r="G269" i="1" s="1"/>
  <c r="C23" i="10"/>
  <c r="C19" i="10"/>
  <c r="C18" i="10"/>
  <c r="U80" i="1"/>
  <c r="K60" i="18" l="1"/>
  <c r="C106" i="18"/>
  <c r="C108" i="18" s="1"/>
  <c r="K9" i="18"/>
  <c r="E79" i="18"/>
  <c r="G89" i="18"/>
  <c r="F31" i="18"/>
  <c r="G31" i="18"/>
  <c r="I19" i="18"/>
  <c r="I6" i="18"/>
  <c r="I12" i="18" s="1"/>
  <c r="F13" i="18" s="1"/>
  <c r="K25" i="18"/>
  <c r="J6" i="18"/>
  <c r="G12" i="18"/>
  <c r="F94" i="18"/>
  <c r="C96" i="18"/>
  <c r="C99" i="18" s="1"/>
  <c r="I61" i="18"/>
  <c r="H61" i="18"/>
  <c r="E61" i="18"/>
  <c r="D61" i="18"/>
  <c r="G61" i="18"/>
  <c r="E31" i="18"/>
  <c r="H31" i="18"/>
  <c r="D31" i="18"/>
  <c r="J19" i="18"/>
  <c r="J31" i="18" s="1"/>
  <c r="G86" i="18"/>
  <c r="D79" i="18"/>
  <c r="C270" i="1"/>
  <c r="G270" i="1" s="1"/>
  <c r="U259" i="1"/>
  <c r="U260" i="1" s="1"/>
  <c r="C20" i="10"/>
  <c r="C266" i="1"/>
  <c r="G266" i="1" s="1"/>
  <c r="C268" i="1"/>
  <c r="G268" i="1" s="1"/>
  <c r="C267" i="1"/>
  <c r="G267" i="1" s="1"/>
  <c r="C271" i="1"/>
  <c r="G271" i="1" s="1"/>
  <c r="C264" i="1"/>
  <c r="G264" i="1" s="1"/>
  <c r="C263" i="1"/>
  <c r="G263" i="1" s="1"/>
  <c r="C265" i="1"/>
  <c r="G265" i="1" s="1"/>
  <c r="C17" i="10"/>
  <c r="C28" i="10"/>
  <c r="D13" i="18" l="1"/>
  <c r="I13" i="18"/>
  <c r="F96" i="18"/>
  <c r="F99" i="18" s="1"/>
  <c r="I31" i="18"/>
  <c r="I32" i="18" s="1"/>
  <c r="K19" i="18"/>
  <c r="E13" i="18"/>
  <c r="G13" i="18"/>
  <c r="K6" i="18"/>
  <c r="J12" i="18"/>
  <c r="K12" i="18" s="1"/>
  <c r="H13" i="18"/>
  <c r="C32" i="10"/>
  <c r="C35" i="10" s="1"/>
  <c r="D28" i="10" s="1"/>
  <c r="C21" i="10"/>
  <c r="G272" i="1"/>
  <c r="C272" i="1"/>
  <c r="G99" i="18" l="1"/>
  <c r="K31" i="18"/>
  <c r="F32" i="18"/>
  <c r="G32" i="18"/>
  <c r="E32" i="18"/>
  <c r="H32" i="18"/>
  <c r="D32" i="18"/>
  <c r="D33" i="10"/>
  <c r="D30" i="10"/>
  <c r="D34" i="10"/>
  <c r="D29" i="10"/>
  <c r="D31" i="10"/>
  <c r="C24" i="10"/>
  <c r="E20" i="10" s="1"/>
  <c r="E30" i="10"/>
  <c r="E29" i="10"/>
  <c r="E34" i="10"/>
  <c r="E31" i="10"/>
  <c r="E28" i="10"/>
  <c r="D35" i="10" l="1"/>
  <c r="E17" i="10"/>
  <c r="E23" i="10"/>
  <c r="E19" i="10"/>
  <c r="D22" i="10"/>
  <c r="D23" i="10"/>
  <c r="D19" i="10"/>
  <c r="D18" i="10"/>
  <c r="D17" i="10"/>
  <c r="D20" i="10"/>
  <c r="E18" i="10"/>
  <c r="D24" i="1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tc={3C6B7522-D6D0-4FBC-8D14-1960550EEE52}</author>
  </authors>
  <commentList>
    <comment ref="H94" authorId="0" shapeId="0" xr:uid="{00000000-0006-0000-0000-000001000000}">
      <text>
        <t>[Threaded comment]
Your version of Excel allows you to read this threaded comment; however, any edits to it will get removed if the file is opened in a newer version of Excel. Learn more: https://go.microsoft.com/fwlink/?linkid=870924
Comment:
    faltan 100 Ha la FP indica 4.448</t>
      </text>
    </comment>
  </commentList>
</comments>
</file>

<file path=xl/sharedStrings.xml><?xml version="1.0" encoding="utf-8"?>
<sst xmlns="http://schemas.openxmlformats.org/spreadsheetml/2006/main" count="1926" uniqueCount="695">
  <si>
    <t xml:space="preserve">Annex 4. </t>
  </si>
  <si>
    <t>Detailed Cost</t>
  </si>
  <si>
    <t>Annual Budget</t>
  </si>
  <si>
    <t>**Budget Notes</t>
  </si>
  <si>
    <t>Year 1</t>
  </si>
  <si>
    <t>Year 2</t>
  </si>
  <si>
    <t>Year 3</t>
  </si>
  <si>
    <t>Year 4</t>
  </si>
  <si>
    <t>Year 5</t>
  </si>
  <si>
    <t>Component</t>
  </si>
  <si>
    <t>Output</t>
  </si>
  <si>
    <t>Activity</t>
  </si>
  <si>
    <t>Funding Source</t>
  </si>
  <si>
    <t xml:space="preserve">Budget Categories
</t>
  </si>
  <si>
    <t>Cost Description</t>
  </si>
  <si>
    <t>Unit</t>
  </si>
  <si>
    <t>Unit Cost</t>
  </si>
  <si>
    <t>Qty Year 1</t>
  </si>
  <si>
    <t xml:space="preserve"> Total Year 1</t>
  </si>
  <si>
    <t>Qty Year 2</t>
  </si>
  <si>
    <t>Total Year 2</t>
  </si>
  <si>
    <t>Qty Year 3</t>
  </si>
  <si>
    <t>Total Year 3</t>
  </si>
  <si>
    <t>Qty Year 4</t>
  </si>
  <si>
    <t>Total Year 4</t>
  </si>
  <si>
    <t>Qty Year 5</t>
  </si>
  <si>
    <t>Total Year 5</t>
  </si>
  <si>
    <t>Total Budget</t>
  </si>
  <si>
    <t>Component 1</t>
  </si>
  <si>
    <t>Output1.1</t>
  </si>
  <si>
    <t>A.1.1.1</t>
  </si>
  <si>
    <t>GCF</t>
  </si>
  <si>
    <t>Consultants</t>
  </si>
  <si>
    <t>Agronomist Conservation</t>
  </si>
  <si>
    <t>month</t>
  </si>
  <si>
    <t>A1</t>
  </si>
  <si>
    <t>A2</t>
  </si>
  <si>
    <t>A3</t>
  </si>
  <si>
    <t>A4</t>
  </si>
  <si>
    <t>Horticulturist</t>
  </si>
  <si>
    <t>A6</t>
  </si>
  <si>
    <t>Travel</t>
  </si>
  <si>
    <t>Travel - local - technicians</t>
  </si>
  <si>
    <t>days</t>
  </si>
  <si>
    <t>A7</t>
  </si>
  <si>
    <t>Training/workshops</t>
  </si>
  <si>
    <t>38 training workshops on the management and maintenance of solar tents</t>
  </si>
  <si>
    <t>workshops</t>
  </si>
  <si>
    <t>A8</t>
  </si>
  <si>
    <t>Construction costs</t>
  </si>
  <si>
    <t>Supplies for the implementation of solar tents</t>
  </si>
  <si>
    <t>tent</t>
  </si>
  <si>
    <t>A9</t>
  </si>
  <si>
    <t>Equipment</t>
  </si>
  <si>
    <t>blanket</t>
  </si>
  <si>
    <t>A10</t>
  </si>
  <si>
    <t>Laptops technicians</t>
  </si>
  <si>
    <t>pieces</t>
  </si>
  <si>
    <t>A11</t>
  </si>
  <si>
    <t>A12</t>
  </si>
  <si>
    <t>A13</t>
  </si>
  <si>
    <t>Vehicles operation</t>
  </si>
  <si>
    <t>A14</t>
  </si>
  <si>
    <t>Vehicle Maintenance</t>
  </si>
  <si>
    <t>A15</t>
  </si>
  <si>
    <t>Subtotal Activity 1.1.1</t>
  </si>
  <si>
    <t>A.1.1.2</t>
  </si>
  <si>
    <t>A16</t>
  </si>
  <si>
    <t>A17</t>
  </si>
  <si>
    <t>A18</t>
  </si>
  <si>
    <t>A19</t>
  </si>
  <si>
    <t>A20</t>
  </si>
  <si>
    <t>Technicians in Conservation Agriculture</t>
  </si>
  <si>
    <t>A21</t>
  </si>
  <si>
    <t>Professional – Service Provider</t>
  </si>
  <si>
    <t>Printing of primers, triptychs, biptychs dissemination of the conservation agriculture methodology</t>
  </si>
  <si>
    <t>global</t>
  </si>
  <si>
    <t>A22</t>
  </si>
  <si>
    <t>A23</t>
  </si>
  <si>
    <t>Printing and publication of the document Legacies of Resilient and Inclusive Family Farming to Live Well.</t>
  </si>
  <si>
    <t>copies</t>
  </si>
  <si>
    <t>A24</t>
  </si>
  <si>
    <t>Travels Project Specialist and field Work (DSA-Tickets)</t>
  </si>
  <si>
    <t>A25</t>
  </si>
  <si>
    <t>A26</t>
  </si>
  <si>
    <t>Workshops on conservation agriculture practices, anti-hail nets, thermal blankets, among others</t>
  </si>
  <si>
    <t>A27</t>
  </si>
  <si>
    <t>hectar</t>
  </si>
  <si>
    <t>A28</t>
  </si>
  <si>
    <t>A29</t>
  </si>
  <si>
    <t>A32</t>
  </si>
  <si>
    <t>A33</t>
  </si>
  <si>
    <t>Subtotal Activity 1.1.2</t>
  </si>
  <si>
    <t>Subtotal Output 1.1</t>
  </si>
  <si>
    <t>COF</t>
  </si>
  <si>
    <t>Output1.2</t>
  </si>
  <si>
    <t>A.1.2.1</t>
  </si>
  <si>
    <t>A34</t>
  </si>
  <si>
    <t>Technical Agronomist (4) TOUs</t>
  </si>
  <si>
    <t>A35</t>
  </si>
  <si>
    <t>Technical Agroforestry (4) TOUs</t>
  </si>
  <si>
    <t>A36</t>
  </si>
  <si>
    <t>Preparation of business plans</t>
  </si>
  <si>
    <t>A37</t>
  </si>
  <si>
    <t>Elaboration of copies of triptychs, biptychs and documents on methodologies used for adaptation to climate change, with thermal blankets, anti-hail mesh, installation of solar tents and development of sustainable agricultural practices, among others.</t>
  </si>
  <si>
    <t>A38</t>
  </si>
  <si>
    <t>Market strategy by micro-region for products of high commercial and nutritional value.</t>
  </si>
  <si>
    <t>document</t>
  </si>
  <si>
    <t>A39</t>
  </si>
  <si>
    <t>fair</t>
  </si>
  <si>
    <t>A40</t>
  </si>
  <si>
    <t>A41</t>
  </si>
  <si>
    <t>A42</t>
  </si>
  <si>
    <t>Supplies for the strengthening the productive capacities of producer associations</t>
  </si>
  <si>
    <t>A43</t>
  </si>
  <si>
    <t>A44</t>
  </si>
  <si>
    <t>A47</t>
  </si>
  <si>
    <t>A48</t>
  </si>
  <si>
    <t>Subtotal Activity 1.2.1</t>
  </si>
  <si>
    <t>A.1.2.2.</t>
  </si>
  <si>
    <t>A50</t>
  </si>
  <si>
    <t>A51</t>
  </si>
  <si>
    <t>Technical assistance in handling the freezing and refrigeration beds (4)</t>
  </si>
  <si>
    <t>A52</t>
  </si>
  <si>
    <t>Centers for storage and marketing with refrigeration and freezing chambers</t>
  </si>
  <si>
    <t>A53</t>
  </si>
  <si>
    <t>A54</t>
  </si>
  <si>
    <t>Subtotal Activity 1.2.2</t>
  </si>
  <si>
    <t>A.1.2.3</t>
  </si>
  <si>
    <t>A58</t>
  </si>
  <si>
    <t>A59</t>
  </si>
  <si>
    <t>Bee pollination route in the Valles macroregion</t>
  </si>
  <si>
    <t>A60</t>
  </si>
  <si>
    <t>A61</t>
  </si>
  <si>
    <t>Lumpsum</t>
  </si>
  <si>
    <t>A62</t>
  </si>
  <si>
    <t>Subtotal Activity 1.2.3</t>
  </si>
  <si>
    <t>Subtotal Output 1.2</t>
  </si>
  <si>
    <t>Subtotal Component 1</t>
  </si>
  <si>
    <t>Component 2</t>
  </si>
  <si>
    <t>Output 2.1.</t>
  </si>
  <si>
    <t>A.2.1.1</t>
  </si>
  <si>
    <t>package</t>
  </si>
  <si>
    <t>B1</t>
  </si>
  <si>
    <t>B2</t>
  </si>
  <si>
    <t>B3</t>
  </si>
  <si>
    <t>Other</t>
  </si>
  <si>
    <t>General operating Expenses - Gasoline for vehicles use (monthly cost)</t>
  </si>
  <si>
    <t>B4</t>
  </si>
  <si>
    <t>Trips to the communities to build the reservoirs, installation of tanks and construction of systems</t>
  </si>
  <si>
    <t>B5</t>
  </si>
  <si>
    <t>Subtotal Activity 2.1.1.</t>
  </si>
  <si>
    <t>A.2.1.2.</t>
  </si>
  <si>
    <t>Specialist in climate change and water</t>
  </si>
  <si>
    <t>B6</t>
  </si>
  <si>
    <t>B7</t>
  </si>
  <si>
    <t>Workshops to recover information for PTDIs</t>
  </si>
  <si>
    <t>B8</t>
  </si>
  <si>
    <t>National workshops to disseminate the water monitoring methodology.</t>
  </si>
  <si>
    <t>B9</t>
  </si>
  <si>
    <t>travels Project Specialist and field Work (DSA-Tickets)</t>
  </si>
  <si>
    <t>B10</t>
  </si>
  <si>
    <t>B11</t>
  </si>
  <si>
    <t>Subtotal Activity 2.1.2.</t>
  </si>
  <si>
    <t>A2.1.3</t>
  </si>
  <si>
    <t>Contracts</t>
  </si>
  <si>
    <t>Technical assistance for irrigation systems</t>
  </si>
  <si>
    <t>HECTARES</t>
  </si>
  <si>
    <t>B12</t>
  </si>
  <si>
    <t>Subtotal Activity 2.1.3.</t>
  </si>
  <si>
    <t>Subtotal Output 2.1</t>
  </si>
  <si>
    <t>Output 2.2.</t>
  </si>
  <si>
    <t>A.2.2.1.</t>
  </si>
  <si>
    <t>B13</t>
  </si>
  <si>
    <t>B14</t>
  </si>
  <si>
    <t>Experts on Climate Change for Farmer Field Schools</t>
  </si>
  <si>
    <t>day</t>
  </si>
  <si>
    <t>B15</t>
  </si>
  <si>
    <t>Center</t>
  </si>
  <si>
    <t>B16</t>
  </si>
  <si>
    <t>Printing material for famer field school</t>
  </si>
  <si>
    <t>B17</t>
  </si>
  <si>
    <t>B18</t>
  </si>
  <si>
    <t>B19</t>
  </si>
  <si>
    <t>Field Farmer Schools workshops</t>
  </si>
  <si>
    <t>sesions</t>
  </si>
  <si>
    <t>B20</t>
  </si>
  <si>
    <t>Supplies for five Field Farmer Schools</t>
  </si>
  <si>
    <t>Unid</t>
  </si>
  <si>
    <t>B21</t>
  </si>
  <si>
    <t>Pieces</t>
  </si>
  <si>
    <t>B22</t>
  </si>
  <si>
    <t>Subtotal Activity 2.2.1.</t>
  </si>
  <si>
    <t>A.2.2.2.</t>
  </si>
  <si>
    <t xml:space="preserve">Replicate technological innovation processes related to on-farm climate-proofed irrigation systems </t>
  </si>
  <si>
    <t>B23</t>
  </si>
  <si>
    <t>Staff</t>
  </si>
  <si>
    <t>Irrigation Ingeneers /trainers that facilitates the workshops (3)</t>
  </si>
  <si>
    <t>B24</t>
  </si>
  <si>
    <t>Trips to  the communities  for the workshops</t>
  </si>
  <si>
    <t>trips</t>
  </si>
  <si>
    <t>B25</t>
  </si>
  <si>
    <t>Subtotal Activity 2.2.2.</t>
  </si>
  <si>
    <t>A.2.2.3</t>
  </si>
  <si>
    <t>B26</t>
  </si>
  <si>
    <t>B27</t>
  </si>
  <si>
    <t>Global</t>
  </si>
  <si>
    <t>B28</t>
  </si>
  <si>
    <t xml:space="preserve">Pieces </t>
  </si>
  <si>
    <t>B29</t>
  </si>
  <si>
    <t>B30</t>
  </si>
  <si>
    <t>Subtotal Activity 2.2.3.</t>
  </si>
  <si>
    <t>A2.2.4</t>
  </si>
  <si>
    <t>Meetings to promote the signature of the legal agreements and the O&amp;M Plans</t>
  </si>
  <si>
    <t>meetings</t>
  </si>
  <si>
    <t>B31</t>
  </si>
  <si>
    <t>Trips to the communities to facilitate the signature of agreements</t>
  </si>
  <si>
    <t>B32</t>
  </si>
  <si>
    <t>Technical Assistance (Lawyers, Instutional specialsits) to follow up the agreements related to O&amp;M plans</t>
  </si>
  <si>
    <t>B33</t>
  </si>
  <si>
    <t>Subtotal Activity 2.2.4.</t>
  </si>
  <si>
    <t>Subtotal Output 2.2.</t>
  </si>
  <si>
    <t>Subtotal Component 2</t>
  </si>
  <si>
    <t>Component 3</t>
  </si>
  <si>
    <t xml:space="preserve">Output 3.1 </t>
  </si>
  <si>
    <t>A3.1.1.</t>
  </si>
  <si>
    <t>B34</t>
  </si>
  <si>
    <t>Project's Plant Cover Atlas</t>
  </si>
  <si>
    <t>Document</t>
  </si>
  <si>
    <t>B35</t>
  </si>
  <si>
    <t>Subtotal Activity 3.1.1.</t>
  </si>
  <si>
    <t>A.3.1.2</t>
  </si>
  <si>
    <t>C1</t>
  </si>
  <si>
    <t>C2</t>
  </si>
  <si>
    <t>Trips of the technical team to prepare the operational plans</t>
  </si>
  <si>
    <t>C3</t>
  </si>
  <si>
    <t>C4</t>
  </si>
  <si>
    <t>Subtotal Activity 3.1.2.</t>
  </si>
  <si>
    <t>Subtotal Output 3.1</t>
  </si>
  <si>
    <t>Output 3.2.</t>
  </si>
  <si>
    <t xml:space="preserve">A3.2.1.  </t>
  </si>
  <si>
    <t>C5</t>
  </si>
  <si>
    <t>Study of the availability of water versus agricultural systems, conservation of water sources, water balance and water footprint</t>
  </si>
  <si>
    <t>C6</t>
  </si>
  <si>
    <t>C7</t>
  </si>
  <si>
    <t>National Workshops to build the water monitoring</t>
  </si>
  <si>
    <t>C8</t>
  </si>
  <si>
    <t>C9</t>
  </si>
  <si>
    <t>Subtotal Activity 3.2.1</t>
  </si>
  <si>
    <t>Subtotal Output 3.2</t>
  </si>
  <si>
    <t>Subtotal Output 3.2.</t>
  </si>
  <si>
    <t>Subtotal Componente 3</t>
  </si>
  <si>
    <t>Component 4</t>
  </si>
  <si>
    <t xml:space="preserve">Output 4.1  </t>
  </si>
  <si>
    <t>A4.1.1.</t>
  </si>
  <si>
    <t>Implemention of PTDIs</t>
  </si>
  <si>
    <t>D1</t>
  </si>
  <si>
    <t>Publication of the document "lessons learned from the PTDI construction process</t>
  </si>
  <si>
    <t>Copies</t>
  </si>
  <si>
    <t>D2</t>
  </si>
  <si>
    <t>Subtotal Activity 4.1.1</t>
  </si>
  <si>
    <t xml:space="preserve">Output 4.2  </t>
  </si>
  <si>
    <t>A.4.2.1</t>
  </si>
  <si>
    <t>Financial Specialist (inicio Pimp)</t>
  </si>
  <si>
    <t>D3</t>
  </si>
  <si>
    <t xml:space="preserve">Implementation of a reimbursable financial mechanisms within the framework </t>
  </si>
  <si>
    <t>LOAs</t>
  </si>
  <si>
    <t>D4</t>
  </si>
  <si>
    <t>Design of the Forest and Climate Change Financing Plan for FONABOSQUE.</t>
  </si>
  <si>
    <t>Plan</t>
  </si>
  <si>
    <t>D5</t>
  </si>
  <si>
    <t>Incidence workshops</t>
  </si>
  <si>
    <t>D6</t>
  </si>
  <si>
    <t>D7</t>
  </si>
  <si>
    <t>Subtotal Activity 4.2.1</t>
  </si>
  <si>
    <t>Subtotal Output 4.1</t>
  </si>
  <si>
    <t>Output 4.2</t>
  </si>
  <si>
    <t>A.4.2.2</t>
  </si>
  <si>
    <t>Workshops</t>
  </si>
  <si>
    <t>D8</t>
  </si>
  <si>
    <t>5 Trainings/workshops awareness on SEAH-GBV (1 per year,)</t>
  </si>
  <si>
    <t>D9</t>
  </si>
  <si>
    <t>Subtotal Activity 4.2.2</t>
  </si>
  <si>
    <t>Subtotal Output 4.2</t>
  </si>
  <si>
    <t>Output 4.3</t>
  </si>
  <si>
    <t>A.4.3.1</t>
  </si>
  <si>
    <t>Certified courses for public functionaries and local technicians through Universities and Technical centers</t>
  </si>
  <si>
    <t>courses</t>
  </si>
  <si>
    <t>D10</t>
  </si>
  <si>
    <t>Subtotal Activity 4.3.1</t>
  </si>
  <si>
    <t xml:space="preserve">A4.3.2 </t>
  </si>
  <si>
    <t>Lawyer/Sociologist</t>
  </si>
  <si>
    <t>D11</t>
  </si>
  <si>
    <t>D12</t>
  </si>
  <si>
    <t>Subtotal Activity 4.3.2</t>
  </si>
  <si>
    <t>Comonent 4</t>
  </si>
  <si>
    <t>A4.3.3</t>
  </si>
  <si>
    <t>D13</t>
  </si>
  <si>
    <t>Trips for the specialist to the municipalities to organize the workshops</t>
  </si>
  <si>
    <t>D14</t>
  </si>
  <si>
    <t>Institutional specialist in charge to facilitate the training workshops</t>
  </si>
  <si>
    <t>D15</t>
  </si>
  <si>
    <t>Subtotal Activity 4.3.3</t>
  </si>
  <si>
    <t>A4.3.4</t>
  </si>
  <si>
    <t>D16</t>
  </si>
  <si>
    <t>D17</t>
  </si>
  <si>
    <t>D18</t>
  </si>
  <si>
    <t>Subtotal Output 4.3</t>
  </si>
  <si>
    <t>Subtotal Componente 4</t>
  </si>
  <si>
    <t>PMC</t>
  </si>
  <si>
    <t>PMC Project Management costs</t>
  </si>
  <si>
    <t>Project Coordinator P3</t>
  </si>
  <si>
    <t>PMU1</t>
  </si>
  <si>
    <t>M&amp;E Specialist</t>
  </si>
  <si>
    <t>PMU2</t>
  </si>
  <si>
    <t>Financial Assistant</t>
  </si>
  <si>
    <t>PMU3</t>
  </si>
  <si>
    <t>Administrator/Operations</t>
  </si>
  <si>
    <t>PMU4</t>
  </si>
  <si>
    <t>Procurement &amp; Logistics assistant</t>
  </si>
  <si>
    <t>PMU5</t>
  </si>
  <si>
    <t>IT Specialist</t>
  </si>
  <si>
    <t>PMU6</t>
  </si>
  <si>
    <t>Comunicator</t>
  </si>
  <si>
    <t>PMU7</t>
  </si>
  <si>
    <t xml:space="preserve">Gender specialist </t>
  </si>
  <si>
    <t>PMU9</t>
  </si>
  <si>
    <t>KM Specialist</t>
  </si>
  <si>
    <t>PMU10</t>
  </si>
  <si>
    <t>Laptops PMU</t>
  </si>
  <si>
    <t>PMU11</t>
  </si>
  <si>
    <t>GCPs</t>
  </si>
  <si>
    <t>PMU12</t>
  </si>
  <si>
    <t xml:space="preserve">Multifunctional printers </t>
  </si>
  <si>
    <t>PMU13</t>
  </si>
  <si>
    <t>Data Show</t>
  </si>
  <si>
    <t>PMU14</t>
  </si>
  <si>
    <t xml:space="preserve">Equipment for PMU </t>
  </si>
  <si>
    <t>PMU15</t>
  </si>
  <si>
    <t>Equipment for TOUs</t>
  </si>
  <si>
    <t>PMU16</t>
  </si>
  <si>
    <t xml:space="preserve">Monitoring equipment </t>
  </si>
  <si>
    <t>PMU17</t>
  </si>
  <si>
    <t xml:space="preserve">Server </t>
  </si>
  <si>
    <t>PMU18</t>
  </si>
  <si>
    <t>Local travel for PMC consultants</t>
  </si>
  <si>
    <t>PMU19</t>
  </si>
  <si>
    <t>Stationary</t>
  </si>
  <si>
    <t>PMU20</t>
  </si>
  <si>
    <t>Gas</t>
  </si>
  <si>
    <t>PMU21</t>
  </si>
  <si>
    <t xml:space="preserve">Premises for  Storage </t>
  </si>
  <si>
    <t>PMU22</t>
  </si>
  <si>
    <t xml:space="preserve">Telephony- Internet </t>
  </si>
  <si>
    <t>PMU23</t>
  </si>
  <si>
    <t>Courrier</t>
  </si>
  <si>
    <t>PMU24</t>
  </si>
  <si>
    <t>Subtotal PMC GCF</t>
  </si>
  <si>
    <t>Government staff</t>
  </si>
  <si>
    <t>PMU25</t>
  </si>
  <si>
    <t>Government field staff</t>
  </si>
  <si>
    <t>PMU26</t>
  </si>
  <si>
    <t>Local travel for Gov staff</t>
  </si>
  <si>
    <t>PMU27</t>
  </si>
  <si>
    <t>Office premises for PMC</t>
  </si>
  <si>
    <t>PMU28</t>
  </si>
  <si>
    <t>Support Vehicles</t>
  </si>
  <si>
    <t>PMU29</t>
  </si>
  <si>
    <t>Office supplies, Gas, stationary,</t>
  </si>
  <si>
    <t>PMU30</t>
  </si>
  <si>
    <t>Subtotal PMC COF</t>
  </si>
  <si>
    <t>Subtotal PMC</t>
  </si>
  <si>
    <t>GRAND TOTAL</t>
  </si>
  <si>
    <t>Categories</t>
  </si>
  <si>
    <t>Budget by Year</t>
  </si>
  <si>
    <t>Yr-1</t>
  </si>
  <si>
    <t>Yr-2</t>
  </si>
  <si>
    <t>Yr-3</t>
  </si>
  <si>
    <t>Yr-4</t>
  </si>
  <si>
    <t>Yr-5</t>
  </si>
  <si>
    <t>Total</t>
  </si>
  <si>
    <t>TOTAL</t>
  </si>
  <si>
    <t>Budget by Year, Source, Output</t>
  </si>
  <si>
    <t xml:space="preserve">Ouput 1.1 </t>
  </si>
  <si>
    <t>Output 1.2</t>
  </si>
  <si>
    <t>Ouput 2.1</t>
  </si>
  <si>
    <t>Output 2.2</t>
  </si>
  <si>
    <t>Output 3.1</t>
  </si>
  <si>
    <t>Output 3.2</t>
  </si>
  <si>
    <t>Output 4.1</t>
  </si>
  <si>
    <t>GCF Expenditure Category</t>
  </si>
  <si>
    <t>Total (USD)</t>
  </si>
  <si>
    <t>% of total</t>
  </si>
  <si>
    <t>Financing Source</t>
  </si>
  <si>
    <t xml:space="preserve">Budget Account Description </t>
  </si>
  <si>
    <t>Budget notes</t>
  </si>
  <si>
    <t>Budget note description</t>
  </si>
  <si>
    <t xml:space="preserve">Training, workshops, </t>
  </si>
  <si>
    <t xml:space="preserve">Construction costs </t>
  </si>
  <si>
    <t>Consultant team working in agroecological production and agroforestry practices, proper use of agricultural inputs and the provision of organic inputs. Agronomists, Agriculture conservation specialist, Agroforestry technician and climate change specialist</t>
  </si>
  <si>
    <t xml:space="preserve">Professional/ Contractual Services </t>
  </si>
  <si>
    <t>Printing of training and difusion materials such as primers, triptychs, biptychs dissemination of the conservation agriculture methodology. Production of a documentary on conservation agriculture practices and tehcnical documentation</t>
  </si>
  <si>
    <t>Training, workshops, and conference</t>
  </si>
  <si>
    <t>Centers for storage and marketing with refrigeration and freezing chambers (These centers consist of the construction or adaptation of physical spaces, equipment such as refrigeration chambers, freezing chambers, solar panels, training, installation and transportation. The equipment also includes signage, industrial safety clothing, kitchenware, as well as operating license, sanitary registration, environmental licenses, and other expenses related to the start-up of the centers)</t>
  </si>
  <si>
    <t xml:space="preserve">Construction cost </t>
  </si>
  <si>
    <t>Country
(MMAyA)</t>
  </si>
  <si>
    <t>B2
B3</t>
  </si>
  <si>
    <t xml:space="preserve">Consultant team working to deliver support and build the reservoirs. Thematic specialists and constructors </t>
  </si>
  <si>
    <t>General operative expeses - Gas for vehicles</t>
  </si>
  <si>
    <t>National consultant team to conduct the inventory, populate the database and monitor results: Climate Change specialist</t>
  </si>
  <si>
    <t>B8
B9</t>
  </si>
  <si>
    <t>Worhshops to recollect inforamtion and to dissemiante water monitoring methodology</t>
  </si>
  <si>
    <t>B10
B11</t>
  </si>
  <si>
    <t>Trips for the consultants to the communities to recollect information</t>
  </si>
  <si>
    <t>Contract to provide Technical assistance for irrigation systems to the producers</t>
  </si>
  <si>
    <t>B13
B14
B15</t>
  </si>
  <si>
    <t>National consultants to deliver and strengthening technical capacities in irrigation for community promoters, as an incentive for local producers to effectively adopt and manage climate-proofed irrigation systems. Cliamte Change Specialist, Safeguard specialist &amp;agronomist</t>
  </si>
  <si>
    <t>B18
B19</t>
  </si>
  <si>
    <t>Travels Project consultants  (DSA-Tickets)</t>
  </si>
  <si>
    <t>B21
B22</t>
  </si>
  <si>
    <t>Supplies for five Field Farmer Schools and laptops for technicians</t>
  </si>
  <si>
    <t xml:space="preserve">Staff Cost </t>
  </si>
  <si>
    <t>TBD - Irrigation Ingeneers /trainers that facilitates the workshops (3)</t>
  </si>
  <si>
    <t>Local consultants</t>
  </si>
  <si>
    <t>B26
B27</t>
  </si>
  <si>
    <t xml:space="preserve">Consuntants and specialists to ensure the irrigation committees are able to cover O&amp;M costs once project is concluded. </t>
  </si>
  <si>
    <t>Laptops for the team</t>
  </si>
  <si>
    <t>Country
FAM</t>
  </si>
  <si>
    <t>Workshops and meetings promoting the signature of the legal agreements and the O&amp;M Plans</t>
  </si>
  <si>
    <t>TBD - Technical Assistance (Lawyers, Instutional specialsits) to follow up the agreements related to O&amp;M plans</t>
  </si>
  <si>
    <t>B34
B35</t>
  </si>
  <si>
    <t>Country
MMAyA</t>
  </si>
  <si>
    <t xml:space="preserve">Financial specialist to follow up the development of an innovative financial instruments. </t>
  </si>
  <si>
    <t>D4
D5</t>
  </si>
  <si>
    <t xml:space="preserve">NGO to develop innovative financial instruments that enable the implementation of climate-proofed irrigation and ecosystems restoration investments &amp; the design of a climate change financial plan </t>
  </si>
  <si>
    <t>laptops for technicians</t>
  </si>
  <si>
    <t>National staff to identify and instruct consultant team</t>
  </si>
  <si>
    <t xml:space="preserve">Establish coordination and consultative territorial platforms . Lawyer/Sociologist </t>
  </si>
  <si>
    <t>Training workshops on risks, climate change and management of information tools for prediction of extreme events</t>
  </si>
  <si>
    <t>COUNTRY 
FAM</t>
  </si>
  <si>
    <t xml:space="preserve">Workshops of strengthening the capacity of municipalities using mainstreamed methodology to assess the damage and economic losses. </t>
  </si>
  <si>
    <t>TBD - Institutional specialist to facilitate the training workshops</t>
  </si>
  <si>
    <t>Project Management Component</t>
  </si>
  <si>
    <t>Project Management</t>
  </si>
  <si>
    <t>National staff supporting project management</t>
  </si>
  <si>
    <t>PMU2
PMU3
PMU4
PMU5
PMU6
PMU7
PMU8
PMU9
PMU10</t>
  </si>
  <si>
    <t>Project Management Unit Team in charge of managing the project and execute it. Administrator, Procurement Assistant, Financial Assistant, M&amp;E specialist, K&amp;M specialist, IT, Communicator &amp;Gender specialist</t>
  </si>
  <si>
    <t>PMU11
PMU12
PMU13
PMU14
PMU15
PMU16
PMU17
PMU18</t>
  </si>
  <si>
    <t>Project Management Unit: laptops, printers, GPSs. Servers, equipment and evaluation equipment</t>
  </si>
  <si>
    <t>Follow up trips. DSA &amp; tickets for PMU team</t>
  </si>
  <si>
    <t xml:space="preserve">PMU20
PMU21
PMU22
PMU23
PMU24
</t>
  </si>
  <si>
    <t>General Operating expenses: Gas, telephone, courier, stationary</t>
  </si>
  <si>
    <t>Country</t>
  </si>
  <si>
    <t>General Operating expenses (premises)</t>
  </si>
  <si>
    <t>Specialist in masculinities</t>
  </si>
  <si>
    <t>Hydrogel</t>
  </si>
  <si>
    <t>Supplies for the instalation of Anti-hail nets</t>
  </si>
  <si>
    <t>bags</t>
  </si>
  <si>
    <t>Supplies to Promote the implementation and strengthening of bee keeping practices in  families  in areas of biodiversity conservation (This line includes equipment such as: beekeeper's gloves, special suit, beekeeper's spatula, smoker, hive and parts, brush, brain and others.)</t>
  </si>
  <si>
    <t>Field Farmer Schools workshops for producers in the communities (In 100 sessions with an investment of USD. 56 per participant, 8,896 producers from 5 schools will be trained. In each of the calls, 80 people are expected to participate, gathered according to subregions and production systems. ed. Each session is expected to involve 80 people from the same regional area)</t>
  </si>
  <si>
    <t>plan</t>
  </si>
  <si>
    <t>PMC GCF</t>
  </si>
  <si>
    <t>Travel &amp; DSA for national specialists and local consultants (Project trips have unit of measure in days considering that the rate calculation is per day - USD. 50)</t>
  </si>
  <si>
    <t>Travel and national DSA for technicians and specialists (Project trips have unit of measure in days considering that the rate calculation is per day - USD. 50 and for the specialists the mobilization to the territory is included).</t>
  </si>
  <si>
    <t>Travels Project Specialist and field Consultants (DSA-Tickets)  (Project trips have unit of measure in days considering that the rate calculation is per day - USD. 50 and for the specialists the mobilization to the territory is included).</t>
  </si>
  <si>
    <t>Consultant team working in associative productive ventures related to resilient agroecological management within the framework of the consolidation or implementation of centers for the collection.
Technical Agronomist and Agroforestry - design and implement incubation methodology</t>
  </si>
  <si>
    <t>40 Specialized ingeneers for the implementation, Installation and construction of  1,000 community reservoirs, installataion of  5,000 family water tanks</t>
  </si>
  <si>
    <t xml:space="preserve">160 constructors to build  1,000 community reservoirs, installataion of family water tanks and construction of small reservoir systems for at least 40 communities </t>
  </si>
  <si>
    <t>Implementation of demonstrative centers</t>
  </si>
  <si>
    <t>7 O&amp;M plans designed for the irrigation systems (1 standard legal agreement written and validated)</t>
  </si>
  <si>
    <t>Supplies to Promote the implementation and strengthening of bee keeping practices in  families  in areas of biodiversity conservation (20 associations and 800 small producers diversifying agriculture)</t>
  </si>
  <si>
    <t>Irrigation and water source information and monitoring system with tabular, geographic and documentary information</t>
  </si>
  <si>
    <t>Irrigation inventory in a tabular, digital and geographic (mitigation and adaptation to climate change)
Irrigation and water source information and monitoring system with tabular, geographic and documentary information - includes information on cubic meters of water, surface area and reservoir utilization.</t>
  </si>
  <si>
    <t>Preparation and implementation of operational plans regarding Master Plans</t>
  </si>
  <si>
    <t>Contract with a NGO, LOA for the Promotion and implementation plan of restoration measures. The intervention will consist of the restoration with native species, according to each selected site's ecological and environmental characteristics</t>
  </si>
  <si>
    <t xml:space="preserve">Promotion and implementation plan of restoration measures as an intervention to recover water sources and degraded soils.
</t>
  </si>
  <si>
    <t>Seeds and supplies to strengthen activities on at least 5 thousand hectares</t>
  </si>
  <si>
    <t>Training workshops on productive enterprise development and the organization of regional and international fairs to promote and open national and local markets for climate-resilient products. (includes travel, travel expenses, cathering, dissemination material and others).</t>
  </si>
  <si>
    <t>Forest Specialist and management</t>
  </si>
  <si>
    <t>Production and printing of a documentary on conservation agriculture practices</t>
  </si>
  <si>
    <t>Contract with an University or NGO for the elaboration and implementation of operational plans regarding  Master Plans &amp; Project's Plant Cover Atlas. Includes operational plan and its execution to operationalize the master plan.</t>
  </si>
  <si>
    <t>Preparation of bussiness plan for agro-ecological and organic products from resilient and conservation agriculture</t>
  </si>
  <si>
    <t xml:space="preserve">Elaboration of comunication material such us triptychs, biptychs and documents on methodologies used for adaptation to climate change.
</t>
  </si>
  <si>
    <t xml:space="preserve">B16
</t>
  </si>
  <si>
    <t>Printing material for farmer field school</t>
  </si>
  <si>
    <t>Implementation of demonstrative centers  (resilient agricultural plots, technical irrigation, sprinkling, thermal blankets, anti-hail nets, among others)</t>
  </si>
  <si>
    <t>Implementation of PTDIs</t>
  </si>
  <si>
    <t>Printing of publication of lessons learned</t>
  </si>
  <si>
    <t>Days</t>
  </si>
  <si>
    <t>Subtotal Activity 4.3.4</t>
  </si>
  <si>
    <t xml:space="preserve">Development of Knowledge management products </t>
  </si>
  <si>
    <t>Total  PMC</t>
  </si>
  <si>
    <t>Output 1.1</t>
  </si>
  <si>
    <t>Activity 1.1.2</t>
  </si>
  <si>
    <t>Activity 1.1.1</t>
  </si>
  <si>
    <t>Activity 1.2.1</t>
  </si>
  <si>
    <t>Activity 1.2.2</t>
  </si>
  <si>
    <t>Activity 1.2.3</t>
  </si>
  <si>
    <t>Activity 2.1.1</t>
  </si>
  <si>
    <t>Activity 2.1.2</t>
  </si>
  <si>
    <t>Activity 2.1.3</t>
  </si>
  <si>
    <t>Activity 4.3.4</t>
  </si>
  <si>
    <t>Activity 4.3.3</t>
  </si>
  <si>
    <t>Activity 4.3.2</t>
  </si>
  <si>
    <t>Activity 4.3.1</t>
  </si>
  <si>
    <t>Activity 4.2.2</t>
  </si>
  <si>
    <t>Activity 4.2.1</t>
  </si>
  <si>
    <t>Activity 4.1.1</t>
  </si>
  <si>
    <t>Activity 3.2.1</t>
  </si>
  <si>
    <t>Activity 3.1.2</t>
  </si>
  <si>
    <t>Activity 3.1.1</t>
  </si>
  <si>
    <t>Component 3 - Restored and conserved micro-watersheds and ecosystem functions and services</t>
  </si>
  <si>
    <t>Activity 2.2.4</t>
  </si>
  <si>
    <t>Activity 2.2.3</t>
  </si>
  <si>
    <t>Activity 2.2.2</t>
  </si>
  <si>
    <t>Activity 2.2.1</t>
  </si>
  <si>
    <t>Output 2.1</t>
  </si>
  <si>
    <t xml:space="preserve">Component 2 - Smallholder water resources secured to reduce the risks from droughts and low rainfall </t>
  </si>
  <si>
    <t>Total per Component</t>
  </si>
  <si>
    <t>Total Component</t>
  </si>
  <si>
    <t>GCF Total per Component</t>
  </si>
  <si>
    <t>GAP activities under Component 2</t>
  </si>
  <si>
    <t>GAP activities under Component 1</t>
  </si>
  <si>
    <t>Component 2. Smallholder water resources secured to reduce the risks from droughts and low rainfall</t>
  </si>
  <si>
    <t>Component3. 
Restored and conserved micro-watersheds and ecosystem functions and services</t>
  </si>
  <si>
    <t>Component 3. Restored and conserved micro-watersheds and ecosystem functions and services</t>
  </si>
  <si>
    <t>GAP activities under Component 3</t>
  </si>
  <si>
    <t>Organization of  local fairs to promote and open national and local markets for climate-resilient products</t>
  </si>
  <si>
    <t>Organization of national fairs to promote and open national and local markets for climate-resilient products.</t>
  </si>
  <si>
    <t>Participation in fairs to promote and market products</t>
  </si>
  <si>
    <t>Technicians in charge to prepare the operational plans for implementation of operational plans regarding  Master Plans &amp; nurseries</t>
  </si>
  <si>
    <t>Trips for the consultants to the communities to build the reservoirs, installation of tanks and construction of systems. In the case of the Government, the category used is trips as this category includes total travel expenses. For co-financing expenses, the rate is variable as it is a Government rate and has a particular scale established with differences depending on the position (Minister, Director, Technician), geographical area (national, departmental, provincial), etc.</t>
  </si>
  <si>
    <t>Trips to  the communities  for the workshops. In the case of the Government, the category used is trips as this category includes total travel expenses. For co-financing expenses, the rate is variable as it is a Government rate and has a particular scale established with differences depending on the position (Minister, Director, Technician), geographical area (national, departmental, provincial), etc.</t>
  </si>
  <si>
    <t>Trips to the communities to facilitate the signature of agreements. In the case of the Government, the category used is trips as this category includes total travel expenses. For co-financing expenses, the rate is variable as it is a Government rate and has a particular scale established with differences depending on the position (Minister, Director, Technician), geographical area (national, departmental, provincial), etc.</t>
  </si>
  <si>
    <t>TBD - Technicians from MMAyA in charge to prepare the operational plans -  - 20 technitians for 3.5  years</t>
  </si>
  <si>
    <t>Travel for the team in charge of the operational plans preparation. In the case of the Government, the category used is trips as this category includes total travel expenses. For co-financing expenses, the rate is variable as it is a Government rate and has a particular scale established with differences depending on the position (Minister, Director, Technician), geographical area (national, departmental, provincial), etc.</t>
  </si>
  <si>
    <t>Trips for the specialist to the municipalities to organize the workshops. In the case of the Government, the category used is trips as this category includes total travel expenses. For co-financing expenses, the rate is variable as it is a Government rate and has a particular scale established with differences depending on the position (Minister, Director, Technician), geographical area (national, departmental, provincial), etc.</t>
  </si>
  <si>
    <t>B-36.1</t>
  </si>
  <si>
    <t>B-36.2</t>
  </si>
  <si>
    <t>B-36.3</t>
  </si>
  <si>
    <t>Support to vehicles. Estimated amount for vehicle maintenance taking into account FAO's safety and quality recommendations, including mecanic service that must be approved and on FAO's roster (spare parts, maintenance, operation of vehicles)</t>
  </si>
  <si>
    <t>A16
A17
A18
A19
A20
A21</t>
  </si>
  <si>
    <t>A22
A23
A24</t>
  </si>
  <si>
    <t>A25
A26</t>
  </si>
  <si>
    <t xml:space="preserve">A34
A35
A36
</t>
  </si>
  <si>
    <t>A37
A39</t>
  </si>
  <si>
    <t xml:space="preserve">A38
</t>
  </si>
  <si>
    <t>A40
A41
A42</t>
  </si>
  <si>
    <t>A49
A50
A51
A52</t>
  </si>
  <si>
    <t>B36.1
B36.2
B36.3</t>
  </si>
  <si>
    <t>Supplies and materials to build and implement 1200 Solar tents. Tents from 50 m2, made with mud bricks, agrofilm, iron windows and door.
Supplies and materials for the instalation of 600 anti-hail nets.</t>
  </si>
  <si>
    <t>Thermal blankets</t>
  </si>
  <si>
    <t>Consultant team work to deliver climate resilient technology support, provide technical assistance for the adoption of the integral packages of climate technologies for agricultural adaptation. Agronomist, Thematic specialists, technical specialist and specialist in masculinites.</t>
  </si>
  <si>
    <t>Agronomist and Agroforestry consultants which are consultant team working in facilitating and providing technical assistance to the small holder farmers on the processes of organic certification for agricultural products as well as on strengthening agricultural food supply chains. 
Consultant team working in facilitating and providing technical assistance to the small holder farmers on the processes of organic certification for agricultural products as well as on strengthening agricultural food supply chains. Agronomist, Technical Agroforestry, cliamta change specialist</t>
  </si>
  <si>
    <t>A5a</t>
  </si>
  <si>
    <t>A9a</t>
  </si>
  <si>
    <t>A10a</t>
  </si>
  <si>
    <t>A1
A2
A3
A4
A5
A5a
A6</t>
  </si>
  <si>
    <t>A9
A10a</t>
  </si>
  <si>
    <t>A9a
A10
A11
A12
A13
A14
A15</t>
  </si>
  <si>
    <t>Subtotal by source</t>
  </si>
  <si>
    <r>
      <rPr>
        <b/>
        <sz val="11"/>
        <color theme="1"/>
        <rFont val="Calibri"/>
        <family val="2"/>
        <scheme val="minor"/>
      </rPr>
      <t>P3 Officer - Terms of Reference (TOR)</t>
    </r>
    <r>
      <rPr>
        <sz val="11"/>
        <color theme="1"/>
        <rFont val="Calibri"/>
        <family val="2"/>
        <scheme val="minor"/>
      </rPr>
      <t xml:space="preserve">
</t>
    </r>
    <r>
      <rPr>
        <b/>
        <sz val="11"/>
        <color theme="1"/>
        <rFont val="Calibri"/>
        <family val="2"/>
        <scheme val="minor"/>
      </rPr>
      <t>Technical Focus</t>
    </r>
    <r>
      <rPr>
        <sz val="11"/>
        <color theme="1"/>
        <rFont val="Calibri"/>
        <family val="2"/>
        <scheme val="minor"/>
      </rPr>
      <t xml:space="preserve">
Lead and coordinate the operational support function of the field programme including agriculture risk and emergency, rehabilitation, restauration and rural development projects in coordination both national and regional/global projects
</t>
    </r>
    <r>
      <rPr>
        <b/>
        <sz val="11"/>
        <color theme="1"/>
        <rFont val="Calibri"/>
        <family val="2"/>
        <scheme val="minor"/>
      </rPr>
      <t>Key Results</t>
    </r>
    <r>
      <rPr>
        <sz val="11"/>
        <color theme="1"/>
        <rFont val="Calibri"/>
        <family val="2"/>
        <scheme val="minor"/>
      </rPr>
      <t xml:space="preserve">
The provision of operations support services.
</t>
    </r>
    <r>
      <rPr>
        <b/>
        <sz val="11"/>
        <color theme="1"/>
        <rFont val="Calibri"/>
        <family val="2"/>
        <scheme val="minor"/>
      </rPr>
      <t>Key Functions</t>
    </r>
    <r>
      <rPr>
        <sz val="11"/>
        <color theme="1"/>
        <rFont val="Calibri"/>
        <family val="2"/>
        <scheme val="minor"/>
      </rPr>
      <t xml:space="preserve">
• Acts as focal point for all project operational matters, organizes and handles day-to-day operational activities of the field programme (including agriculture risk and emergency, rehabilitation, restauration and rural development projects, both national and regional/global projects) and takes action, in consultation with the supervisors, on any issues which arise during the execution period;
• Prepares project task force meetings and provides secretariat support:
• Ensures the timely provision of project inputs (personnel, technical support services, subcontracts, training, equipment and supplies) directly by the Organization or, when appropriate, through contractors, and in liaison with other support units;
• Participates in the preparation of project work plans, monitors progress and, where necessary, identifies corrective measures to overcome operational constraints;
• Reviews and monitors project budget and prepares requests and revisions as required;  closely monitors budget expenditures and resources; reviews project transaction listings with a view to identifying errors in accounting against budget lines;
• Prepares and submits the Project Implementation Reports and any other reports required by the Organization;
• Ensures the completeness and quality of data and documentation in the FAO corporate systems (e.g. GRMS, FPMIS) for all assigned operational field projects/activities;
• Prepares analytical reports on project performances, as required;
• Coordinates action concerning the completion of field projects and arranges for timely and adequate reporting, including identification of project follow-up requirements;
• Contributes to the formulation of project proposals according to FAO's procedures and prepares project documents for technical clearance and final approval under different funding arrangements;
• Performs other duties as required.
</t>
    </r>
    <r>
      <rPr>
        <b/>
        <sz val="11"/>
        <color theme="1"/>
        <rFont val="Calibri"/>
        <family val="2"/>
        <scheme val="minor"/>
      </rPr>
      <t>Specific Functions</t>
    </r>
    <r>
      <rPr>
        <sz val="11"/>
        <color theme="1"/>
        <rFont val="Calibri"/>
        <family val="2"/>
        <scheme val="minor"/>
      </rPr>
      <t xml:space="preserve">
• Liaises with FAO departments and Decentralized Offices, as necessary, on issues related to development and implementation of emergency, rehabilitation and development projects;
• Liaises with the agencies of the UN system, recipient government officials, NGOs and other partners as well as  stakeholders, as required;
• Supports project governing bodies and other fora related to FAO's programmes;
• Develops, adapts and implements relevant planning and monitoring tools relating to budgeting, field activities, procurement and inventory, staffing and monthly/progress reporting;
• Supports and guides the operation-related work of professional personnel and general service staff at the FAO Representation in South Sudan and field offices;
• Monitors Letters of Agreement (LoA) and provides operational support, advice and guidance to NGOs and Geoscience and Remote Sensing Society (GRSS) service providers.
______________________________________________________________________________________________________
</t>
    </r>
    <r>
      <rPr>
        <b/>
        <sz val="11"/>
        <color theme="1"/>
        <rFont val="Calibri"/>
        <family val="2"/>
        <scheme val="minor"/>
      </rPr>
      <t>CANDIDATES WILL BE ASSESSED AGAINST THE FOLLOWING</t>
    </r>
    <r>
      <rPr>
        <sz val="11"/>
        <color theme="1"/>
        <rFont val="Calibri"/>
        <family val="2"/>
        <scheme val="minor"/>
      </rPr>
      <t xml:space="preserve">
</t>
    </r>
    <r>
      <rPr>
        <b/>
        <sz val="11"/>
        <color theme="1"/>
        <rFont val="Calibri"/>
        <family val="2"/>
        <scheme val="minor"/>
      </rPr>
      <t>Minimum Requirements</t>
    </r>
    <r>
      <rPr>
        <sz val="11"/>
        <color theme="1"/>
        <rFont val="Calibri"/>
        <family val="2"/>
        <scheme val="minor"/>
      </rPr>
      <t xml:space="preserve">
• Advanced degree in public or business administration, finance, accounting, economics, social sciences or other fields related to FAO’s mandate;
• Five years of relevant experience in agriculture and rural development project management/operations and support
• Working knowledge of English and Spanish.
</t>
    </r>
    <r>
      <rPr>
        <b/>
        <sz val="11"/>
        <color theme="1"/>
        <rFont val="Calibri"/>
        <family val="2"/>
        <scheme val="minor"/>
      </rPr>
      <t>Competencies</t>
    </r>
    <r>
      <rPr>
        <sz val="11"/>
        <color theme="1"/>
        <rFont val="Calibri"/>
        <family val="2"/>
        <scheme val="minor"/>
      </rPr>
      <t xml:space="preserve">
• Results Focus
• Team Work
• Communication
• Building Effective Relationships
• Knowledge Sharing and Continuous Improvement
</t>
    </r>
    <r>
      <rPr>
        <b/>
        <sz val="11"/>
        <color theme="1"/>
        <rFont val="Calibri"/>
        <family val="2"/>
        <scheme val="minor"/>
      </rPr>
      <t>Technical/Functional Skills</t>
    </r>
    <r>
      <rPr>
        <sz val="11"/>
        <color theme="1"/>
        <rFont val="Calibri"/>
        <family val="2"/>
        <scheme val="minor"/>
      </rPr>
      <t xml:space="preserve">
• Work experience in more than one location or area of work, particularly in field positions is desirable;
• Extent and relevance of experience in programme/project formulation, analysis, planning, implementation and monitoring;
• Extent and relevance of experience in supporting, advising and guiding the implementation of complex multistakeholder projects;
• • Extent and relevance of experience in desing and supporting implementation of Green Climate Fund projects is considered a strong asset;
• Understanding of FAO policies and programmes is considered a strong asset;
• Demonstrated ability to develop plans for the implementation and coordination of project operations in developing countries, in partnership with UN agencies and other concerned actors;
• Familiarity with UN administrative, operational and financial procedures is an asset;
• Knowledge of the issues in Bolivia and the valleys macro-region, farmer agriculture, forest management, water uses, irigation and clima change;
• Working knowledge of English is considered a strong asset.
______________________________________________________________________________________________________
Please note that all candidates should adhere to FAO Values of Commitment to FAO, Respect for All and Integrity and Transparency.
______________________________________________________________________________________________________
</t>
    </r>
    <r>
      <rPr>
        <b/>
        <sz val="11"/>
        <color theme="1"/>
        <rFont val="Calibri"/>
        <family val="2"/>
        <scheme val="minor"/>
      </rPr>
      <t>GENERAL INFORMATION</t>
    </r>
    <r>
      <rPr>
        <sz val="11"/>
        <color theme="1"/>
        <rFont val="Calibri"/>
        <family val="2"/>
        <scheme val="minor"/>
      </rPr>
      <t xml:space="preserve">
• Candidates endorsed in the selection process for this vacancy announcement will be considered for the FAO Professional Employment Roster for a period of two years. The Roster is used to fill other similar positions at the same or lower grade, and in the same or another duty station;
• FAO reserves the right not to make an appointment, to make an appointment at a lower grade, or to make an appointment with a modified job description.
</t>
    </r>
  </si>
  <si>
    <t>Travel for local governement staff to follow up/monitor project activities. In the case of the Government, the category used is trips as this category includes total travel expenses. For co-financing expenses, the rate is variable as it is a Government rate and has a particular scale established with differences depending on the position (Minister, Director, Technician), geographical area (national, departmental, provincial), etc.</t>
  </si>
  <si>
    <t xml:space="preserve">Hydrogel (5200 producers will receive 25 kg of hydrogel)
Thermal blanket, 2.5 oz. white, non-woven, needle-punched polypropylene fabric
Laptops for the technical team.
8 vehicles (Vehicle 0 km, capacity of 4-5 passengers, transmission 5mt, 16-valve engine - 2200cc , hopper protector, armored glass cover, 1 jack and wheel wrenches, battery cable, hand flashlight, etc.). Two vechicles per each TOUs of the project (4 TOUs in total).
8 motorcycles (Vehicle 0 km, 2 passenger capacity, transmission 5 gears - chain, 4 stroke engine - 197.00 cc, safety chain, 1 homologated safety helmet, safety goggles, reflective vest, head flashlight, set of elbow and knee pads, tool kit, etc.). Two motorcycles per each TOU of the project (4 TOUs in total).
Vehicle maintenance (This amount considers three yearly maintenance services differentiated by the wear and tear of use in addition to a provision of funds for spare parts.). </t>
  </si>
  <si>
    <t>A28
A29
A32
A33</t>
  </si>
  <si>
    <t>Laptops for the technical team.
Vehicle maintenance (This amount considers three yearly maintenance services differentiated by the wear and tear of use in addition to a provision of funds for spare parts.). 
Seeds and supplies to strengthen activities on at least 5 thousand hectares, this includes: bio-inputs for agricultural production, direct seeding machine, harvester, certified seeds to be identified, etc.).</t>
  </si>
  <si>
    <t>A43
A44
A47
A48</t>
  </si>
  <si>
    <t xml:space="preserve">Provision of supplies for productive enterprises (purchase of machinery for the processing of family farming products, their transportation, installation, training, insurance, as well as the transportation of value-added products).
Laptops for consultant team; 
Vehicle maintenance (This amount considers three yearly maintenance services differentiated by the wear and tear of use in addition to a provision of funds for spare parts.). </t>
  </si>
  <si>
    <t>Safeguard Specialist - Indigenous People</t>
  </si>
  <si>
    <t>Vehicles (5)</t>
  </si>
  <si>
    <t>Motorcycles (5)</t>
  </si>
  <si>
    <t>Monitoring and information system</t>
  </si>
  <si>
    <t>D19a</t>
  </si>
  <si>
    <t>D19b</t>
  </si>
  <si>
    <t>D19c</t>
  </si>
  <si>
    <t>D19d</t>
  </si>
  <si>
    <t>Contract for the development and implementation of a monitoring systems for the project. Platform with an application for mobile devices and data collection. It includes conceptual development, platform development, testing, traninig plan and implementation.</t>
  </si>
  <si>
    <t xml:space="preserve">A57
A58
A59
</t>
  </si>
  <si>
    <t xml:space="preserve">Consultant team to deliver livelihood and economic diversification increasing resilience to climate change. Agronomist, Technical agrofoestry and climate change specialist.
</t>
  </si>
  <si>
    <t xml:space="preserve">A60
</t>
  </si>
  <si>
    <t xml:space="preserve">A62
</t>
  </si>
  <si>
    <t xml:space="preserve">GAP workshop activities under Component 1
</t>
  </si>
  <si>
    <t xml:space="preserve">B28
</t>
  </si>
  <si>
    <t>Forest specialist to develop and implement an online tool  for monitoring, consolidation and dissemination of information</t>
  </si>
  <si>
    <t>C8
C9</t>
  </si>
  <si>
    <t>National adn GAP worshops</t>
  </si>
  <si>
    <t>Bee pollination route in the Valles macroregion study.</t>
  </si>
  <si>
    <t>Component 1
Strengthened food and income security in changing climate through climate resilient agricultural systems</t>
  </si>
  <si>
    <t xml:space="preserve">Component 4. Enabling conditions created to implement and upscale climate-resilient agroecological management, climate-informed integral micro-watershed management, and access to financial mechanismse </t>
  </si>
  <si>
    <t xml:space="preserve">Component 4. Enabling conditions created to implement and upscale climate-resilient agroecological management, climate-informed integral micro-watershed management, and access to financial mechanisms </t>
  </si>
  <si>
    <t>Component 4. Enabling conditions created to implement and upscale climate-resilient agroecological management, climate-informed integral micro-watershed management, and access to financial mechanisms</t>
  </si>
  <si>
    <t>Workshops/events to collect/generate data to monitor the project activities/indicators.</t>
  </si>
  <si>
    <t>Travel to colkect/generate data to monitor the project activities/indicators (for the Monitoring Speciliast and national monitoring assistants)</t>
  </si>
  <si>
    <t xml:space="preserve">National montioring assistants to collect/generate data in the field to monitor the project activities/indicators (25% of his/her time for each component).
</t>
  </si>
  <si>
    <t>Impact evaluation of the project. These include a baseline, midterm and final survey of beneficiary and control households as well as the data analysis of these surveys to assess impact.</t>
  </si>
  <si>
    <t xml:space="preserve">Impact evaluation of the project. These include a baseline, midterm and final survey of beneficiary and control households as well as the data analysis of these surveys to assess impact. This is included in the budget </t>
  </si>
  <si>
    <t>Consultations/workshops to develop (and to present) knowledge management products</t>
  </si>
  <si>
    <t>Component 1 - Strengthened food and income security in changing climate through climate resilient agricultural systems</t>
  </si>
  <si>
    <t>Component 4 - 
Enabling conditions created to implement and upscale climate-resilient agroecological management, climate-informed integral micro-watershed management, and access to financial mechanisms</t>
  </si>
  <si>
    <t>Strengthen capacities of communities, smallholders and associations on financial management </t>
  </si>
  <si>
    <t>Organize roundtables to connect farmers with financial and insurance entities</t>
  </si>
  <si>
    <t>D8a</t>
  </si>
  <si>
    <t>D8b</t>
  </si>
  <si>
    <t>Educational material to disseminate insurance information</t>
  </si>
  <si>
    <t>Technical specialist in agri-food and insurance (design of the risk-indexed microinsurance) - Methodology and operational strategy (3)</t>
  </si>
  <si>
    <t>Incidence workshops and financial training considered for 7 microregions - Associated with agricultural insurance management.</t>
  </si>
  <si>
    <t>D8c</t>
  </si>
  <si>
    <t>Educational material in innovative formats and social media to disseminate the information about insurance in an organized manner to avoid misunderstandings, so as disseminating periodically the agromatic information to apply agriculture risk reductions practices to avoid losses.</t>
  </si>
  <si>
    <t>Workshops on conservation agriculture practices, anti-hail nets, thermal blankets, fire free agriculture, among others</t>
  </si>
  <si>
    <t>Workshops on risks (frost, droughts, hailstorms and fires), climate change and management of information tools for prediction of extreme events</t>
  </si>
  <si>
    <t>Process of strengthening the capacity of municipalities using mainstreamed methodology to assess the damage and economic losses of extreme climate change  (frost, droughts, hailstorms and fires)</t>
  </si>
  <si>
    <t>Indicative cost</t>
  </si>
  <si>
    <t>million USD ($)</t>
  </si>
  <si>
    <t>GCF financing</t>
  </si>
  <si>
    <t>Co-financing</t>
  </si>
  <si>
    <t>Amount</t>
  </si>
  <si>
    <t>Financial Instrument</t>
  </si>
  <si>
    <t>Name of Institutions</t>
  </si>
  <si>
    <r>
      <t>Component 1.</t>
    </r>
    <r>
      <rPr>
        <sz val="8"/>
        <color theme="1"/>
        <rFont val="Arial"/>
        <family val="2"/>
      </rPr>
      <t xml:space="preserve"> </t>
    </r>
  </si>
  <si>
    <t>Grant</t>
  </si>
  <si>
    <t>-</t>
  </si>
  <si>
    <r>
      <t>Component 2.</t>
    </r>
    <r>
      <rPr>
        <sz val="8"/>
        <color theme="1"/>
        <rFont val="Arial"/>
        <family val="2"/>
      </rPr>
      <t xml:space="preserve"> </t>
    </r>
  </si>
  <si>
    <t>In-kind</t>
  </si>
  <si>
    <t>MMAyA</t>
  </si>
  <si>
    <t xml:space="preserve">MMAyA/FAM </t>
  </si>
  <si>
    <r>
      <t>Component 3.</t>
    </r>
    <r>
      <rPr>
        <sz val="8"/>
        <color theme="1"/>
        <rFont val="Arial"/>
        <family val="2"/>
      </rPr>
      <t xml:space="preserve"> </t>
    </r>
  </si>
  <si>
    <t xml:space="preserve">MMAyA </t>
  </si>
  <si>
    <t xml:space="preserve">- </t>
  </si>
  <si>
    <r>
      <t>Component 4</t>
    </r>
    <r>
      <rPr>
        <sz val="8"/>
        <color theme="1"/>
        <rFont val="Arial"/>
        <family val="2"/>
      </rPr>
      <t xml:space="preserve"> </t>
    </r>
  </si>
  <si>
    <t xml:space="preserve">FAM </t>
  </si>
  <si>
    <t>Project Management (PMC)</t>
  </si>
  <si>
    <t xml:space="preserve">In-kind </t>
  </si>
  <si>
    <r>
      <t>Indicative total cost</t>
    </r>
    <r>
      <rPr>
        <sz val="9"/>
        <color theme="1"/>
        <rFont val="Arial"/>
        <family val="2"/>
      </rPr>
      <t xml:space="preserve"> </t>
    </r>
    <r>
      <rPr>
        <b/>
        <sz val="9"/>
        <color theme="1"/>
        <rFont val="Arial"/>
        <family val="2"/>
      </rPr>
      <t>(USD)</t>
    </r>
  </si>
  <si>
    <t>Safeguard Specialist -Indigenous peoples</t>
  </si>
  <si>
    <t>Safeguard Specialist - Indigenous peoples</t>
  </si>
  <si>
    <t>Agronomist Specialist</t>
  </si>
  <si>
    <t>Climate Change Specialist</t>
  </si>
  <si>
    <t>Technical Climate Change for 2 TOUS for component 1</t>
  </si>
  <si>
    <t>Preparation of Local water use plan - for prioritized municipalities</t>
  </si>
  <si>
    <t>Preparation of Local micro-watershed management plan - for micro-watersheds with prioritized communities</t>
  </si>
  <si>
    <t>Preparation of Management plans (conservation, restoration and utilization)</t>
  </si>
  <si>
    <t>Preparation of Local water use plan - for prioritized municipalities.
Preparation of Local micro-watershed management plan - for micro-watersheds with prioritized communities.
Preparation of Management plans (conservation, restoration and utilization)
(All plans include field clothing, safety attachments, diagnostic maps, purchase of satellite images, overflights, implementation of nanotechnology, gps, data meters, water balance, etc.)</t>
  </si>
  <si>
    <t>FAM</t>
  </si>
  <si>
    <t>Subtotal Component 3</t>
  </si>
  <si>
    <t>Subtotal Component 4</t>
  </si>
  <si>
    <t>Grand Total</t>
  </si>
  <si>
    <t>Disbursement No.</t>
  </si>
  <si>
    <t>Disbursement  of GCF Proceeds (USD)</t>
  </si>
  <si>
    <t>Improvement of water fund mechanism and capacity building of potencial beneficiaries</t>
  </si>
  <si>
    <t>D8d</t>
  </si>
  <si>
    <t>D8e</t>
  </si>
  <si>
    <t>D8f</t>
  </si>
  <si>
    <t>D8b
D8d</t>
  </si>
  <si>
    <t>Consultants (3) - Technical specialists in agri-food and insurance (design of the risk-indexed microinsurance) - Methodology and operational strategy
Consultants specialist (3) finance, agronomist, legal - map the needs/current products/financial products and services</t>
  </si>
  <si>
    <t>Consultants specialist (3) finance, agronomist, legal - map the needs/current products/financial products and services</t>
  </si>
  <si>
    <t>D8
D8a 
D8f
D9</t>
  </si>
  <si>
    <t>Training to strengthen capacities of communities, smallholders and associations on financial management 
Organization of roundtables to connect farmers with financial and insurance entities
Workshops to ngage farmers in climate resilient agriculture/conduct research on effective and affordable innovations related to credit assessment, financial products, and delivery mechanisms/conduct mapping referred on legal, administrative or other obstacles, that prevent increasing agricultural financing
Annual training workshops / capacity building on gender responsive financial management and access to innovative financial instruments for climate resilience</t>
  </si>
  <si>
    <t>Workshps to engage farmers in climate resilient agricullture/conduct research on effective and affordable innovations</t>
  </si>
  <si>
    <t>M&amp;E</t>
  </si>
  <si>
    <t>Subttotal M&amp;E</t>
  </si>
  <si>
    <t>M&amp;E1</t>
  </si>
  <si>
    <t>M&amp;E2</t>
  </si>
  <si>
    <t>M&amp;E3</t>
  </si>
  <si>
    <t>M&amp;E4</t>
  </si>
  <si>
    <t>staff</t>
  </si>
  <si>
    <t>Government field staff M&amp;E</t>
  </si>
  <si>
    <t>National monitoring field assistants to collect/generate data in the field to monitor the project activities/indicators (4)</t>
  </si>
  <si>
    <t>PMU25
PMU26
PMU 27</t>
  </si>
  <si>
    <t>Government staff (including field and M&amp;E activities) to follow up/coordination the project</t>
  </si>
  <si>
    <t xml:space="preserve">PMU28
</t>
  </si>
  <si>
    <t>PMU31</t>
  </si>
  <si>
    <t>PMU29
PMU30</t>
  </si>
  <si>
    <t>M&amp;E5</t>
  </si>
  <si>
    <t>National M&amp;E assistant</t>
  </si>
  <si>
    <t>M&amp;E6</t>
  </si>
  <si>
    <t>Training</t>
  </si>
  <si>
    <t>Monitoring and information system. Contract for the development and implementation of a monitoring systems for the project. Platform with an application for mobile devices and data collection. It includes conceptual development, platform development, testing, traninig plan and implementation.</t>
  </si>
  <si>
    <t>Travel to collect/generate data to monitor the project activities/indicators</t>
  </si>
  <si>
    <t>Travel to collect/generate data to monitor the project activities/indicators (for the Monitoring Speciliast and national monitoring assistants)</t>
  </si>
  <si>
    <t>Contract for the design of evaluation indicators of adaption practices to CC and their implementation</t>
  </si>
  <si>
    <t>National M&amp;E assistant to colaborate to the M&amp;E specialist.</t>
  </si>
  <si>
    <t>Budget by Year, Source and Component</t>
  </si>
  <si>
    <t>Contracts for the development of baseline, midterm and final monitoring methodologies and indicators.</t>
  </si>
  <si>
    <t>COF - FAM</t>
  </si>
  <si>
    <t>PMC COF FAM</t>
  </si>
  <si>
    <t>Subtotal M&amp;E</t>
  </si>
  <si>
    <t>Budget: 63,300,000</t>
  </si>
  <si>
    <t>COF-MMAyA</t>
  </si>
  <si>
    <t>COF- FAM</t>
  </si>
  <si>
    <t>COF-FAM</t>
  </si>
  <si>
    <t>PMC COF - MMAyA</t>
  </si>
  <si>
    <t>COF - MMAyA</t>
  </si>
  <si>
    <t>Materials and tools for reservoirs/water tanks package cost (supplies)
Geomembranes, rental of machinery for reservoir/water tanks, work tools, and others.</t>
  </si>
  <si>
    <t xml:space="preserve">Materials and tools for reservoirs/water tanks package cost (supplies)
</t>
  </si>
  <si>
    <t>Project name: Upscaling Ecosystem Based Climate Resilience of Vulnerable Rural Communities in the Valles Macro-region of the Plurinational State of Bolivia (RECEM-Valles)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</si>
</sst>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_);_(* \(#,##0.00\);_(* &quot;-&quot;??_);_(@_)"/>
    <numFmt numFmtId="164" formatCode="_-* #,##0.00_-;\-* #,##0.00_-;_-* &quot;-&quot;??_-;_-@_-"/>
    <numFmt numFmtId="165" formatCode="_(* #,##0_);_(* \(#,##0\);_(* &quot;-&quot;??_);_(@_)"/>
    <numFmt numFmtId="166" formatCode="_(* #,##0.00_);_(* \(#,##0.00\);_(* \-??_);_(@_)"/>
    <numFmt numFmtId="167" formatCode="0.0%"/>
    <numFmt numFmtId="168" formatCode="0.0"/>
    <numFmt numFmtId="169" formatCode="#,##0.000"/>
    <numFmt numFmtId="170" formatCode="_(* #,##0.000_);_(* \(#,##0.000\);_(* &quot;-&quot;??_);_(@_)"/>
    <numFmt numFmtId="171" formatCode="_(* #,##0.0000_);_(* \(#,##0.0000\);_(* &quot;-&quot;??_);_(@_)"/>
    <numFmt numFmtId="172" formatCode="_(* #,##0.00000_);_(* \(#,##0.00000\);_(* &quot;-&quot;??_);_(@_)"/>
    <numFmt numFmtId="173" formatCode="0.000"/>
  </numFmts>
  <fonts count="56" x14ac:knownFonts="1">
    <font>
      <sz val="11"/>
      <color theme="1"/>
      <name val="Calibri"/>
      <family val="2"/>
      <scheme val="minor"/>
    </font>
    <font>
      <sz val="11"/>
      <color theme="1"/>
      <name val="Calibri"/>
      <family val="2"/>
      <scheme val="minor"/>
    </font>
    <font>
      <sz val="9"/>
      <color theme="1"/>
      <name val="Cambria"/>
      <family val="1"/>
    </font>
    <font>
      <sz val="11"/>
      <name val="Calibri"/>
      <family val="2"/>
      <scheme val="minor"/>
    </font>
    <font>
      <b/>
      <sz val="9"/>
      <color theme="0"/>
      <name val="Cambria"/>
      <family val="1"/>
    </font>
    <font>
      <sz val="9"/>
      <color theme="1"/>
      <name val="Calibri"/>
      <family val="2"/>
      <scheme val="minor"/>
    </font>
    <font>
      <sz val="9"/>
      <name val="Calibri"/>
      <family val="2"/>
      <scheme val="minor"/>
    </font>
    <font>
      <i/>
      <sz val="9"/>
      <color theme="1"/>
      <name val="Calibri"/>
      <family val="2"/>
      <scheme val="minor"/>
    </font>
    <font>
      <b/>
      <sz val="9"/>
      <color theme="1"/>
      <name val="Calibri"/>
      <family val="2"/>
      <scheme val="minor"/>
    </font>
    <font>
      <b/>
      <u/>
      <sz val="9"/>
      <color theme="0"/>
      <name val="Calibri"/>
      <family val="2"/>
      <scheme val="minor"/>
    </font>
    <font>
      <sz val="10"/>
      <name val="Arial"/>
      <family val="2"/>
      <charset val="1"/>
    </font>
    <font>
      <sz val="11"/>
      <color rgb="FF000000"/>
      <name val="Calibri"/>
      <family val="2"/>
      <charset val="1"/>
    </font>
    <font>
      <sz val="10"/>
      <color theme="1"/>
      <name val="Arial"/>
      <family val="2"/>
    </font>
    <font>
      <sz val="8"/>
      <name val="Calibri"/>
      <family val="2"/>
      <scheme val="minor"/>
    </font>
    <font>
      <b/>
      <sz val="11"/>
      <color theme="0"/>
      <name val="Calibri"/>
      <family val="2"/>
      <scheme val="minor"/>
    </font>
    <font>
      <sz val="11"/>
      <color theme="0"/>
      <name val="Calibri"/>
      <family val="2"/>
      <scheme val="minor"/>
    </font>
    <font>
      <b/>
      <sz val="11"/>
      <name val="Calibri"/>
      <family val="2"/>
      <scheme val="minor"/>
    </font>
    <font>
      <sz val="11"/>
      <name val="Calibri"/>
      <family val="2"/>
    </font>
    <font>
      <b/>
      <sz val="11"/>
      <color rgb="FFFFFFFF"/>
      <name val="Calibri"/>
      <family val="2"/>
    </font>
    <font>
      <sz val="11"/>
      <color theme="1"/>
      <name val="Calibri"/>
      <family val="2"/>
    </font>
    <font>
      <i/>
      <sz val="11"/>
      <color rgb="FF000000"/>
      <name val="Calibri"/>
      <family val="2"/>
    </font>
    <font>
      <b/>
      <sz val="11"/>
      <color rgb="FF000000"/>
      <name val="Calibri"/>
      <family val="2"/>
    </font>
    <font>
      <b/>
      <sz val="11"/>
      <name val="Calibri"/>
      <family val="2"/>
    </font>
    <font>
      <sz val="10"/>
      <name val="Calibri"/>
      <family val="2"/>
      <scheme val="minor"/>
    </font>
    <font>
      <i/>
      <sz val="8"/>
      <color theme="0" tint="-0.499984740745262"/>
      <name val="Arial"/>
      <family val="2"/>
    </font>
    <font>
      <sz val="16"/>
      <name val="Calibri"/>
      <family val="2"/>
      <scheme val="minor"/>
    </font>
    <font>
      <i/>
      <sz val="9"/>
      <name val="Calibri"/>
      <family val="2"/>
      <scheme val="minor"/>
    </font>
    <font>
      <sz val="11"/>
      <name val="Cambria"/>
      <family val="1"/>
    </font>
    <font>
      <b/>
      <sz val="11"/>
      <name val="Cambria"/>
      <family val="1"/>
    </font>
    <font>
      <b/>
      <sz val="11"/>
      <color theme="1"/>
      <name val="Cambria"/>
      <family val="1"/>
    </font>
    <font>
      <b/>
      <u/>
      <sz val="10"/>
      <color theme="0"/>
      <name val="Calibri"/>
      <family val="2"/>
      <scheme val="minor"/>
    </font>
    <font>
      <b/>
      <sz val="10"/>
      <color theme="0"/>
      <name val="Calibri"/>
      <family val="2"/>
      <scheme val="minor"/>
    </font>
    <font>
      <b/>
      <i/>
      <sz val="10"/>
      <color theme="0"/>
      <name val="Calibri"/>
      <family val="2"/>
      <scheme val="minor"/>
    </font>
    <font>
      <b/>
      <sz val="11"/>
      <color theme="1"/>
      <name val="Calibri"/>
      <family val="2"/>
      <scheme val="minor"/>
    </font>
    <font>
      <b/>
      <i/>
      <sz val="7"/>
      <color rgb="FF000000"/>
      <name val="Calibri"/>
      <family val="2"/>
      <scheme val="minor"/>
    </font>
    <font>
      <i/>
      <sz val="7"/>
      <color rgb="FF000000"/>
      <name val="Calibri"/>
      <family val="2"/>
      <scheme val="minor"/>
    </font>
    <font>
      <b/>
      <i/>
      <sz val="7"/>
      <color theme="1"/>
      <name val="Calibri"/>
      <family val="2"/>
      <scheme val="minor"/>
    </font>
    <font>
      <i/>
      <sz val="7"/>
      <color theme="1"/>
      <name val="Calibri"/>
      <family val="2"/>
      <scheme val="minor"/>
    </font>
    <font>
      <b/>
      <sz val="9"/>
      <color theme="1"/>
      <name val="Arial"/>
      <family val="2"/>
    </font>
    <font>
      <sz val="8"/>
      <color theme="1"/>
      <name val="Arial"/>
      <family val="2"/>
    </font>
    <font>
      <b/>
      <sz val="8"/>
      <color theme="1"/>
      <name val="Arial"/>
      <family val="2"/>
    </font>
    <font>
      <u/>
      <sz val="9"/>
      <color theme="1"/>
      <name val="Arial"/>
      <family val="2"/>
    </font>
    <font>
      <sz val="8"/>
      <color rgb="FF000000"/>
      <name val="Arial"/>
      <family val="2"/>
    </font>
    <font>
      <sz val="9"/>
      <color theme="1"/>
      <name val="Arial"/>
      <family val="2"/>
    </font>
    <font>
      <sz val="10"/>
      <color theme="1"/>
      <name val="Calibri"/>
      <family val="2"/>
      <scheme val="minor"/>
    </font>
    <font>
      <b/>
      <sz val="10"/>
      <color theme="1"/>
      <name val="Calibri"/>
      <family val="2"/>
      <scheme val="minor"/>
    </font>
    <font>
      <b/>
      <sz val="10"/>
      <color rgb="FF000000"/>
      <name val="Cambria"/>
      <family val="1"/>
    </font>
    <font>
      <sz val="10"/>
      <color rgb="FF000000"/>
      <name val="Calibri"/>
      <family val="2"/>
      <scheme val="minor"/>
    </font>
    <font>
      <sz val="8"/>
      <color theme="1"/>
      <name val="Calibri"/>
      <family val="2"/>
      <scheme val="minor"/>
    </font>
    <font>
      <b/>
      <sz val="11"/>
      <color rgb="FF000000"/>
      <name val="Cambria"/>
      <family val="1"/>
    </font>
    <font>
      <sz val="11"/>
      <color rgb="FF000000"/>
      <name val="Cambria"/>
      <family val="1"/>
    </font>
    <font>
      <sz val="11"/>
      <color rgb="FF000000"/>
      <name val="Calibri"/>
      <family val="2"/>
      <scheme val="minor"/>
    </font>
    <font>
      <b/>
      <sz val="10"/>
      <name val="Calibri"/>
      <family val="2"/>
      <scheme val="minor"/>
    </font>
    <font>
      <b/>
      <i/>
      <sz val="10"/>
      <name val="Calibri"/>
      <family val="2"/>
      <scheme val="minor"/>
    </font>
    <font>
      <b/>
      <i/>
      <sz val="10"/>
      <color theme="1"/>
      <name val="Calibri"/>
      <family val="2"/>
      <scheme val="minor"/>
    </font>
    <font>
      <b/>
      <sz val="10"/>
      <color theme="0"/>
      <name val="Cambria"/>
      <family val="1"/>
    </font>
  </fonts>
  <fills count="21">
    <fill>
      <patternFill patternType="none"/>
    </fill>
    <fill>
      <patternFill patternType="gray125"/>
    </fill>
    <fill>
      <patternFill patternType="solid">
        <fgColor rgb="FF376B54"/>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9" tint="0.59999389629810485"/>
        <bgColor indexed="65"/>
      </patternFill>
    </fill>
    <fill>
      <patternFill patternType="solid">
        <fgColor theme="0"/>
        <bgColor indexed="64"/>
      </patternFill>
    </fill>
    <fill>
      <patternFill patternType="solid">
        <fgColor rgb="FF92D050"/>
        <bgColor indexed="64"/>
      </patternFill>
    </fill>
    <fill>
      <patternFill patternType="solid">
        <fgColor rgb="FF548235"/>
        <bgColor rgb="FF000000"/>
      </patternFill>
    </fill>
    <fill>
      <patternFill patternType="solid">
        <fgColor rgb="FFC6E0B4"/>
        <bgColor rgb="FF000000"/>
      </patternFill>
    </fill>
    <fill>
      <patternFill patternType="solid">
        <fgColor rgb="FFC6E0B4"/>
        <bgColor rgb="FFFFFFFF"/>
      </patternFill>
    </fill>
    <fill>
      <patternFill patternType="solid">
        <fgColor rgb="FF92D050"/>
        <bgColor rgb="FF000000"/>
      </patternFill>
    </fill>
    <fill>
      <patternFill patternType="solid">
        <fgColor theme="9" tint="-0.499984740745262"/>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8" tint="0.59999389629810485"/>
        <bgColor indexed="64"/>
      </patternFill>
    </fill>
    <fill>
      <patternFill patternType="solid">
        <fgColor rgb="FFD9D9D9"/>
        <bgColor indexed="64"/>
      </patternFill>
    </fill>
    <fill>
      <patternFill patternType="solid">
        <fgColor rgb="FFDBEEF3"/>
        <bgColor indexed="64"/>
      </patternFill>
    </fill>
    <fill>
      <patternFill patternType="solid">
        <fgColor rgb="FFF2F2F2"/>
        <bgColor indexed="64"/>
      </patternFill>
    </fill>
  </fills>
  <borders count="93">
    <border>
      <left/>
      <right/>
      <top/>
      <bottom/>
      <diagonal/>
    </border>
    <border>
      <left style="medium">
        <color auto="1"/>
      </left>
      <right/>
      <top style="medium">
        <color auto="1"/>
      </top>
      <bottom/>
      <diagonal/>
    </border>
    <border>
      <left/>
      <right/>
      <top style="medium">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top/>
      <bottom/>
      <diagonal/>
    </border>
    <border>
      <left/>
      <right style="medium">
        <color auto="1"/>
      </right>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indexed="64"/>
      </left>
      <right/>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bottom style="thin">
        <color indexed="64"/>
      </bottom>
      <diagonal/>
    </border>
    <border>
      <left style="medium">
        <color rgb="FF8064A2"/>
      </left>
      <right style="medium">
        <color rgb="FF000000"/>
      </right>
      <top style="medium">
        <color rgb="FF8064A2"/>
      </top>
      <bottom/>
      <diagonal/>
    </border>
    <border>
      <left style="medium">
        <color rgb="FF8064A2"/>
      </left>
      <right style="medium">
        <color rgb="FF000000"/>
      </right>
      <top/>
      <bottom/>
      <diagonal/>
    </border>
    <border>
      <left style="medium">
        <color rgb="FF8064A2"/>
      </left>
      <right style="medium">
        <color rgb="FF000000"/>
      </right>
      <top/>
      <bottom style="medium">
        <color rgb="FF000000"/>
      </bottom>
      <diagonal/>
    </border>
    <border>
      <left/>
      <right style="medium">
        <color rgb="FF000000"/>
      </right>
      <top style="medium">
        <color rgb="FF8064A2"/>
      </top>
      <bottom style="medium">
        <color rgb="FF000000"/>
      </bottom>
      <diagonal/>
    </border>
    <border>
      <left/>
      <right style="medium">
        <color rgb="FF000000"/>
      </right>
      <top style="medium">
        <color rgb="FF8064A2"/>
      </top>
      <bottom/>
      <diagonal/>
    </border>
    <border>
      <left/>
      <right style="medium">
        <color rgb="FF000000"/>
      </right>
      <top/>
      <bottom/>
      <diagonal/>
    </border>
    <border>
      <left/>
      <right style="medium">
        <color rgb="FF000000"/>
      </right>
      <top/>
      <bottom style="medium">
        <color rgb="FF000000"/>
      </bottom>
      <diagonal/>
    </border>
    <border>
      <left/>
      <right/>
      <top style="medium">
        <color rgb="FF8064A2"/>
      </top>
      <bottom style="medium">
        <color rgb="FF000000"/>
      </bottom>
      <diagonal/>
    </border>
    <border>
      <left/>
      <right style="medium">
        <color rgb="FF8064A2"/>
      </right>
      <top style="medium">
        <color rgb="FF8064A2"/>
      </top>
      <bottom style="medium">
        <color rgb="FF000000"/>
      </bottom>
      <diagonal/>
    </border>
    <border>
      <left/>
      <right style="medium">
        <color rgb="FF8064A2"/>
      </right>
      <top/>
      <bottom style="medium">
        <color rgb="FF000000"/>
      </bottom>
      <diagonal/>
    </border>
    <border>
      <left/>
      <right style="medium">
        <color rgb="FF000000"/>
      </right>
      <top/>
      <bottom style="medium">
        <color rgb="FF8064A2"/>
      </bottom>
      <diagonal/>
    </border>
    <border>
      <left style="medium">
        <color rgb="FF000000"/>
      </left>
      <right style="medium">
        <color rgb="FF000000"/>
      </right>
      <top style="medium">
        <color rgb="FF8064A2"/>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top style="medium">
        <color rgb="FF8064A2"/>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8064A2"/>
      </right>
      <top style="medium">
        <color rgb="FF000000"/>
      </top>
      <bottom/>
      <diagonal/>
    </border>
    <border>
      <left style="medium">
        <color rgb="FF000000"/>
      </left>
      <right style="medium">
        <color rgb="FF8064A2"/>
      </right>
      <top/>
      <bottom style="medium">
        <color rgb="FF000000"/>
      </bottom>
      <diagonal/>
    </border>
    <border>
      <left style="medium">
        <color rgb="FF8064A2"/>
      </left>
      <right style="medium">
        <color rgb="FF000000"/>
      </right>
      <top style="medium">
        <color rgb="FF000000"/>
      </top>
      <bottom/>
      <diagonal/>
    </border>
    <border>
      <left style="medium">
        <color rgb="FF8064A2"/>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8064A2"/>
      </left>
      <right/>
      <top style="medium">
        <color rgb="FF000000"/>
      </top>
      <bottom style="medium">
        <color rgb="FF8064A2"/>
      </bottom>
      <diagonal/>
    </border>
    <border>
      <left/>
      <right style="medium">
        <color rgb="FF000000"/>
      </right>
      <top style="medium">
        <color rgb="FF000000"/>
      </top>
      <bottom style="medium">
        <color rgb="FF8064A2"/>
      </bottom>
      <diagonal/>
    </border>
    <border>
      <left style="medium">
        <color rgb="FF000000"/>
      </left>
      <right/>
      <top style="medium">
        <color rgb="FF000000"/>
      </top>
      <bottom style="medium">
        <color rgb="FF8064A2"/>
      </bottom>
      <diagonal/>
    </border>
    <border>
      <left/>
      <right/>
      <top style="medium">
        <color rgb="FF000000"/>
      </top>
      <bottom style="medium">
        <color rgb="FF8064A2"/>
      </bottom>
      <diagonal/>
    </border>
    <border>
      <left/>
      <right style="medium">
        <color rgb="FF8064A2"/>
      </right>
      <top style="medium">
        <color rgb="FF000000"/>
      </top>
      <bottom style="medium">
        <color rgb="FF8064A2"/>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medium">
        <color indexed="64"/>
      </left>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s>
  <cellStyleXfs count="8">
    <xf numFmtId="0" fontId="0" fillId="0" borderId="0"/>
    <xf numFmtId="164" fontId="1" fillId="0" borderId="0" applyFont="0" applyFill="0" applyBorder="0" applyAlignment="0" applyProtection="0"/>
    <xf numFmtId="0" fontId="10" fillId="0" borderId="0"/>
    <xf numFmtId="166" fontId="11" fillId="0" borderId="0" applyBorder="0" applyProtection="0"/>
    <xf numFmtId="9" fontId="1" fillId="0" borderId="0" applyFont="0" applyFill="0" applyBorder="0" applyAlignment="0" applyProtection="0"/>
    <xf numFmtId="0" fontId="1" fillId="7" borderId="0" applyNumberFormat="0" applyBorder="0" applyAlignment="0" applyProtection="0"/>
    <xf numFmtId="43" fontId="1" fillId="0" borderId="0" applyFont="0" applyFill="0" applyBorder="0" applyAlignment="0" applyProtection="0"/>
    <xf numFmtId="0" fontId="12" fillId="0" borderId="0"/>
  </cellStyleXfs>
  <cellXfs count="626">
    <xf numFmtId="0" fontId="0" fillId="0" borderId="0" xfId="0"/>
    <xf numFmtId="0" fontId="14" fillId="5" borderId="0" xfId="0" applyFont="1" applyFill="1" applyAlignment="1">
      <alignment horizontal="center"/>
    </xf>
    <xf numFmtId="3" fontId="16" fillId="9" borderId="0" xfId="0" applyNumberFormat="1" applyFont="1" applyFill="1"/>
    <xf numFmtId="3" fontId="3" fillId="0" borderId="0" xfId="0" applyNumberFormat="1" applyFont="1"/>
    <xf numFmtId="167" fontId="0" fillId="0" borderId="0" xfId="4" applyNumberFormat="1" applyFont="1"/>
    <xf numFmtId="9" fontId="16" fillId="9" borderId="0" xfId="4" applyFont="1" applyFill="1"/>
    <xf numFmtId="3" fontId="16" fillId="0" borderId="0" xfId="0" applyNumberFormat="1" applyFont="1"/>
    <xf numFmtId="3" fontId="0" fillId="0" borderId="0" xfId="0" applyNumberFormat="1"/>
    <xf numFmtId="0" fontId="21" fillId="12" borderId="0" xfId="5" applyFont="1" applyFill="1" applyBorder="1" applyAlignment="1">
      <alignment horizontal="center"/>
    </xf>
    <xf numFmtId="0" fontId="0" fillId="0" borderId="0" xfId="0" applyAlignment="1">
      <alignment horizontal="left" vertical="center"/>
    </xf>
    <xf numFmtId="0" fontId="0" fillId="0" borderId="0" xfId="0" applyAlignment="1">
      <alignment horizontal="left" vertical="center" wrapText="1"/>
    </xf>
    <xf numFmtId="0" fontId="2" fillId="0" borderId="0" xfId="0" applyFont="1" applyAlignment="1" applyProtection="1">
      <alignment horizontal="left" vertical="center"/>
      <protection locked="0"/>
    </xf>
    <xf numFmtId="165" fontId="0" fillId="0" borderId="0" xfId="1" applyNumberFormat="1" applyFont="1" applyAlignment="1">
      <alignment horizontal="left" vertical="center"/>
    </xf>
    <xf numFmtId="3" fontId="3" fillId="0" borderId="0" xfId="0" applyNumberFormat="1" applyFont="1" applyAlignment="1">
      <alignment horizontal="left" vertical="center"/>
    </xf>
    <xf numFmtId="165" fontId="0" fillId="0" borderId="0" xfId="0" applyNumberFormat="1" applyAlignment="1">
      <alignment horizontal="left" vertical="center" wrapText="1"/>
    </xf>
    <xf numFmtId="43" fontId="0" fillId="0" borderId="0" xfId="1" applyNumberFormat="1" applyFont="1" applyAlignment="1">
      <alignment horizontal="left" vertical="center"/>
    </xf>
    <xf numFmtId="167" fontId="0" fillId="0" borderId="10" xfId="4" applyNumberFormat="1" applyFont="1" applyBorder="1"/>
    <xf numFmtId="167" fontId="0" fillId="0" borderId="9" xfId="4" applyNumberFormat="1" applyFont="1" applyBorder="1"/>
    <xf numFmtId="0" fontId="0" fillId="0" borderId="9" xfId="0" applyBorder="1"/>
    <xf numFmtId="0" fontId="0" fillId="0" borderId="8" xfId="0" applyBorder="1"/>
    <xf numFmtId="3" fontId="22" fillId="13" borderId="6" xfId="0" applyNumberFormat="1" applyFont="1" applyFill="1" applyBorder="1"/>
    <xf numFmtId="3" fontId="22" fillId="13" borderId="0" xfId="0" applyNumberFormat="1" applyFont="1" applyFill="1"/>
    <xf numFmtId="3" fontId="22" fillId="13" borderId="5" xfId="0" applyNumberFormat="1" applyFont="1" applyFill="1" applyBorder="1"/>
    <xf numFmtId="3" fontId="17" fillId="0" borderId="6" xfId="0" applyNumberFormat="1" applyFont="1" applyBorder="1"/>
    <xf numFmtId="3" fontId="17" fillId="0" borderId="0" xfId="0" applyNumberFormat="1" applyFont="1"/>
    <xf numFmtId="0" fontId="17" fillId="0" borderId="0" xfId="0" applyFont="1" applyAlignment="1">
      <alignment horizontal="right"/>
    </xf>
    <xf numFmtId="0" fontId="19" fillId="0" borderId="5" xfId="0" applyFont="1" applyBorder="1"/>
    <xf numFmtId="0" fontId="20" fillId="0" borderId="6" xfId="0" applyFont="1" applyBorder="1"/>
    <xf numFmtId="0" fontId="19" fillId="0" borderId="0" xfId="0" applyFont="1"/>
    <xf numFmtId="0" fontId="21" fillId="0" borderId="0" xfId="0" applyFont="1" applyAlignment="1">
      <alignment horizontal="right"/>
    </xf>
    <xf numFmtId="0" fontId="22" fillId="11" borderId="6" xfId="0" applyFont="1" applyFill="1" applyBorder="1" applyAlignment="1">
      <alignment horizontal="center"/>
    </xf>
    <xf numFmtId="0" fontId="17" fillId="11" borderId="0" xfId="0" applyFont="1" applyFill="1"/>
    <xf numFmtId="0" fontId="17" fillId="11" borderId="5" xfId="0" applyFont="1" applyFill="1" applyBorder="1"/>
    <xf numFmtId="0" fontId="17" fillId="10" borderId="7" xfId="0" applyFont="1" applyFill="1" applyBorder="1"/>
    <xf numFmtId="0" fontId="17" fillId="10" borderId="2" xfId="0" applyFont="1" applyFill="1" applyBorder="1"/>
    <xf numFmtId="0" fontId="18" fillId="10" borderId="2" xfId="0" applyFont="1" applyFill="1" applyBorder="1" applyAlignment="1">
      <alignment horizontal="center"/>
    </xf>
    <xf numFmtId="0" fontId="17" fillId="10" borderId="1" xfId="0" applyFont="1" applyFill="1" applyBorder="1"/>
    <xf numFmtId="0" fontId="15" fillId="14" borderId="0" xfId="0" applyFont="1" applyFill="1"/>
    <xf numFmtId="0" fontId="6" fillId="4" borderId="0" xfId="0" applyFont="1" applyFill="1" applyAlignment="1">
      <alignment horizontal="left" vertical="center" wrapText="1"/>
    </xf>
    <xf numFmtId="0" fontId="15" fillId="14" borderId="0" xfId="0" applyFont="1" applyFill="1" applyAlignment="1">
      <alignment horizontal="left" vertical="center"/>
    </xf>
    <xf numFmtId="0" fontId="3" fillId="0" borderId="0" xfId="0" applyFont="1" applyAlignment="1">
      <alignment horizontal="left" vertical="center"/>
    </xf>
    <xf numFmtId="0" fontId="3" fillId="0" borderId="0" xfId="0" applyFont="1" applyAlignment="1">
      <alignment horizontal="left" vertical="center" wrapText="1"/>
    </xf>
    <xf numFmtId="165" fontId="3" fillId="0" borderId="0" xfId="1" applyNumberFormat="1" applyFont="1" applyAlignment="1">
      <alignment horizontal="left" vertical="center"/>
    </xf>
    <xf numFmtId="165" fontId="3" fillId="0" borderId="0" xfId="0" applyNumberFormat="1" applyFont="1" applyAlignment="1">
      <alignment horizontal="left" vertical="center"/>
    </xf>
    <xf numFmtId="0" fontId="27" fillId="0" borderId="0" xfId="0" applyFont="1" applyAlignment="1" applyProtection="1">
      <alignment horizontal="left" vertical="center"/>
      <protection locked="0"/>
    </xf>
    <xf numFmtId="0" fontId="0" fillId="8" borderId="0" xfId="0" applyFill="1"/>
    <xf numFmtId="0" fontId="0" fillId="4" borderId="15" xfId="0" applyFill="1" applyBorder="1" applyAlignment="1">
      <alignment vertical="center" wrapText="1"/>
    </xf>
    <xf numFmtId="0" fontId="0" fillId="4" borderId="12" xfId="0" applyFill="1" applyBorder="1" applyAlignment="1">
      <alignment vertical="center" wrapText="1"/>
    </xf>
    <xf numFmtId="0" fontId="0" fillId="4" borderId="12" xfId="0" applyFill="1" applyBorder="1" applyAlignment="1">
      <alignment horizontal="left" vertical="center" wrapText="1"/>
    </xf>
    <xf numFmtId="0" fontId="0" fillId="4" borderId="12" xfId="0" applyFill="1" applyBorder="1" applyAlignment="1">
      <alignment vertical="center"/>
    </xf>
    <xf numFmtId="0" fontId="0" fillId="0" borderId="0" xfId="0" applyAlignment="1">
      <alignment vertical="center"/>
    </xf>
    <xf numFmtId="0" fontId="28" fillId="0" borderId="0" xfId="0" applyFont="1" applyAlignment="1" applyProtection="1">
      <alignment horizontal="left" vertical="center"/>
      <protection locked="0"/>
    </xf>
    <xf numFmtId="168" fontId="0" fillId="0" borderId="0" xfId="0" applyNumberFormat="1"/>
    <xf numFmtId="169" fontId="22" fillId="13" borderId="0" xfId="0" applyNumberFormat="1" applyFont="1" applyFill="1"/>
    <xf numFmtId="165" fontId="24" fillId="15" borderId="11" xfId="6" applyNumberFormat="1" applyFont="1" applyFill="1" applyBorder="1" applyAlignment="1" applyProtection="1">
      <alignment horizontal="left" vertical="center" wrapText="1"/>
    </xf>
    <xf numFmtId="165" fontId="0" fillId="0" borderId="0" xfId="0" applyNumberFormat="1" applyAlignment="1">
      <alignment horizontal="left" vertical="center"/>
    </xf>
    <xf numFmtId="170" fontId="0" fillId="0" borderId="0" xfId="1" applyNumberFormat="1" applyFont="1" applyAlignment="1">
      <alignment horizontal="left" vertical="center"/>
    </xf>
    <xf numFmtId="171" fontId="0" fillId="0" borderId="0" xfId="1" applyNumberFormat="1" applyFont="1" applyAlignment="1">
      <alignment horizontal="left" vertical="center"/>
    </xf>
    <xf numFmtId="0" fontId="5" fillId="0" borderId="12" xfId="0" applyFont="1" applyFill="1" applyBorder="1" applyAlignment="1">
      <alignment horizontal="center" vertical="center" wrapText="1"/>
    </xf>
    <xf numFmtId="165" fontId="5" fillId="0" borderId="12" xfId="1" applyNumberFormat="1" applyFont="1" applyFill="1" applyBorder="1" applyAlignment="1">
      <alignment horizontal="center" vertical="center"/>
    </xf>
    <xf numFmtId="172" fontId="0" fillId="0" borderId="0" xfId="1" applyNumberFormat="1" applyFont="1" applyAlignment="1">
      <alignment horizontal="left" vertical="center"/>
    </xf>
    <xf numFmtId="0" fontId="6" fillId="17" borderId="12" xfId="0" applyFont="1" applyFill="1" applyBorder="1" applyAlignment="1">
      <alignment horizontal="left" vertical="center"/>
    </xf>
    <xf numFmtId="164" fontId="6" fillId="17" borderId="12" xfId="1" applyFont="1" applyFill="1" applyBorder="1" applyAlignment="1">
      <alignment horizontal="left" vertical="center"/>
    </xf>
    <xf numFmtId="165" fontId="6" fillId="17" borderId="12" xfId="1" applyNumberFormat="1" applyFont="1" applyFill="1" applyBorder="1" applyAlignment="1">
      <alignment horizontal="left" vertical="center"/>
    </xf>
    <xf numFmtId="164" fontId="5" fillId="17" borderId="12" xfId="1" applyFont="1" applyFill="1" applyBorder="1" applyAlignment="1">
      <alignment horizontal="left" vertical="center"/>
    </xf>
    <xf numFmtId="43" fontId="3" fillId="0" borderId="0" xfId="0" applyNumberFormat="1" applyFont="1" applyAlignment="1">
      <alignment horizontal="left" vertical="center"/>
    </xf>
    <xf numFmtId="0" fontId="6" fillId="0" borderId="12" xfId="0" applyFont="1" applyBorder="1" applyAlignment="1">
      <alignment horizontal="left" vertical="center"/>
    </xf>
    <xf numFmtId="0" fontId="23" fillId="0" borderId="12" xfId="0" applyFont="1" applyBorder="1" applyAlignment="1">
      <alignment horizontal="left" vertical="center" shrinkToFit="1"/>
    </xf>
    <xf numFmtId="0" fontId="6" fillId="0" borderId="12" xfId="0" applyFont="1" applyBorder="1" applyAlignment="1">
      <alignment horizontal="left" vertical="center" wrapText="1"/>
    </xf>
    <xf numFmtId="164" fontId="6" fillId="0" borderId="12" xfId="1" applyFont="1" applyBorder="1" applyAlignment="1">
      <alignment horizontal="left" vertical="center"/>
    </xf>
    <xf numFmtId="165" fontId="6" fillId="0" borderId="12" xfId="1" applyNumberFormat="1" applyFont="1" applyBorder="1" applyAlignment="1">
      <alignment horizontal="left" vertical="center"/>
    </xf>
    <xf numFmtId="164" fontId="5" fillId="0" borderId="12" xfId="1" applyFont="1" applyBorder="1" applyAlignment="1">
      <alignment horizontal="left" vertical="center"/>
    </xf>
    <xf numFmtId="165" fontId="5" fillId="0" borderId="12" xfId="1" applyNumberFormat="1" applyFont="1" applyBorder="1" applyAlignment="1">
      <alignment horizontal="left" vertical="center"/>
    </xf>
    <xf numFmtId="0" fontId="5" fillId="0" borderId="12" xfId="0" applyFont="1" applyFill="1" applyBorder="1" applyAlignment="1">
      <alignment horizontal="left" vertical="center" wrapText="1"/>
    </xf>
    <xf numFmtId="0" fontId="6" fillId="0" borderId="12" xfId="0" applyFont="1" applyFill="1" applyBorder="1" applyAlignment="1">
      <alignment horizontal="left" vertical="center" wrapText="1"/>
    </xf>
    <xf numFmtId="164" fontId="6" fillId="0" borderId="12" xfId="1" applyFont="1" applyFill="1" applyBorder="1" applyAlignment="1">
      <alignment horizontal="left" vertical="center"/>
    </xf>
    <xf numFmtId="165" fontId="5" fillId="0" borderId="12" xfId="1" applyNumberFormat="1" applyFont="1" applyFill="1" applyBorder="1" applyAlignment="1">
      <alignment horizontal="left" vertical="center"/>
    </xf>
    <xf numFmtId="0" fontId="6" fillId="0" borderId="12" xfId="0" applyFont="1" applyFill="1" applyBorder="1" applyAlignment="1">
      <alignment horizontal="left" vertical="center"/>
    </xf>
    <xf numFmtId="164" fontId="6" fillId="8" borderId="12" xfId="1" applyFont="1" applyFill="1" applyBorder="1" applyAlignment="1">
      <alignment horizontal="left" vertical="center"/>
    </xf>
    <xf numFmtId="165" fontId="6" fillId="8" borderId="12" xfId="1" applyNumberFormat="1" applyFont="1" applyFill="1" applyBorder="1" applyAlignment="1">
      <alignment horizontal="left" vertical="center"/>
    </xf>
    <xf numFmtId="164" fontId="5" fillId="8" borderId="12" xfId="1" applyFont="1" applyFill="1" applyBorder="1" applyAlignment="1">
      <alignment horizontal="left" vertical="center"/>
    </xf>
    <xf numFmtId="165" fontId="5" fillId="8" borderId="12" xfId="1" applyNumberFormat="1" applyFont="1" applyFill="1" applyBorder="1" applyAlignment="1">
      <alignment horizontal="left" vertical="center"/>
    </xf>
    <xf numFmtId="0" fontId="6" fillId="8" borderId="12" xfId="0" applyFont="1" applyFill="1" applyBorder="1" applyAlignment="1">
      <alignment horizontal="left" vertical="center"/>
    </xf>
    <xf numFmtId="0" fontId="5" fillId="8" borderId="12" xfId="0" applyFont="1" applyFill="1" applyBorder="1" applyAlignment="1">
      <alignment horizontal="left" vertical="center"/>
    </xf>
    <xf numFmtId="0" fontId="23" fillId="0" borderId="12" xfId="0" applyFont="1" applyFill="1" applyBorder="1" applyAlignment="1">
      <alignment horizontal="left" vertical="center" wrapText="1" shrinkToFit="1"/>
    </xf>
    <xf numFmtId="0" fontId="23" fillId="0" borderId="12" xfId="0" applyFont="1" applyBorder="1" applyAlignment="1">
      <alignment horizontal="left" vertical="center" wrapText="1" shrinkToFit="1"/>
    </xf>
    <xf numFmtId="0" fontId="7" fillId="8" borderId="12" xfId="0" applyFont="1" applyFill="1" applyBorder="1" applyAlignment="1">
      <alignment horizontal="left" vertical="center"/>
    </xf>
    <xf numFmtId="164" fontId="7" fillId="8" borderId="12" xfId="1" applyFont="1" applyFill="1" applyBorder="1" applyAlignment="1">
      <alignment horizontal="left" vertical="center"/>
    </xf>
    <xf numFmtId="164" fontId="7" fillId="0" borderId="12" xfId="1" applyFont="1" applyFill="1" applyBorder="1" applyAlignment="1">
      <alignment horizontal="left" vertical="center"/>
    </xf>
    <xf numFmtId="164" fontId="26" fillId="8" borderId="12" xfId="1" applyFont="1" applyFill="1" applyBorder="1" applyAlignment="1">
      <alignment horizontal="left" vertical="center"/>
    </xf>
    <xf numFmtId="165" fontId="6" fillId="0" borderId="12" xfId="1" applyNumberFormat="1" applyFont="1" applyFill="1" applyBorder="1" applyAlignment="1">
      <alignment horizontal="left" vertical="center"/>
    </xf>
    <xf numFmtId="0" fontId="7" fillId="0" borderId="12" xfId="0" applyFont="1" applyFill="1" applyBorder="1" applyAlignment="1">
      <alignment horizontal="left" vertical="center"/>
    </xf>
    <xf numFmtId="164" fontId="5" fillId="0" borderId="12" xfId="1" applyFont="1" applyFill="1" applyBorder="1" applyAlignment="1">
      <alignment horizontal="left" vertical="center"/>
    </xf>
    <xf numFmtId="0" fontId="23" fillId="8" borderId="12" xfId="0" applyFont="1" applyFill="1" applyBorder="1" applyAlignment="1">
      <alignment horizontal="left" vertical="center" shrinkToFit="1"/>
    </xf>
    <xf numFmtId="0" fontId="6" fillId="8" borderId="12" xfId="0" applyFont="1" applyFill="1" applyBorder="1" applyAlignment="1">
      <alignment horizontal="left" vertical="center" wrapText="1"/>
    </xf>
    <xf numFmtId="0" fontId="5" fillId="0" borderId="12" xfId="0" applyFont="1" applyFill="1" applyBorder="1" applyAlignment="1">
      <alignment horizontal="right" vertical="center"/>
    </xf>
    <xf numFmtId="0" fontId="6" fillId="0" borderId="12" xfId="0" applyFont="1" applyFill="1" applyBorder="1" applyAlignment="1">
      <alignment horizontal="right" vertical="center" wrapText="1"/>
    </xf>
    <xf numFmtId="0" fontId="5" fillId="0" borderId="12" xfId="0" applyFont="1" applyFill="1" applyBorder="1" applyAlignment="1">
      <alignment horizontal="right" vertical="center" wrapText="1"/>
    </xf>
    <xf numFmtId="0" fontId="5" fillId="8" borderId="12" xfId="0" applyFont="1" applyFill="1" applyBorder="1" applyAlignment="1">
      <alignment horizontal="right" vertical="center"/>
    </xf>
    <xf numFmtId="0" fontId="6" fillId="8" borderId="12" xfId="0" applyFont="1" applyFill="1" applyBorder="1" applyAlignment="1">
      <alignment horizontal="right" vertical="center" wrapText="1"/>
    </xf>
    <xf numFmtId="0" fontId="5" fillId="8" borderId="12" xfId="0" applyFont="1" applyFill="1" applyBorder="1" applyAlignment="1">
      <alignment horizontal="right" vertical="center" wrapText="1"/>
    </xf>
    <xf numFmtId="0" fontId="9" fillId="8" borderId="12" xfId="0" applyFont="1" applyFill="1" applyBorder="1" applyAlignment="1">
      <alignment horizontal="left" vertical="center"/>
    </xf>
    <xf numFmtId="0" fontId="26" fillId="8" borderId="12" xfId="0" applyFont="1" applyFill="1" applyBorder="1" applyAlignment="1">
      <alignment horizontal="left" vertical="center"/>
    </xf>
    <xf numFmtId="0" fontId="5" fillId="0" borderId="25" xfId="0" applyFont="1" applyBorder="1" applyAlignment="1">
      <alignment horizontal="center" vertical="center" wrapText="1"/>
    </xf>
    <xf numFmtId="0" fontId="5" fillId="8" borderId="25" xfId="0" applyFont="1" applyFill="1" applyBorder="1" applyAlignment="1">
      <alignment horizontal="center" vertical="center" wrapText="1"/>
    </xf>
    <xf numFmtId="165" fontId="5" fillId="0" borderId="25" xfId="1" applyNumberFormat="1" applyFont="1" applyFill="1" applyBorder="1" applyAlignment="1">
      <alignment horizontal="center" vertical="center"/>
    </xf>
    <xf numFmtId="0" fontId="5" fillId="0" borderId="25" xfId="0" applyFont="1" applyFill="1" applyBorder="1" applyAlignment="1">
      <alignment horizontal="center" vertical="center" wrapText="1"/>
    </xf>
    <xf numFmtId="0" fontId="32" fillId="14" borderId="22" xfId="0" applyFont="1" applyFill="1" applyBorder="1" applyAlignment="1">
      <alignment horizontal="left" vertical="center"/>
    </xf>
    <xf numFmtId="164" fontId="32" fillId="14" borderId="22" xfId="1" applyFont="1" applyFill="1" applyBorder="1" applyAlignment="1">
      <alignment horizontal="left" vertical="center"/>
    </xf>
    <xf numFmtId="164" fontId="31" fillId="14" borderId="22" xfId="1" applyFont="1" applyFill="1" applyBorder="1" applyAlignment="1">
      <alignment horizontal="left" vertical="center"/>
    </xf>
    <xf numFmtId="165" fontId="31" fillId="14" borderId="22" xfId="1" applyNumberFormat="1" applyFont="1" applyFill="1" applyBorder="1" applyAlignment="1">
      <alignment horizontal="left" vertical="center"/>
    </xf>
    <xf numFmtId="0" fontId="6" fillId="17" borderId="16" xfId="0" applyFont="1" applyFill="1" applyBorder="1" applyAlignment="1">
      <alignment horizontal="left" vertical="center"/>
    </xf>
    <xf numFmtId="164" fontId="6" fillId="17" borderId="16" xfId="1" applyFont="1" applyFill="1" applyBorder="1" applyAlignment="1">
      <alignment horizontal="left" vertical="center"/>
    </xf>
    <xf numFmtId="165" fontId="6" fillId="17" borderId="16" xfId="1" applyNumberFormat="1" applyFont="1" applyFill="1" applyBorder="1" applyAlignment="1">
      <alignment horizontal="left" vertical="center"/>
    </xf>
    <xf numFmtId="164" fontId="5" fillId="17" borderId="16" xfId="1" applyFont="1" applyFill="1" applyBorder="1" applyAlignment="1">
      <alignment horizontal="left" vertical="center"/>
    </xf>
    <xf numFmtId="0" fontId="5" fillId="0" borderId="20" xfId="0" applyFont="1" applyBorder="1" applyAlignment="1">
      <alignment horizontal="left" vertical="center"/>
    </xf>
    <xf numFmtId="0" fontId="6" fillId="0" borderId="20" xfId="0" applyFont="1" applyBorder="1" applyAlignment="1">
      <alignment horizontal="left" vertical="center"/>
    </xf>
    <xf numFmtId="0" fontId="23" fillId="0" borderId="20" xfId="0" applyFont="1" applyBorder="1" applyAlignment="1">
      <alignment horizontal="left" vertical="center" shrinkToFit="1"/>
    </xf>
    <xf numFmtId="0" fontId="6" fillId="0" borderId="20" xfId="0" applyFont="1" applyBorder="1" applyAlignment="1">
      <alignment horizontal="left" vertical="center" wrapText="1"/>
    </xf>
    <xf numFmtId="164" fontId="6" fillId="0" borderId="20" xfId="1" applyFont="1" applyFill="1" applyBorder="1" applyAlignment="1">
      <alignment horizontal="left" vertical="center"/>
    </xf>
    <xf numFmtId="165" fontId="6" fillId="0" borderId="20" xfId="1" applyNumberFormat="1" applyFont="1" applyBorder="1" applyAlignment="1">
      <alignment horizontal="left" vertical="center"/>
    </xf>
    <xf numFmtId="164" fontId="5" fillId="0" borderId="20" xfId="1" applyFont="1" applyFill="1" applyBorder="1" applyAlignment="1">
      <alignment horizontal="left" vertical="center"/>
    </xf>
    <xf numFmtId="165" fontId="5" fillId="0" borderId="20" xfId="1" applyNumberFormat="1" applyFont="1" applyBorder="1" applyAlignment="1">
      <alignment horizontal="left" vertical="center"/>
    </xf>
    <xf numFmtId="0" fontId="23" fillId="0" borderId="20" xfId="0" applyFont="1" applyFill="1" applyBorder="1" applyAlignment="1">
      <alignment horizontal="center" vertical="center" wrapText="1" shrinkToFit="1"/>
    </xf>
    <xf numFmtId="164" fontId="6" fillId="0" borderId="20" xfId="1" applyFont="1" applyBorder="1" applyAlignment="1">
      <alignment horizontal="left" vertical="center"/>
    </xf>
    <xf numFmtId="164" fontId="5" fillId="0" borderId="20" xfId="1" applyFont="1" applyBorder="1" applyAlignment="1">
      <alignment horizontal="left" vertical="center"/>
    </xf>
    <xf numFmtId="0" fontId="5" fillId="0" borderId="21" xfId="0" applyFont="1" applyBorder="1" applyAlignment="1">
      <alignment horizontal="center" vertical="center" wrapText="1"/>
    </xf>
    <xf numFmtId="0" fontId="23" fillId="0" borderId="20" xfId="0" applyFont="1" applyFill="1" applyBorder="1" applyAlignment="1">
      <alignment horizontal="left" vertical="center" wrapText="1" shrinkToFit="1"/>
    </xf>
    <xf numFmtId="0" fontId="6" fillId="0" borderId="20" xfId="0" applyFont="1" applyFill="1" applyBorder="1" applyAlignment="1">
      <alignment horizontal="left" vertical="center" wrapText="1"/>
    </xf>
    <xf numFmtId="0" fontId="6" fillId="8" borderId="20" xfId="0" applyFont="1" applyFill="1" applyBorder="1" applyAlignment="1">
      <alignment horizontal="left" vertical="center"/>
    </xf>
    <xf numFmtId="164" fontId="6" fillId="8" borderId="20" xfId="1" applyFont="1" applyFill="1" applyBorder="1" applyAlignment="1">
      <alignment horizontal="left" vertical="center"/>
    </xf>
    <xf numFmtId="165" fontId="6" fillId="8" borderId="20" xfId="1" applyNumberFormat="1" applyFont="1" applyFill="1" applyBorder="1" applyAlignment="1">
      <alignment horizontal="left" vertical="center"/>
    </xf>
    <xf numFmtId="164" fontId="5" fillId="8" borderId="20" xfId="1" applyFont="1" applyFill="1" applyBorder="1" applyAlignment="1">
      <alignment horizontal="left" vertical="center"/>
    </xf>
    <xf numFmtId="165" fontId="5" fillId="8" borderId="20" xfId="1" applyNumberFormat="1" applyFont="1" applyFill="1" applyBorder="1" applyAlignment="1">
      <alignment horizontal="left" vertical="center"/>
    </xf>
    <xf numFmtId="0" fontId="26" fillId="6" borderId="22" xfId="0" applyFont="1" applyFill="1" applyBorder="1" applyAlignment="1">
      <alignment horizontal="left" vertical="center"/>
    </xf>
    <xf numFmtId="164" fontId="26" fillId="6" borderId="22" xfId="1" applyFont="1" applyFill="1" applyBorder="1" applyAlignment="1">
      <alignment horizontal="left" vertical="center"/>
    </xf>
    <xf numFmtId="165" fontId="26" fillId="6" borderId="22" xfId="1" applyNumberFormat="1" applyFont="1" applyFill="1" applyBorder="1" applyAlignment="1">
      <alignment horizontal="left" vertical="center"/>
    </xf>
    <xf numFmtId="164" fontId="7" fillId="6" borderId="22" xfId="1" applyFont="1" applyFill="1" applyBorder="1" applyAlignment="1">
      <alignment horizontal="left" vertical="center"/>
    </xf>
    <xf numFmtId="0" fontId="14" fillId="5" borderId="13" xfId="0" applyFont="1" applyFill="1" applyBorder="1" applyAlignment="1">
      <alignment horizontal="center" vertical="center" wrapText="1"/>
    </xf>
    <xf numFmtId="0" fontId="0" fillId="4" borderId="42" xfId="0" applyFill="1" applyBorder="1" applyAlignment="1">
      <alignment vertical="center" wrapText="1"/>
    </xf>
    <xf numFmtId="0" fontId="5" fillId="0" borderId="20" xfId="0" applyFont="1" applyFill="1" applyBorder="1" applyAlignment="1">
      <alignment horizontal="center" vertical="center" wrapText="1"/>
    </xf>
    <xf numFmtId="0" fontId="0" fillId="0" borderId="21" xfId="0" applyBorder="1" applyAlignment="1">
      <alignment vertical="center" wrapText="1"/>
    </xf>
    <xf numFmtId="0" fontId="0" fillId="0" borderId="25" xfId="0" applyBorder="1" applyAlignment="1">
      <alignment vertical="center" wrapText="1"/>
    </xf>
    <xf numFmtId="0" fontId="0" fillId="4" borderId="22" xfId="0" applyFill="1" applyBorder="1" applyAlignment="1">
      <alignment vertical="center" wrapText="1"/>
    </xf>
    <xf numFmtId="0" fontId="5" fillId="0" borderId="22" xfId="0" applyFont="1" applyFill="1" applyBorder="1" applyAlignment="1">
      <alignment horizontal="center" vertical="center" wrapText="1"/>
    </xf>
    <xf numFmtId="0" fontId="0" fillId="4" borderId="20" xfId="0" applyFill="1" applyBorder="1" applyAlignment="1">
      <alignment vertical="center" wrapText="1"/>
    </xf>
    <xf numFmtId="0" fontId="0" fillId="0" borderId="21" xfId="0" applyFill="1" applyBorder="1" applyAlignment="1">
      <alignment vertical="center" wrapText="1"/>
    </xf>
    <xf numFmtId="0" fontId="0" fillId="0" borderId="25" xfId="0" applyFill="1" applyBorder="1" applyAlignment="1">
      <alignment vertical="center" wrapText="1"/>
    </xf>
    <xf numFmtId="0" fontId="0" fillId="4" borderId="22" xfId="0" applyFill="1" applyBorder="1" applyAlignment="1">
      <alignment vertical="center"/>
    </xf>
    <xf numFmtId="165" fontId="5" fillId="0" borderId="22" xfId="1" applyNumberFormat="1" applyFont="1" applyFill="1" applyBorder="1" applyAlignment="1">
      <alignment horizontal="center" vertical="center"/>
    </xf>
    <xf numFmtId="0" fontId="0" fillId="0" borderId="23" xfId="0" applyBorder="1" applyAlignment="1">
      <alignment vertical="center" wrapText="1"/>
    </xf>
    <xf numFmtId="0" fontId="0" fillId="4" borderId="0" xfId="0" applyFill="1" applyBorder="1" applyAlignment="1">
      <alignment vertical="center"/>
    </xf>
    <xf numFmtId="0" fontId="5" fillId="0" borderId="22" xfId="0" applyFont="1" applyBorder="1" applyAlignment="1">
      <alignment horizontal="center" vertical="center" wrapText="1"/>
    </xf>
    <xf numFmtId="3" fontId="34" fillId="0" borderId="0" xfId="0" applyNumberFormat="1" applyFont="1"/>
    <xf numFmtId="3" fontId="35" fillId="0" borderId="0" xfId="0" applyNumberFormat="1" applyFont="1"/>
    <xf numFmtId="3" fontId="36" fillId="0" borderId="0" xfId="0" applyNumberFormat="1" applyFont="1"/>
    <xf numFmtId="3" fontId="37" fillId="0" borderId="0" xfId="0" applyNumberFormat="1" applyFont="1"/>
    <xf numFmtId="3" fontId="0" fillId="0" borderId="0" xfId="0" applyNumberFormat="1" applyAlignment="1">
      <alignment horizontal="left" vertical="center"/>
    </xf>
    <xf numFmtId="0" fontId="0" fillId="0" borderId="30" xfId="0" applyBorder="1" applyAlignment="1">
      <alignment vertical="center" wrapText="1"/>
    </xf>
    <xf numFmtId="0" fontId="0" fillId="0" borderId="33" xfId="0" applyBorder="1" applyAlignment="1">
      <alignment vertical="center" wrapText="1"/>
    </xf>
    <xf numFmtId="0" fontId="0" fillId="4" borderId="39" xfId="0" applyFill="1" applyBorder="1" applyAlignment="1">
      <alignment vertical="center"/>
    </xf>
    <xf numFmtId="0" fontId="5" fillId="0" borderId="12" xfId="0" applyFont="1" applyBorder="1" applyAlignment="1">
      <alignment horizontal="left" vertical="center" wrapText="1"/>
    </xf>
    <xf numFmtId="0" fontId="5" fillId="0" borderId="12" xfId="0" applyFont="1" applyBorder="1" applyAlignment="1">
      <alignment horizontal="left" vertical="center"/>
    </xf>
    <xf numFmtId="0" fontId="6" fillId="0" borderId="26" xfId="0" applyFont="1" applyBorder="1" applyAlignment="1">
      <alignment horizontal="left" vertical="center"/>
    </xf>
    <xf numFmtId="0" fontId="6" fillId="0" borderId="27" xfId="0" applyFont="1" applyBorder="1" applyAlignment="1">
      <alignment horizontal="left" vertical="center"/>
    </xf>
    <xf numFmtId="0" fontId="5" fillId="8" borderId="12" xfId="0" applyFont="1" applyFill="1" applyBorder="1" applyAlignment="1">
      <alignment horizontal="left" vertical="center" wrapText="1"/>
    </xf>
    <xf numFmtId="0" fontId="5" fillId="0" borderId="27" xfId="0" applyFont="1" applyBorder="1" applyAlignment="1">
      <alignment horizontal="left" vertical="center"/>
    </xf>
    <xf numFmtId="164" fontId="6" fillId="8" borderId="12" xfId="1" applyFont="1" applyFill="1" applyBorder="1" applyAlignment="1">
      <alignment horizontal="right" vertical="center"/>
    </xf>
    <xf numFmtId="165" fontId="6" fillId="8" borderId="12" xfId="1" applyNumberFormat="1" applyFont="1" applyFill="1" applyBorder="1" applyAlignment="1">
      <alignment horizontal="right" vertical="center"/>
    </xf>
    <xf numFmtId="164" fontId="5" fillId="8" borderId="12" xfId="1" applyFont="1" applyFill="1" applyBorder="1" applyAlignment="1">
      <alignment horizontal="right" vertical="center"/>
    </xf>
    <xf numFmtId="165" fontId="5" fillId="8" borderId="12" xfId="1" applyNumberFormat="1" applyFont="1" applyFill="1" applyBorder="1" applyAlignment="1">
      <alignment horizontal="right" vertical="center"/>
    </xf>
    <xf numFmtId="0" fontId="0" fillId="0" borderId="0" xfId="0" applyAlignment="1">
      <alignment horizontal="center" vertical="center" wrapText="1"/>
    </xf>
    <xf numFmtId="0" fontId="5" fillId="0" borderId="21" xfId="0" applyFont="1" applyFill="1" applyBorder="1" applyAlignment="1">
      <alignment horizontal="center" vertical="center" wrapText="1"/>
    </xf>
    <xf numFmtId="0" fontId="7" fillId="17" borderId="25" xfId="0" applyFont="1" applyFill="1" applyBorder="1" applyAlignment="1">
      <alignment horizontal="center" vertical="center" wrapText="1"/>
    </xf>
    <xf numFmtId="0" fontId="7" fillId="6" borderId="23" xfId="0" applyFont="1" applyFill="1" applyBorder="1" applyAlignment="1">
      <alignment horizontal="center" vertical="center" wrapText="1"/>
    </xf>
    <xf numFmtId="165" fontId="5" fillId="0" borderId="21" xfId="1" applyNumberFormat="1" applyFont="1" applyFill="1" applyBorder="1" applyAlignment="1">
      <alignment horizontal="center" vertical="center"/>
    </xf>
    <xf numFmtId="165" fontId="5" fillId="8" borderId="25" xfId="1" applyNumberFormat="1" applyFont="1" applyFill="1" applyBorder="1" applyAlignment="1">
      <alignment horizontal="center" vertical="center"/>
    </xf>
    <xf numFmtId="165" fontId="5" fillId="0" borderId="21" xfId="1" applyNumberFormat="1" applyFont="1" applyBorder="1" applyAlignment="1">
      <alignment horizontal="center" vertical="center"/>
    </xf>
    <xf numFmtId="165" fontId="5" fillId="0" borderId="25" xfId="1" applyNumberFormat="1" applyFont="1" applyBorder="1" applyAlignment="1">
      <alignment horizontal="center" vertical="center"/>
    </xf>
    <xf numFmtId="0" fontId="7" fillId="17" borderId="32" xfId="0" applyFont="1" applyFill="1" applyBorder="1" applyAlignment="1">
      <alignment horizontal="center" vertical="center" wrapText="1"/>
    </xf>
    <xf numFmtId="0" fontId="32" fillId="14" borderId="23" xfId="0" applyFont="1" applyFill="1" applyBorder="1" applyAlignment="1">
      <alignment horizontal="center" vertical="center" wrapText="1"/>
    </xf>
    <xf numFmtId="165" fontId="0" fillId="0" borderId="0" xfId="0" applyNumberFormat="1" applyAlignment="1">
      <alignment horizontal="center" vertical="center" wrapText="1"/>
    </xf>
    <xf numFmtId="0" fontId="0" fillId="8" borderId="25" xfId="0" applyFill="1" applyBorder="1" applyAlignment="1">
      <alignment vertical="center" wrapText="1"/>
    </xf>
    <xf numFmtId="0" fontId="38" fillId="18" borderId="55" xfId="0" applyFont="1" applyFill="1" applyBorder="1" applyAlignment="1">
      <alignment horizontal="right" vertical="center" wrapText="1"/>
    </xf>
    <xf numFmtId="0" fontId="39" fillId="18" borderId="56" xfId="0" applyFont="1" applyFill="1" applyBorder="1" applyAlignment="1">
      <alignment horizontal="right" vertical="center" wrapText="1"/>
    </xf>
    <xf numFmtId="0" fontId="0" fillId="18" borderId="57" xfId="0" applyFill="1" applyBorder="1" applyAlignment="1">
      <alignment vertical="center" wrapText="1"/>
    </xf>
    <xf numFmtId="0" fontId="38" fillId="18" borderId="56" xfId="0" applyFont="1" applyFill="1" applyBorder="1" applyAlignment="1">
      <alignment horizontal="center" vertical="center" wrapText="1"/>
    </xf>
    <xf numFmtId="0" fontId="39" fillId="18" borderId="57" xfId="0" applyFont="1" applyFill="1" applyBorder="1" applyAlignment="1">
      <alignment horizontal="center" vertical="center" wrapText="1"/>
    </xf>
    <xf numFmtId="0" fontId="41" fillId="19" borderId="57" xfId="0" applyFont="1" applyFill="1" applyBorder="1" applyAlignment="1">
      <alignment horizontal="right" vertical="center" wrapText="1"/>
    </xf>
    <xf numFmtId="3" fontId="42" fillId="19" borderId="57" xfId="0" applyNumberFormat="1" applyFont="1" applyFill="1" applyBorder="1" applyAlignment="1">
      <alignment horizontal="center" vertical="center" wrapText="1"/>
    </xf>
    <xf numFmtId="0" fontId="39" fillId="19" borderId="57" xfId="0" applyFont="1" applyFill="1" applyBorder="1" applyAlignment="1">
      <alignment horizontal="center" vertical="center" wrapText="1"/>
    </xf>
    <xf numFmtId="0" fontId="42" fillId="19" borderId="57" xfId="0" applyFont="1" applyFill="1" applyBorder="1" applyAlignment="1">
      <alignment horizontal="center" vertical="center" wrapText="1"/>
    </xf>
    <xf numFmtId="0" fontId="39" fillId="19" borderId="60" xfId="0" applyFont="1" applyFill="1" applyBorder="1" applyAlignment="1">
      <alignment horizontal="center" vertical="center" wrapText="1"/>
    </xf>
    <xf numFmtId="3" fontId="39" fillId="19" borderId="57" xfId="0" applyNumberFormat="1" applyFont="1" applyFill="1" applyBorder="1" applyAlignment="1">
      <alignment horizontal="center" vertical="center" wrapText="1"/>
    </xf>
    <xf numFmtId="3" fontId="41" fillId="19" borderId="61" xfId="0" applyNumberFormat="1" applyFont="1" applyFill="1" applyBorder="1" applyAlignment="1">
      <alignment horizontal="right" vertical="center" wrapText="1"/>
    </xf>
    <xf numFmtId="0" fontId="6" fillId="3" borderId="12" xfId="0" applyFont="1" applyFill="1" applyBorder="1" applyAlignment="1">
      <alignment horizontal="left" vertical="center" wrapText="1"/>
    </xf>
    <xf numFmtId="0" fontId="6" fillId="3" borderId="12" xfId="0" applyFont="1" applyFill="1" applyBorder="1" applyAlignment="1">
      <alignment horizontal="left" vertical="center"/>
    </xf>
    <xf numFmtId="164" fontId="6" fillId="3" borderId="12" xfId="1" applyFont="1" applyFill="1" applyBorder="1" applyAlignment="1">
      <alignment horizontal="left" vertical="center"/>
    </xf>
    <xf numFmtId="165" fontId="6" fillId="3" borderId="12" xfId="1" applyNumberFormat="1" applyFont="1" applyFill="1" applyBorder="1" applyAlignment="1">
      <alignment horizontal="left" vertical="center"/>
    </xf>
    <xf numFmtId="164" fontId="5" fillId="3" borderId="12" xfId="1" applyFont="1" applyFill="1" applyBorder="1" applyAlignment="1">
      <alignment horizontal="left" vertical="center"/>
    </xf>
    <xf numFmtId="165" fontId="5" fillId="3" borderId="12" xfId="1" applyNumberFormat="1" applyFont="1" applyFill="1" applyBorder="1" applyAlignment="1">
      <alignment horizontal="left" vertical="center"/>
    </xf>
    <xf numFmtId="3" fontId="17" fillId="8" borderId="6" xfId="0" applyNumberFormat="1" applyFont="1" applyFill="1" applyBorder="1"/>
    <xf numFmtId="43" fontId="0" fillId="0" borderId="0" xfId="0" applyNumberFormat="1" applyAlignment="1">
      <alignment horizontal="left" vertical="center"/>
    </xf>
    <xf numFmtId="1" fontId="3" fillId="0" borderId="0" xfId="0" applyNumberFormat="1" applyFont="1" applyAlignment="1">
      <alignment horizontal="left" vertical="center"/>
    </xf>
    <xf numFmtId="0" fontId="46" fillId="18" borderId="77" xfId="0" applyFont="1" applyFill="1" applyBorder="1" applyAlignment="1">
      <alignment horizontal="center" vertical="center" wrapText="1"/>
    </xf>
    <xf numFmtId="0" fontId="46" fillId="18" borderId="78" xfId="0" applyFont="1" applyFill="1" applyBorder="1" applyAlignment="1">
      <alignment horizontal="center" vertical="center" wrapText="1"/>
    </xf>
    <xf numFmtId="0" fontId="44" fillId="0" borderId="79" xfId="0" applyFont="1" applyBorder="1" applyAlignment="1">
      <alignment vertical="center" wrapText="1"/>
    </xf>
    <xf numFmtId="3" fontId="47" fillId="0" borderId="10" xfId="0" applyNumberFormat="1" applyFont="1" applyBorder="1" applyAlignment="1">
      <alignment horizontal="center" vertical="center" wrapText="1"/>
    </xf>
    <xf numFmtId="0" fontId="47" fillId="0" borderId="10" xfId="0" applyFont="1" applyBorder="1" applyAlignment="1">
      <alignment horizontal="center" vertical="center" wrapText="1"/>
    </xf>
    <xf numFmtId="0" fontId="45" fillId="20" borderId="79" xfId="0" applyFont="1" applyFill="1" applyBorder="1" applyAlignment="1">
      <alignment vertical="center" wrapText="1"/>
    </xf>
    <xf numFmtId="3" fontId="47" fillId="20" borderId="10" xfId="0" applyNumberFormat="1" applyFont="1" applyFill="1" applyBorder="1" applyAlignment="1">
      <alignment horizontal="center" vertical="center" wrapText="1"/>
    </xf>
    <xf numFmtId="0" fontId="47" fillId="20" borderId="10" xfId="0" applyFont="1" applyFill="1" applyBorder="1" applyAlignment="1">
      <alignment horizontal="center" vertical="center" wrapText="1"/>
    </xf>
    <xf numFmtId="0" fontId="44" fillId="0" borderId="79" xfId="0" applyFont="1" applyBorder="1" applyAlignment="1">
      <alignment horizontal="justify" vertical="center" wrapText="1"/>
    </xf>
    <xf numFmtId="0" fontId="45" fillId="20" borderId="79" xfId="0" applyFont="1" applyFill="1" applyBorder="1" applyAlignment="1">
      <alignment horizontal="justify" vertical="center" wrapText="1"/>
    </xf>
    <xf numFmtId="169" fontId="0" fillId="0" borderId="0" xfId="0" applyNumberFormat="1"/>
    <xf numFmtId="0" fontId="44" fillId="0" borderId="77" xfId="0" applyFont="1" applyBorder="1" applyAlignment="1">
      <alignment horizontal="justify" vertical="center" wrapText="1"/>
    </xf>
    <xf numFmtId="3" fontId="47" fillId="0" borderId="78" xfId="0" applyNumberFormat="1" applyFont="1" applyBorder="1" applyAlignment="1">
      <alignment horizontal="center" vertical="center" wrapText="1"/>
    </xf>
    <xf numFmtId="0" fontId="47" fillId="0" borderId="78" xfId="0" applyFont="1" applyBorder="1" applyAlignment="1">
      <alignment horizontal="center" vertical="center" wrapText="1"/>
    </xf>
    <xf numFmtId="0" fontId="46" fillId="0" borderId="79" xfId="0" applyFont="1" applyBorder="1" applyAlignment="1">
      <alignment horizontal="justify" vertical="center" wrapText="1"/>
    </xf>
    <xf numFmtId="0" fontId="46" fillId="18" borderId="79" xfId="0" applyFont="1" applyFill="1" applyBorder="1" applyAlignment="1">
      <alignment horizontal="justify" vertical="center" wrapText="1"/>
    </xf>
    <xf numFmtId="3" fontId="46" fillId="18" borderId="10" xfId="0" applyNumberFormat="1" applyFont="1" applyFill="1" applyBorder="1" applyAlignment="1">
      <alignment horizontal="center" vertical="center" wrapText="1"/>
    </xf>
    <xf numFmtId="0" fontId="48" fillId="0" borderId="0" xfId="0" applyFont="1" applyAlignment="1">
      <alignment vertical="center"/>
    </xf>
    <xf numFmtId="3" fontId="45" fillId="18" borderId="10" xfId="0" applyNumberFormat="1" applyFont="1" applyFill="1" applyBorder="1" applyAlignment="1">
      <alignment horizontal="center" vertical="center" wrapText="1"/>
    </xf>
    <xf numFmtId="0" fontId="49" fillId="0" borderId="77" xfId="0" applyFont="1" applyBorder="1" applyAlignment="1">
      <alignment horizontal="center" vertical="center" wrapText="1"/>
    </xf>
    <xf numFmtId="0" fontId="49" fillId="0" borderId="78" xfId="0" applyFont="1" applyBorder="1" applyAlignment="1">
      <alignment horizontal="center" vertical="center" wrapText="1"/>
    </xf>
    <xf numFmtId="0" fontId="50" fillId="0" borderId="79" xfId="0" applyFont="1" applyBorder="1" applyAlignment="1">
      <alignment horizontal="center" vertical="center" wrapText="1"/>
    </xf>
    <xf numFmtId="3" fontId="51" fillId="0" borderId="10" xfId="0" applyNumberFormat="1" applyFont="1" applyBorder="1" applyAlignment="1">
      <alignment horizontal="center" vertical="center"/>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6" xfId="0" applyFont="1" applyBorder="1" applyAlignment="1">
      <alignment horizontal="center" vertical="center" wrapText="1"/>
    </xf>
    <xf numFmtId="0" fontId="6" fillId="0" borderId="27" xfId="0" applyFont="1" applyBorder="1" applyAlignment="1">
      <alignment horizontal="left" vertical="center"/>
    </xf>
    <xf numFmtId="0" fontId="5" fillId="0" borderId="12" xfId="0" applyFont="1" applyBorder="1" applyAlignment="1">
      <alignment horizontal="center" vertical="center" wrapText="1"/>
    </xf>
    <xf numFmtId="0" fontId="5" fillId="8" borderId="12" xfId="0" applyFont="1" applyFill="1" applyBorder="1" applyAlignment="1">
      <alignment horizontal="center" vertical="center" wrapText="1"/>
    </xf>
    <xf numFmtId="0" fontId="6" fillId="0" borderId="26" xfId="0" applyFont="1" applyBorder="1" applyAlignment="1">
      <alignment horizontal="left" vertical="center"/>
    </xf>
    <xf numFmtId="0" fontId="5" fillId="0" borderId="27" xfId="0" applyFont="1" applyBorder="1" applyAlignment="1">
      <alignment horizontal="left" vertical="center"/>
    </xf>
    <xf numFmtId="0" fontId="3" fillId="0" borderId="13" xfId="0" applyFont="1" applyBorder="1" applyAlignment="1">
      <alignment horizontal="center" vertical="center" wrapText="1"/>
    </xf>
    <xf numFmtId="0" fontId="0" fillId="16" borderId="12" xfId="0" applyFill="1" applyBorder="1" applyAlignment="1">
      <alignment horizontal="center" vertical="center" wrapText="1"/>
    </xf>
    <xf numFmtId="0" fontId="0" fillId="16" borderId="13" xfId="0" applyFill="1" applyBorder="1" applyAlignment="1">
      <alignment horizontal="center" vertical="center" wrapText="1"/>
    </xf>
    <xf numFmtId="0" fontId="0" fillId="16" borderId="20" xfId="0" applyFill="1" applyBorder="1" applyAlignment="1">
      <alignment horizontal="center" vertical="center" wrapText="1"/>
    </xf>
    <xf numFmtId="0" fontId="3" fillId="0" borderId="12" xfId="0" applyFont="1" applyBorder="1" applyAlignment="1">
      <alignment horizontal="center" vertical="center" wrapText="1"/>
    </xf>
    <xf numFmtId="0" fontId="0" fillId="0" borderId="0" xfId="0" applyAlignment="1">
      <alignment horizontal="left" vertical="center"/>
    </xf>
    <xf numFmtId="9" fontId="16" fillId="9" borderId="0" xfId="4" applyNumberFormat="1" applyFont="1" applyFill="1"/>
    <xf numFmtId="0" fontId="26" fillId="8" borderId="12" xfId="0" applyFont="1" applyFill="1" applyBorder="1" applyAlignment="1">
      <alignment horizontal="center" vertical="center"/>
    </xf>
    <xf numFmtId="0" fontId="23" fillId="8" borderId="20" xfId="0" applyFont="1" applyFill="1" applyBorder="1" applyAlignment="1">
      <alignment horizontal="left" vertical="center" shrinkToFit="1"/>
    </xf>
    <xf numFmtId="0" fontId="6" fillId="8" borderId="20" xfId="0" applyFont="1" applyFill="1" applyBorder="1" applyAlignment="1">
      <alignment horizontal="left" vertical="center" wrapText="1"/>
    </xf>
    <xf numFmtId="0" fontId="25" fillId="8" borderId="12" xfId="0" applyFont="1" applyFill="1" applyBorder="1" applyAlignment="1">
      <alignment horizontal="left" vertical="center" shrinkToFit="1"/>
    </xf>
    <xf numFmtId="0" fontId="23" fillId="8" borderId="12" xfId="0" applyFont="1" applyFill="1" applyBorder="1" applyAlignment="1">
      <alignment horizontal="left" vertical="center" wrapText="1" shrinkToFit="1"/>
    </xf>
    <xf numFmtId="0" fontId="26" fillId="8" borderId="20" xfId="0" applyFont="1" applyFill="1" applyBorder="1" applyAlignment="1">
      <alignment horizontal="center" vertical="center"/>
    </xf>
    <xf numFmtId="0" fontId="0" fillId="4" borderId="16" xfId="0" applyFill="1" applyBorder="1" applyAlignment="1">
      <alignment vertical="center"/>
    </xf>
    <xf numFmtId="0" fontId="0" fillId="0" borderId="32" xfId="0" applyBorder="1" applyAlignment="1">
      <alignment vertical="center" wrapText="1"/>
    </xf>
    <xf numFmtId="0" fontId="6" fillId="0" borderId="27" xfId="0" applyFont="1" applyBorder="1" applyAlignment="1">
      <alignment horizontal="left" vertical="center"/>
    </xf>
    <xf numFmtId="0" fontId="5" fillId="8" borderId="12" xfId="0" applyFont="1" applyFill="1" applyBorder="1" applyAlignment="1">
      <alignment horizontal="center" vertical="center" wrapText="1"/>
    </xf>
    <xf numFmtId="0" fontId="0" fillId="4" borderId="12" xfId="0" applyFill="1" applyBorder="1" applyAlignment="1">
      <alignment horizontal="left" vertical="center"/>
    </xf>
    <xf numFmtId="0" fontId="5" fillId="8" borderId="12" xfId="0" applyFont="1" applyFill="1" applyBorder="1" applyAlignment="1">
      <alignment horizontal="left" vertical="center" wrapText="1"/>
    </xf>
    <xf numFmtId="2" fontId="0" fillId="0" borderId="0" xfId="0" applyNumberFormat="1"/>
    <xf numFmtId="173" fontId="0" fillId="0" borderId="0" xfId="0" applyNumberFormat="1"/>
    <xf numFmtId="9" fontId="0" fillId="0" borderId="0" xfId="4" applyFont="1"/>
    <xf numFmtId="167" fontId="16" fillId="9" borderId="0" xfId="4" applyNumberFormat="1" applyFont="1" applyFill="1"/>
    <xf numFmtId="0" fontId="23" fillId="8" borderId="44" xfId="0" applyFont="1" applyFill="1" applyBorder="1" applyAlignment="1">
      <alignment horizontal="left" vertical="center" shrinkToFit="1"/>
    </xf>
    <xf numFmtId="0" fontId="5" fillId="8" borderId="82" xfId="0" applyFont="1" applyFill="1" applyBorder="1" applyAlignment="1">
      <alignment horizontal="center" vertical="center" wrapText="1"/>
    </xf>
    <xf numFmtId="0" fontId="6" fillId="8" borderId="16" xfId="0" applyFont="1" applyFill="1" applyBorder="1" applyAlignment="1">
      <alignment horizontal="left" vertical="center" wrapText="1"/>
    </xf>
    <xf numFmtId="0" fontId="6" fillId="8" borderId="16" xfId="0" applyFont="1" applyFill="1" applyBorder="1" applyAlignment="1">
      <alignment horizontal="left" vertical="center"/>
    </xf>
    <xf numFmtId="164" fontId="6" fillId="8" borderId="16" xfId="1" applyFont="1" applyFill="1" applyBorder="1" applyAlignment="1">
      <alignment horizontal="left" vertical="center"/>
    </xf>
    <xf numFmtId="164" fontId="5" fillId="8" borderId="16" xfId="1" applyFont="1" applyFill="1" applyBorder="1" applyAlignment="1">
      <alignment horizontal="left" vertical="center"/>
    </xf>
    <xf numFmtId="0" fontId="0" fillId="0" borderId="0" xfId="0" applyAlignment="1">
      <alignment horizontal="left" vertical="center"/>
    </xf>
    <xf numFmtId="0" fontId="26" fillId="6" borderId="13" xfId="0" applyFont="1" applyFill="1" applyBorder="1" applyAlignment="1">
      <alignment horizontal="left" vertical="center"/>
    </xf>
    <xf numFmtId="164" fontId="26" fillId="6" borderId="13" xfId="1" applyFont="1" applyFill="1" applyBorder="1" applyAlignment="1">
      <alignment horizontal="left" vertical="center"/>
    </xf>
    <xf numFmtId="165" fontId="26" fillId="6" borderId="13" xfId="1" applyNumberFormat="1" applyFont="1" applyFill="1" applyBorder="1" applyAlignment="1">
      <alignment horizontal="left" vertical="center"/>
    </xf>
    <xf numFmtId="164" fontId="7" fillId="6" borderId="13" xfId="1" applyFont="1" applyFill="1" applyBorder="1" applyAlignment="1">
      <alignment horizontal="left" vertical="center"/>
    </xf>
    <xf numFmtId="0" fontId="7" fillId="6" borderId="30" xfId="0" applyFont="1" applyFill="1" applyBorder="1" applyAlignment="1">
      <alignment horizontal="center" vertical="center" wrapText="1"/>
    </xf>
    <xf numFmtId="0" fontId="16" fillId="0" borderId="0" xfId="0" applyFont="1" applyAlignment="1">
      <alignment horizontal="left" vertical="center"/>
    </xf>
    <xf numFmtId="0" fontId="52" fillId="0" borderId="0" xfId="0" applyFont="1" applyAlignment="1">
      <alignment horizontal="left" vertical="center"/>
    </xf>
    <xf numFmtId="0" fontId="53" fillId="5" borderId="14" xfId="0" applyFont="1" applyFill="1" applyBorder="1" applyAlignment="1">
      <alignment horizontal="left" vertical="center"/>
    </xf>
    <xf numFmtId="164" fontId="53" fillId="5" borderId="14" xfId="1" applyFont="1" applyFill="1" applyBorder="1" applyAlignment="1">
      <alignment horizontal="left" vertical="center"/>
    </xf>
    <xf numFmtId="165" fontId="32" fillId="5" borderId="14" xfId="1" applyNumberFormat="1" applyFont="1" applyFill="1" applyBorder="1" applyAlignment="1">
      <alignment horizontal="left" vertical="center"/>
    </xf>
    <xf numFmtId="164" fontId="32" fillId="5" borderId="14" xfId="1" applyFont="1" applyFill="1" applyBorder="1" applyAlignment="1">
      <alignment horizontal="left" vertical="center"/>
    </xf>
    <xf numFmtId="0" fontId="54" fillId="5" borderId="33" xfId="0" applyFont="1" applyFill="1" applyBorder="1" applyAlignment="1">
      <alignment horizontal="center" vertical="center" wrapText="1"/>
    </xf>
    <xf numFmtId="164" fontId="52" fillId="5" borderId="12" xfId="1" applyFont="1" applyFill="1" applyBorder="1" applyAlignment="1">
      <alignment horizontal="left" vertical="center"/>
    </xf>
    <xf numFmtId="165" fontId="31" fillId="5" borderId="12" xfId="1" applyNumberFormat="1" applyFont="1" applyFill="1" applyBorder="1" applyAlignment="1">
      <alignment horizontal="left" vertical="center"/>
    </xf>
    <xf numFmtId="164" fontId="31" fillId="5" borderId="12" xfId="1" applyFont="1" applyFill="1" applyBorder="1" applyAlignment="1">
      <alignment horizontal="left" vertical="center"/>
    </xf>
    <xf numFmtId="0" fontId="53" fillId="5" borderId="12" xfId="0" applyFont="1" applyFill="1" applyBorder="1" applyAlignment="1">
      <alignment horizontal="left" vertical="center"/>
    </xf>
    <xf numFmtId="164" fontId="53" fillId="5" borderId="12" xfId="1" applyFont="1" applyFill="1" applyBorder="1" applyAlignment="1">
      <alignment horizontal="left" vertical="center"/>
    </xf>
    <xf numFmtId="0" fontId="32" fillId="5" borderId="25" xfId="0" applyFont="1" applyFill="1" applyBorder="1" applyAlignment="1">
      <alignment horizontal="center" vertical="center" wrapText="1"/>
    </xf>
    <xf numFmtId="164" fontId="52" fillId="5" borderId="22" xfId="1" applyFont="1" applyFill="1" applyBorder="1" applyAlignment="1">
      <alignment horizontal="left" vertical="center"/>
    </xf>
    <xf numFmtId="0" fontId="31" fillId="5" borderId="22" xfId="0" applyFont="1" applyFill="1" applyBorder="1" applyAlignment="1">
      <alignment horizontal="left" vertical="center" wrapText="1"/>
    </xf>
    <xf numFmtId="164" fontId="31" fillId="5" borderId="22" xfId="1" applyFont="1" applyFill="1" applyBorder="1" applyAlignment="1">
      <alignment horizontal="left" vertical="center"/>
    </xf>
    <xf numFmtId="165" fontId="31" fillId="5" borderId="22" xfId="1" applyNumberFormat="1" applyFont="1" applyFill="1" applyBorder="1" applyAlignment="1">
      <alignment horizontal="left" vertical="center"/>
    </xf>
    <xf numFmtId="0" fontId="31" fillId="5" borderId="23" xfId="0" applyFont="1" applyFill="1" applyBorder="1" applyAlignment="1">
      <alignment horizontal="center" vertical="center" wrapText="1"/>
    </xf>
    <xf numFmtId="0" fontId="31" fillId="5" borderId="12" xfId="0" applyFont="1" applyFill="1" applyBorder="1" applyAlignment="1">
      <alignment horizontal="left" vertical="center" wrapText="1"/>
    </xf>
    <xf numFmtId="0" fontId="31" fillId="5" borderId="25" xfId="0" applyFont="1" applyFill="1" applyBorder="1" applyAlignment="1">
      <alignment horizontal="center" vertical="center" wrapText="1"/>
    </xf>
    <xf numFmtId="0" fontId="5" fillId="8" borderId="33" xfId="0" applyFont="1" applyFill="1" applyBorder="1" applyAlignment="1">
      <alignment horizontal="center" vertical="center" wrapText="1"/>
    </xf>
    <xf numFmtId="0" fontId="6" fillId="8" borderId="13" xfId="0" applyFont="1" applyFill="1" applyBorder="1" applyAlignment="1">
      <alignment horizontal="left" vertical="center"/>
    </xf>
    <xf numFmtId="0" fontId="23" fillId="8" borderId="13" xfId="0" applyFont="1" applyFill="1" applyBorder="1" applyAlignment="1">
      <alignment horizontal="left" vertical="center" shrinkToFit="1"/>
    </xf>
    <xf numFmtId="0" fontId="6" fillId="8" borderId="13" xfId="0" applyFont="1" applyFill="1" applyBorder="1" applyAlignment="1">
      <alignment horizontal="left" vertical="center" wrapText="1"/>
    </xf>
    <xf numFmtId="164" fontId="6" fillId="8" borderId="13" xfId="1" applyFont="1" applyFill="1" applyBorder="1" applyAlignment="1">
      <alignment horizontal="left" vertical="center"/>
    </xf>
    <xf numFmtId="165" fontId="6" fillId="8" borderId="13" xfId="1" applyNumberFormat="1" applyFont="1" applyFill="1" applyBorder="1" applyAlignment="1">
      <alignment horizontal="left" vertical="center"/>
    </xf>
    <xf numFmtId="164" fontId="5" fillId="8" borderId="13" xfId="1" applyFont="1" applyFill="1" applyBorder="1" applyAlignment="1">
      <alignment horizontal="left" vertical="center"/>
    </xf>
    <xf numFmtId="165" fontId="5" fillId="8" borderId="13" xfId="1" applyNumberFormat="1" applyFont="1" applyFill="1" applyBorder="1" applyAlignment="1">
      <alignment horizontal="left" vertical="center"/>
    </xf>
    <xf numFmtId="0" fontId="6" fillId="17" borderId="13" xfId="0" applyFont="1" applyFill="1" applyBorder="1" applyAlignment="1">
      <alignment horizontal="left" vertical="center"/>
    </xf>
    <xf numFmtId="164" fontId="6" fillId="17" borderId="13" xfId="1" applyFont="1" applyFill="1" applyBorder="1" applyAlignment="1">
      <alignment horizontal="left" vertical="center"/>
    </xf>
    <xf numFmtId="165" fontId="6" fillId="17" borderId="13" xfId="1" applyNumberFormat="1" applyFont="1" applyFill="1" applyBorder="1" applyAlignment="1">
      <alignment horizontal="left" vertical="center"/>
    </xf>
    <xf numFmtId="164" fontId="5" fillId="17" borderId="13" xfId="1" applyFont="1" applyFill="1" applyBorder="1" applyAlignment="1">
      <alignment horizontal="left" vertical="center"/>
    </xf>
    <xf numFmtId="0" fontId="6" fillId="0" borderId="29" xfId="0" applyFont="1" applyBorder="1" applyAlignment="1">
      <alignment horizontal="left" vertical="center"/>
    </xf>
    <xf numFmtId="0" fontId="26" fillId="8" borderId="13" xfId="0" applyFont="1" applyFill="1" applyBorder="1" applyAlignment="1">
      <alignment horizontal="center" vertical="center"/>
    </xf>
    <xf numFmtId="0" fontId="6" fillId="0" borderId="13" xfId="0" applyFont="1" applyBorder="1" applyAlignment="1">
      <alignment horizontal="left" vertical="center"/>
    </xf>
    <xf numFmtId="0" fontId="26" fillId="3" borderId="12" xfId="0" applyFont="1" applyFill="1" applyBorder="1" applyAlignment="1">
      <alignment horizontal="center" vertical="center"/>
    </xf>
    <xf numFmtId="0" fontId="23" fillId="3" borderId="12" xfId="0" applyFont="1" applyFill="1" applyBorder="1" applyAlignment="1">
      <alignment horizontal="left" vertical="center" shrinkToFit="1"/>
    </xf>
    <xf numFmtId="0" fontId="5" fillId="3" borderId="12" xfId="0" applyFont="1" applyFill="1" applyBorder="1" applyAlignment="1">
      <alignment horizontal="center" vertical="center" wrapText="1"/>
    </xf>
    <xf numFmtId="0" fontId="7" fillId="17" borderId="30" xfId="0" applyFont="1" applyFill="1" applyBorder="1" applyAlignment="1">
      <alignment horizontal="center" vertical="center" wrapText="1"/>
    </xf>
    <xf numFmtId="0" fontId="26" fillId="17" borderId="12" xfId="0" applyFont="1" applyFill="1" applyBorder="1" applyAlignment="1">
      <alignment horizontal="left" vertical="center"/>
    </xf>
    <xf numFmtId="164" fontId="26" fillId="17" borderId="12" xfId="1" applyFont="1" applyFill="1" applyBorder="1" applyAlignment="1">
      <alignment horizontal="left" vertical="center"/>
    </xf>
    <xf numFmtId="165" fontId="26" fillId="17" borderId="12" xfId="1" applyNumberFormat="1" applyFont="1" applyFill="1" applyBorder="1" applyAlignment="1">
      <alignment horizontal="left" vertical="center"/>
    </xf>
    <xf numFmtId="164" fontId="7" fillId="17" borderId="12" xfId="1" applyFont="1" applyFill="1" applyBorder="1" applyAlignment="1">
      <alignment horizontal="left" vertical="center"/>
    </xf>
    <xf numFmtId="0" fontId="7" fillId="17" borderId="12" xfId="0" applyFont="1" applyFill="1" applyBorder="1" applyAlignment="1">
      <alignment horizontal="center" vertical="center" wrapText="1"/>
    </xf>
    <xf numFmtId="165" fontId="55" fillId="2" borderId="12" xfId="1" applyNumberFormat="1" applyFont="1" applyFill="1" applyBorder="1" applyAlignment="1" applyProtection="1">
      <alignment horizontal="left" vertical="center" wrapText="1"/>
      <protection locked="0"/>
    </xf>
    <xf numFmtId="0" fontId="55" fillId="2" borderId="13" xfId="0" applyFont="1" applyFill="1" applyBorder="1" applyAlignment="1" applyProtection="1">
      <alignment horizontal="left" vertical="center" wrapText="1"/>
      <protection locked="0"/>
    </xf>
    <xf numFmtId="165" fontId="55" fillId="2" borderId="13" xfId="1" applyNumberFormat="1" applyFont="1" applyFill="1" applyBorder="1" applyAlignment="1" applyProtection="1">
      <alignment horizontal="left" vertical="center" wrapText="1"/>
      <protection locked="0"/>
    </xf>
    <xf numFmtId="0" fontId="5" fillId="0" borderId="12" xfId="0" applyFont="1" applyBorder="1" applyAlignment="1">
      <alignment horizontal="left" vertical="center" wrapText="1"/>
    </xf>
    <xf numFmtId="0" fontId="5" fillId="0" borderId="20" xfId="0" applyFont="1" applyBorder="1" applyAlignment="1">
      <alignment horizontal="left" vertical="center" wrapText="1"/>
    </xf>
    <xf numFmtId="0" fontId="6" fillId="0" borderId="26" xfId="0" applyFont="1" applyBorder="1" applyAlignment="1">
      <alignment horizontal="left" vertical="center"/>
    </xf>
    <xf numFmtId="0" fontId="5" fillId="0" borderId="12" xfId="0" applyFont="1" applyBorder="1" applyAlignment="1">
      <alignment horizontal="left" vertical="center"/>
    </xf>
    <xf numFmtId="0" fontId="45" fillId="8" borderId="79" xfId="0" applyFont="1" applyFill="1" applyBorder="1" applyAlignment="1">
      <alignment horizontal="justify" vertical="center" wrapText="1"/>
    </xf>
    <xf numFmtId="3" fontId="47" fillId="8" borderId="10" xfId="0" applyNumberFormat="1" applyFont="1" applyFill="1" applyBorder="1" applyAlignment="1">
      <alignment horizontal="center" vertical="center" wrapText="1"/>
    </xf>
    <xf numFmtId="0" fontId="47" fillId="8" borderId="10" xfId="0" applyFont="1" applyFill="1" applyBorder="1" applyAlignment="1">
      <alignment horizontal="center" vertical="center" wrapText="1"/>
    </xf>
    <xf numFmtId="0" fontId="26" fillId="3" borderId="22" xfId="0" applyFont="1" applyFill="1" applyBorder="1" applyAlignment="1">
      <alignment horizontal="left" vertical="center"/>
    </xf>
    <xf numFmtId="164" fontId="26" fillId="3" borderId="22" xfId="1" applyFont="1" applyFill="1" applyBorder="1" applyAlignment="1">
      <alignment horizontal="left" vertical="center"/>
    </xf>
    <xf numFmtId="165" fontId="26" fillId="3" borderId="22" xfId="1" applyNumberFormat="1" applyFont="1" applyFill="1" applyBorder="1" applyAlignment="1">
      <alignment horizontal="left" vertical="center"/>
    </xf>
    <xf numFmtId="164" fontId="7" fillId="3" borderId="22" xfId="1" applyFont="1" applyFill="1" applyBorder="1" applyAlignment="1">
      <alignment horizontal="left" vertical="center"/>
    </xf>
    <xf numFmtId="165" fontId="7" fillId="3" borderId="22" xfId="1" applyNumberFormat="1" applyFont="1" applyFill="1" applyBorder="1" applyAlignment="1">
      <alignment horizontal="left" vertical="center"/>
    </xf>
    <xf numFmtId="0" fontId="7" fillId="3" borderId="23" xfId="0" applyFont="1" applyFill="1" applyBorder="1" applyAlignment="1">
      <alignment horizontal="center" vertical="center" wrapText="1"/>
    </xf>
    <xf numFmtId="0" fontId="26" fillId="6" borderId="90" xfId="0" applyFont="1" applyFill="1" applyBorder="1" applyAlignment="1">
      <alignment horizontal="left" vertical="center"/>
    </xf>
    <xf numFmtId="164" fontId="26" fillId="6" borderId="90" xfId="1" applyFont="1" applyFill="1" applyBorder="1" applyAlignment="1">
      <alignment horizontal="left" vertical="center"/>
    </xf>
    <xf numFmtId="165" fontId="26" fillId="6" borderId="90" xfId="1" applyNumberFormat="1" applyFont="1" applyFill="1" applyBorder="1" applyAlignment="1">
      <alignment horizontal="left" vertical="center"/>
    </xf>
    <xf numFmtId="164" fontId="7" fillId="6" borderId="90" xfId="1" applyFont="1" applyFill="1" applyBorder="1" applyAlignment="1">
      <alignment horizontal="left" vertical="center"/>
    </xf>
    <xf numFmtId="0" fontId="7" fillId="6" borderId="91" xfId="0" applyFont="1" applyFill="1" applyBorder="1" applyAlignment="1">
      <alignment horizontal="center" vertical="center" wrapText="1"/>
    </xf>
    <xf numFmtId="0" fontId="5" fillId="8" borderId="21" xfId="0" applyFont="1" applyFill="1" applyBorder="1" applyAlignment="1">
      <alignment horizontal="center" vertical="center" wrapText="1"/>
    </xf>
    <xf numFmtId="0" fontId="26" fillId="3" borderId="47" xfId="0" applyFont="1" applyFill="1" applyBorder="1" applyAlignment="1">
      <alignment horizontal="left" vertical="center"/>
    </xf>
    <xf numFmtId="164" fontId="26" fillId="3" borderId="47" xfId="1" applyFont="1" applyFill="1" applyBorder="1" applyAlignment="1">
      <alignment horizontal="left" vertical="center"/>
    </xf>
    <xf numFmtId="165" fontId="26" fillId="3" borderId="47" xfId="1" applyNumberFormat="1" applyFont="1" applyFill="1" applyBorder="1" applyAlignment="1">
      <alignment horizontal="left" vertical="center"/>
    </xf>
    <xf numFmtId="164" fontId="7" fillId="3" borderId="47" xfId="1" applyFont="1" applyFill="1" applyBorder="1" applyAlignment="1">
      <alignment horizontal="left" vertical="center"/>
    </xf>
    <xf numFmtId="165" fontId="7" fillId="3" borderId="47" xfId="1" applyNumberFormat="1" applyFont="1" applyFill="1" applyBorder="1" applyAlignment="1">
      <alignment horizontal="left" vertical="center"/>
    </xf>
    <xf numFmtId="0" fontId="7" fillId="3" borderId="92" xfId="0" applyFont="1" applyFill="1" applyBorder="1" applyAlignment="1">
      <alignment horizontal="center" vertical="center" wrapText="1"/>
    </xf>
    <xf numFmtId="0" fontId="26" fillId="17" borderId="20" xfId="0" applyFont="1" applyFill="1" applyBorder="1" applyAlignment="1">
      <alignment horizontal="left" vertical="center"/>
    </xf>
    <xf numFmtId="164" fontId="26" fillId="17" borderId="20" xfId="1" applyFont="1" applyFill="1" applyBorder="1" applyAlignment="1">
      <alignment horizontal="left" vertical="center"/>
    </xf>
    <xf numFmtId="165" fontId="26" fillId="17" borderId="20" xfId="1" applyNumberFormat="1" applyFont="1" applyFill="1" applyBorder="1" applyAlignment="1">
      <alignment horizontal="left" vertical="center"/>
    </xf>
    <xf numFmtId="164" fontId="7" fillId="17" borderId="20" xfId="1" applyFont="1" applyFill="1" applyBorder="1" applyAlignment="1">
      <alignment horizontal="left" vertical="center"/>
    </xf>
    <xf numFmtId="0" fontId="7" fillId="17" borderId="21" xfId="0" applyFont="1" applyFill="1" applyBorder="1" applyAlignment="1">
      <alignment horizontal="center" vertical="center" wrapText="1"/>
    </xf>
    <xf numFmtId="0" fontId="26" fillId="17" borderId="22" xfId="0" applyFont="1" applyFill="1" applyBorder="1" applyAlignment="1">
      <alignment horizontal="left" vertical="center"/>
    </xf>
    <xf numFmtId="164" fontId="26" fillId="17" borderId="22" xfId="1" applyFont="1" applyFill="1" applyBorder="1" applyAlignment="1">
      <alignment horizontal="left" vertical="center"/>
    </xf>
    <xf numFmtId="165" fontId="26" fillId="17" borderId="22" xfId="1" applyNumberFormat="1" applyFont="1" applyFill="1" applyBorder="1" applyAlignment="1">
      <alignment horizontal="left" vertical="center"/>
    </xf>
    <xf numFmtId="164" fontId="7" fillId="17" borderId="22" xfId="1" applyFont="1" applyFill="1" applyBorder="1" applyAlignment="1">
      <alignment horizontal="left" vertical="center"/>
    </xf>
    <xf numFmtId="0" fontId="7" fillId="17" borderId="23" xfId="0" applyFont="1" applyFill="1" applyBorder="1" applyAlignment="1">
      <alignment horizontal="center" vertical="center" wrapText="1"/>
    </xf>
    <xf numFmtId="0" fontId="26" fillId="4" borderId="20" xfId="0" applyFont="1" applyFill="1" applyBorder="1" applyAlignment="1">
      <alignment horizontal="left" vertical="center"/>
    </xf>
    <xf numFmtId="164" fontId="26" fillId="4" borderId="20" xfId="1" applyFont="1" applyFill="1" applyBorder="1" applyAlignment="1">
      <alignment horizontal="left" vertical="center"/>
    </xf>
    <xf numFmtId="165" fontId="26" fillId="4" borderId="20" xfId="1" applyNumberFormat="1" applyFont="1" applyFill="1" applyBorder="1" applyAlignment="1">
      <alignment horizontal="left" vertical="center"/>
    </xf>
    <xf numFmtId="0" fontId="7" fillId="4" borderId="21" xfId="0" applyFont="1" applyFill="1" applyBorder="1" applyAlignment="1">
      <alignment horizontal="center" vertical="center" wrapText="1"/>
    </xf>
    <xf numFmtId="0" fontId="26" fillId="4" borderId="12" xfId="0" applyFont="1" applyFill="1" applyBorder="1" applyAlignment="1">
      <alignment horizontal="left" vertical="center"/>
    </xf>
    <xf numFmtId="164" fontId="26" fillId="4" borderId="12" xfId="1" applyFont="1" applyFill="1" applyBorder="1" applyAlignment="1">
      <alignment horizontal="left" vertical="center"/>
    </xf>
    <xf numFmtId="165" fontId="26" fillId="4" borderId="12" xfId="1" applyNumberFormat="1" applyFont="1" applyFill="1" applyBorder="1" applyAlignment="1">
      <alignment horizontal="left" vertical="center"/>
    </xf>
    <xf numFmtId="0" fontId="7" fillId="4" borderId="25" xfId="0" applyFont="1" applyFill="1" applyBorder="1" applyAlignment="1">
      <alignment horizontal="center" vertical="center" wrapText="1"/>
    </xf>
    <xf numFmtId="0" fontId="26" fillId="4" borderId="22" xfId="0" applyFont="1" applyFill="1" applyBorder="1" applyAlignment="1">
      <alignment horizontal="left" vertical="center"/>
    </xf>
    <xf numFmtId="164" fontId="26" fillId="4" borderId="22" xfId="1" applyFont="1" applyFill="1" applyBorder="1" applyAlignment="1">
      <alignment horizontal="left" vertical="center"/>
    </xf>
    <xf numFmtId="165" fontId="26" fillId="4" borderId="22" xfId="1" applyNumberFormat="1" applyFont="1" applyFill="1" applyBorder="1" applyAlignment="1">
      <alignment horizontal="left" vertical="center"/>
    </xf>
    <xf numFmtId="164" fontId="7" fillId="4" borderId="22" xfId="1" applyFont="1" applyFill="1" applyBorder="1" applyAlignment="1">
      <alignment horizontal="left" vertical="center"/>
    </xf>
    <xf numFmtId="165" fontId="7" fillId="4" borderId="22" xfId="1" applyNumberFormat="1" applyFont="1" applyFill="1" applyBorder="1" applyAlignment="1">
      <alignment horizontal="left" vertical="center"/>
    </xf>
    <xf numFmtId="0" fontId="7" fillId="4" borderId="23" xfId="0" applyFont="1" applyFill="1" applyBorder="1" applyAlignment="1">
      <alignment horizontal="center" vertical="center" wrapText="1"/>
    </xf>
    <xf numFmtId="0" fontId="26" fillId="4" borderId="13" xfId="0" applyFont="1" applyFill="1" applyBorder="1" applyAlignment="1">
      <alignment horizontal="left" vertical="center"/>
    </xf>
    <xf numFmtId="164" fontId="26" fillId="4" borderId="13" xfId="1" applyFont="1" applyFill="1" applyBorder="1" applyAlignment="1">
      <alignment horizontal="left" vertical="center"/>
    </xf>
    <xf numFmtId="165" fontId="26" fillId="4" borderId="13" xfId="1" applyNumberFormat="1" applyFont="1" applyFill="1" applyBorder="1" applyAlignment="1">
      <alignment horizontal="left" vertical="center"/>
    </xf>
    <xf numFmtId="164" fontId="7" fillId="4" borderId="13" xfId="1" applyFont="1" applyFill="1" applyBorder="1" applyAlignment="1">
      <alignment horizontal="left" vertical="center"/>
    </xf>
    <xf numFmtId="0" fontId="7" fillId="4" borderId="30" xfId="0" applyFont="1" applyFill="1" applyBorder="1" applyAlignment="1">
      <alignment horizontal="center" vertical="center" wrapText="1"/>
    </xf>
    <xf numFmtId="164" fontId="7" fillId="4" borderId="12" xfId="1" applyFont="1" applyFill="1" applyBorder="1" applyAlignment="1">
      <alignment horizontal="left" vertical="center"/>
    </xf>
    <xf numFmtId="0" fontId="26" fillId="17" borderId="13" xfId="0" applyFont="1" applyFill="1" applyBorder="1" applyAlignment="1">
      <alignment horizontal="left" vertical="center"/>
    </xf>
    <xf numFmtId="164" fontId="26" fillId="17" borderId="13" xfId="1" applyFont="1" applyFill="1" applyBorder="1" applyAlignment="1">
      <alignment horizontal="left" vertical="center"/>
    </xf>
    <xf numFmtId="165" fontId="26" fillId="17" borderId="13" xfId="1" applyNumberFormat="1" applyFont="1" applyFill="1" applyBorder="1" applyAlignment="1">
      <alignment horizontal="left" vertical="center"/>
    </xf>
    <xf numFmtId="164" fontId="7" fillId="17" borderId="13" xfId="1" applyFont="1" applyFill="1" applyBorder="1" applyAlignment="1">
      <alignment horizontal="left" vertical="center"/>
    </xf>
    <xf numFmtId="0" fontId="7" fillId="17" borderId="13" xfId="0" applyFont="1" applyFill="1" applyBorder="1" applyAlignment="1">
      <alignment horizontal="center" vertical="center" wrapText="1"/>
    </xf>
    <xf numFmtId="0" fontId="53" fillId="5" borderId="90" xfId="0" applyFont="1" applyFill="1" applyBorder="1" applyAlignment="1">
      <alignment horizontal="left" vertical="center"/>
    </xf>
    <xf numFmtId="164" fontId="53" fillId="5" borderId="90" xfId="1" applyFont="1" applyFill="1" applyBorder="1" applyAlignment="1">
      <alignment horizontal="left" vertical="center"/>
    </xf>
    <xf numFmtId="165" fontId="32" fillId="5" borderId="90" xfId="1" applyNumberFormat="1" applyFont="1" applyFill="1" applyBorder="1" applyAlignment="1">
      <alignment horizontal="left" vertical="center"/>
    </xf>
    <xf numFmtId="164" fontId="32" fillId="5" borderId="90" xfId="1" applyFont="1" applyFill="1" applyBorder="1" applyAlignment="1">
      <alignment horizontal="left" vertical="center"/>
    </xf>
    <xf numFmtId="0" fontId="54" fillId="5" borderId="91" xfId="0" applyFont="1" applyFill="1" applyBorder="1" applyAlignment="1">
      <alignment horizontal="center" vertical="center" wrapText="1"/>
    </xf>
    <xf numFmtId="0" fontId="7" fillId="8" borderId="20" xfId="0" applyFont="1" applyFill="1" applyBorder="1" applyAlignment="1">
      <alignment horizontal="left" vertical="center"/>
    </xf>
    <xf numFmtId="164" fontId="7" fillId="8" borderId="20" xfId="1" applyFont="1" applyFill="1" applyBorder="1" applyAlignment="1">
      <alignment horizontal="left" vertical="center"/>
    </xf>
    <xf numFmtId="164" fontId="26" fillId="8" borderId="20" xfId="1" applyFont="1" applyFill="1" applyBorder="1" applyAlignment="1">
      <alignment horizontal="left" vertical="center"/>
    </xf>
    <xf numFmtId="165" fontId="5" fillId="8" borderId="21" xfId="1" applyNumberFormat="1" applyFont="1" applyFill="1" applyBorder="1" applyAlignment="1">
      <alignment horizontal="center" vertical="center"/>
    </xf>
    <xf numFmtId="0" fontId="26" fillId="3" borderId="80" xfId="0" applyFont="1" applyFill="1" applyBorder="1" applyAlignment="1">
      <alignment horizontal="left" vertical="center"/>
    </xf>
    <xf numFmtId="0" fontId="7" fillId="3" borderId="28" xfId="0" applyFont="1" applyFill="1" applyBorder="1" applyAlignment="1">
      <alignment horizontal="left" vertical="center"/>
    </xf>
    <xf numFmtId="0" fontId="7" fillId="3" borderId="22" xfId="0" applyFont="1" applyFill="1" applyBorder="1" applyAlignment="1">
      <alignment horizontal="left" vertical="center"/>
    </xf>
    <xf numFmtId="0" fontId="26" fillId="3" borderId="22" xfId="0" applyFont="1" applyFill="1" applyBorder="1" applyAlignment="1">
      <alignment horizontal="left" vertical="center" wrapText="1"/>
    </xf>
    <xf numFmtId="0" fontId="6" fillId="0" borderId="20" xfId="0" applyFont="1" applyFill="1" applyBorder="1" applyAlignment="1">
      <alignment horizontal="left" vertical="center"/>
    </xf>
    <xf numFmtId="165" fontId="7" fillId="3" borderId="23" xfId="1" applyNumberFormat="1" applyFont="1" applyFill="1" applyBorder="1" applyAlignment="1">
      <alignment horizontal="center" vertical="center"/>
    </xf>
    <xf numFmtId="165" fontId="7" fillId="3" borderId="92" xfId="1" applyNumberFormat="1" applyFont="1" applyFill="1" applyBorder="1" applyAlignment="1">
      <alignment horizontal="center" vertical="center"/>
    </xf>
    <xf numFmtId="0" fontId="26" fillId="4" borderId="16" xfId="0" applyFont="1" applyFill="1" applyBorder="1" applyAlignment="1">
      <alignment horizontal="left" vertical="center"/>
    </xf>
    <xf numFmtId="164" fontId="26" fillId="4" borderId="16" xfId="1" applyFont="1" applyFill="1" applyBorder="1" applyAlignment="1">
      <alignment horizontal="left" vertical="center"/>
    </xf>
    <xf numFmtId="165" fontId="26" fillId="4" borderId="16" xfId="1" applyNumberFormat="1" applyFont="1" applyFill="1" applyBorder="1" applyAlignment="1">
      <alignment horizontal="left" vertical="center"/>
    </xf>
    <xf numFmtId="0" fontId="7" fillId="4" borderId="32" xfId="0" applyFont="1" applyFill="1" applyBorder="1" applyAlignment="1">
      <alignment horizontal="center" vertical="center" wrapText="1"/>
    </xf>
    <xf numFmtId="0" fontId="5" fillId="8" borderId="20" xfId="0" applyFont="1" applyFill="1" applyBorder="1" applyAlignment="1">
      <alignment horizontal="left" vertical="center"/>
    </xf>
    <xf numFmtId="0" fontId="5" fillId="8" borderId="20" xfId="0" applyFont="1" applyFill="1" applyBorder="1" applyAlignment="1">
      <alignment horizontal="right" vertical="center"/>
    </xf>
    <xf numFmtId="0" fontId="6" fillId="8" borderId="20" xfId="0" applyFont="1" applyFill="1" applyBorder="1" applyAlignment="1">
      <alignment horizontal="right" vertical="center" wrapText="1"/>
    </xf>
    <xf numFmtId="0" fontId="5" fillId="8" borderId="20" xfId="0" applyFont="1" applyFill="1" applyBorder="1" applyAlignment="1">
      <alignment horizontal="right" vertical="center" wrapText="1"/>
    </xf>
    <xf numFmtId="0" fontId="26" fillId="0" borderId="26" xfId="0" applyFont="1" applyBorder="1" applyAlignment="1">
      <alignment horizontal="left" vertical="center"/>
    </xf>
    <xf numFmtId="164" fontId="8" fillId="0" borderId="20" xfId="1" applyFont="1" applyFill="1" applyBorder="1" applyAlignment="1">
      <alignment horizontal="left" vertical="center"/>
    </xf>
    <xf numFmtId="165" fontId="8" fillId="0" borderId="20" xfId="1" applyNumberFormat="1" applyFont="1" applyFill="1" applyBorder="1" applyAlignment="1">
      <alignment horizontal="left" vertical="center"/>
    </xf>
    <xf numFmtId="0" fontId="55" fillId="2" borderId="44" xfId="0" applyFont="1" applyFill="1" applyBorder="1" applyAlignment="1" applyProtection="1">
      <alignment horizontal="center" vertical="center" wrapText="1"/>
      <protection locked="0"/>
    </xf>
    <xf numFmtId="0" fontId="55" fillId="2" borderId="14" xfId="0" applyFont="1" applyFill="1" applyBorder="1" applyAlignment="1" applyProtection="1">
      <alignment horizontal="center" vertical="center" wrapText="1"/>
      <protection locked="0"/>
    </xf>
    <xf numFmtId="0" fontId="55" fillId="2" borderId="47" xfId="0" applyFont="1" applyFill="1" applyBorder="1" applyAlignment="1" applyProtection="1">
      <alignment horizontal="center" vertical="center" wrapText="1"/>
      <protection locked="0"/>
    </xf>
    <xf numFmtId="0" fontId="7" fillId="4" borderId="26" xfId="0" applyFont="1" applyFill="1" applyBorder="1" applyAlignment="1">
      <alignment horizontal="center" vertical="center"/>
    </xf>
    <xf numFmtId="0" fontId="7" fillId="4" borderId="20" xfId="0" applyFont="1" applyFill="1" applyBorder="1" applyAlignment="1">
      <alignment horizontal="center" vertical="center"/>
    </xf>
    <xf numFmtId="0" fontId="7" fillId="4" borderId="27" xfId="0" applyFont="1" applyFill="1" applyBorder="1" applyAlignment="1">
      <alignment horizontal="center" vertical="center"/>
    </xf>
    <xf numFmtId="0" fontId="7" fillId="4" borderId="12" xfId="0" applyFont="1" applyFill="1" applyBorder="1" applyAlignment="1">
      <alignment horizontal="center" vertical="center"/>
    </xf>
    <xf numFmtId="0" fontId="7" fillId="4" borderId="29" xfId="0" applyFont="1" applyFill="1" applyBorder="1" applyAlignment="1">
      <alignment horizontal="center" vertical="center"/>
    </xf>
    <xf numFmtId="0" fontId="7" fillId="4" borderId="13" xfId="0" applyFont="1" applyFill="1" applyBorder="1" applyAlignment="1">
      <alignment horizontal="center" vertical="center"/>
    </xf>
    <xf numFmtId="0" fontId="32" fillId="5" borderId="8"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49" xfId="0" applyFont="1" applyFill="1" applyBorder="1" applyAlignment="1">
      <alignment horizontal="center" vertical="center"/>
    </xf>
    <xf numFmtId="0" fontId="5" fillId="0" borderId="20" xfId="0" applyFont="1" applyBorder="1" applyAlignment="1">
      <alignment horizontal="left" vertical="center" wrapText="1"/>
    </xf>
    <xf numFmtId="0" fontId="5" fillId="0" borderId="12" xfId="0" applyFont="1" applyBorder="1" applyAlignment="1">
      <alignment horizontal="left" vertical="center" wrapText="1"/>
    </xf>
    <xf numFmtId="0" fontId="26" fillId="3" borderId="28" xfId="0" applyFont="1" applyFill="1" applyBorder="1" applyAlignment="1">
      <alignment horizontal="left" vertical="center"/>
    </xf>
    <xf numFmtId="0" fontId="7" fillId="3" borderId="22" xfId="0" applyFont="1" applyFill="1" applyBorder="1" applyAlignment="1">
      <alignment horizontal="left" vertical="center"/>
    </xf>
    <xf numFmtId="0" fontId="26" fillId="3" borderId="22" xfId="0" applyFont="1" applyFill="1" applyBorder="1" applyAlignment="1">
      <alignment horizontal="left" vertical="center"/>
    </xf>
    <xf numFmtId="0" fontId="26" fillId="3" borderId="47" xfId="0" applyFont="1" applyFill="1" applyBorder="1" applyAlignment="1">
      <alignment horizontal="left" vertical="center"/>
    </xf>
    <xf numFmtId="0" fontId="32" fillId="5" borderId="3" xfId="0" applyFont="1" applyFill="1" applyBorder="1" applyAlignment="1">
      <alignment horizontal="center" vertical="center"/>
    </xf>
    <xf numFmtId="0" fontId="32" fillId="5" borderId="4" xfId="0" applyFont="1" applyFill="1" applyBorder="1" applyAlignment="1">
      <alignment horizontal="center" vertical="center"/>
    </xf>
    <xf numFmtId="0" fontId="32" fillId="5" borderId="38" xfId="0" applyFont="1" applyFill="1" applyBorder="1" applyAlignment="1">
      <alignment horizontal="center" vertical="center"/>
    </xf>
    <xf numFmtId="0" fontId="7" fillId="4" borderId="83" xfId="0" applyFont="1" applyFill="1" applyBorder="1" applyAlignment="1">
      <alignment horizontal="center" vertical="center"/>
    </xf>
    <xf numFmtId="0" fontId="7" fillId="4" borderId="81" xfId="0" applyFont="1" applyFill="1" applyBorder="1" applyAlignment="1">
      <alignment horizontal="center" vertical="center"/>
    </xf>
    <xf numFmtId="0" fontId="7" fillId="4" borderId="18" xfId="0" applyFont="1" applyFill="1" applyBorder="1" applyAlignment="1">
      <alignment horizontal="center" vertical="center"/>
    </xf>
    <xf numFmtId="0" fontId="7" fillId="4" borderId="40" xfId="0" applyFont="1" applyFill="1" applyBorder="1" applyAlignment="1">
      <alignment horizontal="center" vertical="center"/>
    </xf>
    <xf numFmtId="0" fontId="7" fillId="4" borderId="41" xfId="0" applyFont="1" applyFill="1" applyBorder="1" applyAlignment="1">
      <alignment horizontal="center" vertical="center"/>
    </xf>
    <xf numFmtId="0" fontId="7" fillId="4" borderId="42" xfId="0" applyFont="1" applyFill="1" applyBorder="1" applyAlignment="1">
      <alignment horizontal="center" vertical="center"/>
    </xf>
    <xf numFmtId="0" fontId="7" fillId="4" borderId="39" xfId="0" applyFont="1" applyFill="1" applyBorder="1" applyAlignment="1">
      <alignment horizontal="center" vertical="center"/>
    </xf>
    <xf numFmtId="0" fontId="7" fillId="4" borderId="37" xfId="0" applyFont="1" applyFill="1" applyBorder="1" applyAlignment="1">
      <alignment horizontal="center" vertical="center"/>
    </xf>
    <xf numFmtId="0" fontId="7" fillId="4" borderId="15" xfId="0" applyFont="1" applyFill="1" applyBorder="1" applyAlignment="1">
      <alignment horizontal="center" vertical="center"/>
    </xf>
    <xf numFmtId="0" fontId="6" fillId="0" borderId="43" xfId="0" applyFont="1" applyBorder="1" applyAlignment="1">
      <alignment horizontal="center" vertical="center"/>
    </xf>
    <xf numFmtId="0" fontId="6" fillId="0" borderId="45" xfId="0" applyFont="1" applyBorder="1" applyAlignment="1">
      <alignment horizontal="center" vertical="center"/>
    </xf>
    <xf numFmtId="0" fontId="6" fillId="0" borderId="31" xfId="0" applyFont="1" applyBorder="1" applyAlignment="1">
      <alignment horizontal="center" vertical="center"/>
    </xf>
    <xf numFmtId="0" fontId="5" fillId="0" borderId="44" xfId="0" applyFont="1" applyBorder="1" applyAlignment="1">
      <alignment horizontal="center" vertical="center" wrapText="1"/>
    </xf>
    <xf numFmtId="0" fontId="5" fillId="0" borderId="14" xfId="0" applyFont="1" applyBorder="1" applyAlignment="1">
      <alignment horizontal="center" vertical="center" wrapText="1"/>
    </xf>
    <xf numFmtId="0" fontId="26" fillId="17" borderId="20" xfId="0" applyFont="1" applyFill="1" applyBorder="1" applyAlignment="1">
      <alignment horizontal="center" vertical="center"/>
    </xf>
    <xf numFmtId="0" fontId="5" fillId="0" borderId="26" xfId="0" applyFont="1" applyBorder="1" applyAlignment="1">
      <alignment horizontal="left" vertical="center"/>
    </xf>
    <xf numFmtId="0" fontId="5" fillId="0" borderId="27" xfId="0" applyFont="1" applyBorder="1" applyAlignment="1">
      <alignment horizontal="left" vertical="center"/>
    </xf>
    <xf numFmtId="0" fontId="26" fillId="17" borderId="1" xfId="0" applyFont="1" applyFill="1" applyBorder="1" applyAlignment="1">
      <alignment horizontal="center" vertical="center"/>
    </xf>
    <xf numFmtId="0" fontId="26" fillId="17" borderId="2" xfId="0" applyFont="1" applyFill="1" applyBorder="1" applyAlignment="1">
      <alignment horizontal="center" vertical="center"/>
    </xf>
    <xf numFmtId="0" fontId="26" fillId="17" borderId="88" xfId="0" applyFont="1" applyFill="1" applyBorder="1" applyAlignment="1">
      <alignment horizontal="center" vertical="center"/>
    </xf>
    <xf numFmtId="0" fontId="26" fillId="17" borderId="5" xfId="0" applyFont="1" applyFill="1" applyBorder="1" applyAlignment="1">
      <alignment horizontal="center" vertical="center"/>
    </xf>
    <xf numFmtId="0" fontId="26" fillId="17" borderId="0" xfId="0" applyFont="1" applyFill="1" applyBorder="1" applyAlignment="1">
      <alignment horizontal="center" vertical="center"/>
    </xf>
    <xf numFmtId="0" fontId="26" fillId="17" borderId="19" xfId="0" applyFont="1" applyFill="1" applyBorder="1" applyAlignment="1">
      <alignment horizontal="center" vertical="center"/>
    </xf>
    <xf numFmtId="0" fontId="26" fillId="17" borderId="8" xfId="0" applyFont="1" applyFill="1" applyBorder="1" applyAlignment="1">
      <alignment horizontal="center" vertical="center"/>
    </xf>
    <xf numFmtId="0" fontId="26" fillId="17" borderId="9" xfId="0" applyFont="1" applyFill="1" applyBorder="1" applyAlignment="1">
      <alignment horizontal="center" vertical="center"/>
    </xf>
    <xf numFmtId="0" fontId="26" fillId="17" borderId="49" xfId="0" applyFont="1" applyFill="1" applyBorder="1" applyAlignment="1">
      <alignment horizontal="center" vertical="center"/>
    </xf>
    <xf numFmtId="0" fontId="26" fillId="17" borderId="12" xfId="0" applyFont="1" applyFill="1" applyBorder="1" applyAlignment="1">
      <alignment horizontal="center" vertical="center"/>
    </xf>
    <xf numFmtId="0" fontId="26" fillId="17" borderId="22" xfId="0" applyFont="1" applyFill="1" applyBorder="1" applyAlignment="1">
      <alignment horizontal="center" vertical="center"/>
    </xf>
    <xf numFmtId="0" fontId="26" fillId="17" borderId="83" xfId="0" applyFont="1" applyFill="1" applyBorder="1" applyAlignment="1">
      <alignment horizontal="center" vertical="center"/>
    </xf>
    <xf numFmtId="0" fontId="26" fillId="17" borderId="81" xfId="0" applyFont="1" applyFill="1" applyBorder="1" applyAlignment="1">
      <alignment horizontal="center" vertical="center"/>
    </xf>
    <xf numFmtId="0" fontId="26" fillId="17" borderId="18" xfId="0" applyFont="1" applyFill="1" applyBorder="1" applyAlignment="1">
      <alignment horizontal="center" vertical="center"/>
    </xf>
    <xf numFmtId="0" fontId="26" fillId="17" borderId="17" xfId="0" applyFont="1" applyFill="1" applyBorder="1" applyAlignment="1">
      <alignment horizontal="center" vertical="center"/>
    </xf>
    <xf numFmtId="0" fontId="7" fillId="4" borderId="89" xfId="0" applyFont="1" applyFill="1" applyBorder="1" applyAlignment="1">
      <alignment horizontal="center" vertical="center"/>
    </xf>
    <xf numFmtId="0" fontId="7" fillId="4" borderId="35" xfId="0" applyFont="1" applyFill="1" applyBorder="1" applyAlignment="1">
      <alignment horizontal="center" vertical="center"/>
    </xf>
    <xf numFmtId="0" fontId="7" fillId="4" borderId="24" xfId="0" applyFont="1" applyFill="1" applyBorder="1" applyAlignment="1">
      <alignment horizontal="center" vertical="center"/>
    </xf>
    <xf numFmtId="0" fontId="7" fillId="4" borderId="1" xfId="0" applyFont="1" applyFill="1" applyBorder="1" applyAlignment="1">
      <alignment horizontal="center" vertical="center"/>
    </xf>
    <xf numFmtId="0" fontId="7" fillId="4" borderId="2" xfId="0" applyFont="1" applyFill="1" applyBorder="1" applyAlignment="1">
      <alignment horizontal="center" vertical="center"/>
    </xf>
    <xf numFmtId="0" fontId="7" fillId="4" borderId="88"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0" xfId="0" applyFont="1" applyFill="1" applyBorder="1" applyAlignment="1">
      <alignment horizontal="center" vertical="center"/>
    </xf>
    <xf numFmtId="0" fontId="7" fillId="4" borderId="19" xfId="0" applyFont="1" applyFill="1" applyBorder="1" applyAlignment="1">
      <alignment horizontal="center" vertical="center"/>
    </xf>
    <xf numFmtId="0" fontId="7" fillId="4" borderId="8" xfId="0" applyFont="1" applyFill="1" applyBorder="1" applyAlignment="1">
      <alignment horizontal="center" vertical="center"/>
    </xf>
    <xf numFmtId="0" fontId="7" fillId="4" borderId="9" xfId="0" applyFont="1" applyFill="1" applyBorder="1" applyAlignment="1">
      <alignment horizontal="center" vertical="center"/>
    </xf>
    <xf numFmtId="0" fontId="7" fillId="4" borderId="49" xfId="0" applyFont="1" applyFill="1" applyBorder="1" applyAlignment="1">
      <alignment horizontal="center" vertical="center"/>
    </xf>
    <xf numFmtId="0" fontId="7" fillId="4" borderId="84" xfId="0" applyFont="1" applyFill="1" applyBorder="1" applyAlignment="1">
      <alignment horizontal="center" vertical="center"/>
    </xf>
    <xf numFmtId="0" fontId="7" fillId="4" borderId="85" xfId="0" applyFont="1" applyFill="1" applyBorder="1" applyAlignment="1">
      <alignment horizontal="center" vertical="center"/>
    </xf>
    <xf numFmtId="0" fontId="7" fillId="4" borderId="50" xfId="0" applyFont="1" applyFill="1" applyBorder="1" applyAlignment="1">
      <alignment horizontal="center" vertical="center"/>
    </xf>
    <xf numFmtId="0" fontId="5" fillId="17" borderId="80" xfId="0" applyFont="1" applyFill="1" applyBorder="1" applyAlignment="1">
      <alignment horizontal="center" vertical="center"/>
    </xf>
    <xf numFmtId="0" fontId="5" fillId="17" borderId="81" xfId="0" applyFont="1" applyFill="1" applyBorder="1" applyAlignment="1">
      <alignment horizontal="center" vertical="center"/>
    </xf>
    <xf numFmtId="0" fontId="5" fillId="17" borderId="18" xfId="0" applyFont="1" applyFill="1" applyBorder="1" applyAlignment="1">
      <alignment horizontal="center" vertical="center"/>
    </xf>
    <xf numFmtId="0" fontId="5" fillId="17" borderId="5" xfId="0" applyFont="1" applyFill="1" applyBorder="1" applyAlignment="1">
      <alignment horizontal="center" vertical="center"/>
    </xf>
    <xf numFmtId="0" fontId="5" fillId="17" borderId="0" xfId="0" applyFont="1" applyFill="1" applyBorder="1" applyAlignment="1">
      <alignment horizontal="center" vertical="center"/>
    </xf>
    <xf numFmtId="0" fontId="5" fillId="17" borderId="19" xfId="0" applyFont="1" applyFill="1" applyBorder="1" applyAlignment="1">
      <alignment horizontal="center" vertical="center"/>
    </xf>
    <xf numFmtId="0" fontId="5" fillId="17" borderId="86" xfId="0" applyFont="1" applyFill="1" applyBorder="1" applyAlignment="1">
      <alignment horizontal="center" vertical="center"/>
    </xf>
    <xf numFmtId="0" fontId="5" fillId="17" borderId="85" xfId="0" applyFont="1" applyFill="1" applyBorder="1" applyAlignment="1">
      <alignment horizontal="center" vertical="center"/>
    </xf>
    <xf numFmtId="0" fontId="5" fillId="17" borderId="50" xfId="0" applyFont="1" applyFill="1" applyBorder="1" applyAlignment="1">
      <alignment horizontal="center" vertical="center"/>
    </xf>
    <xf numFmtId="0" fontId="5" fillId="17" borderId="39" xfId="0" applyFont="1" applyFill="1" applyBorder="1" applyAlignment="1">
      <alignment horizontal="center" vertical="center"/>
    </xf>
    <xf numFmtId="0" fontId="5" fillId="17" borderId="37" xfId="0" applyFont="1" applyFill="1" applyBorder="1" applyAlignment="1">
      <alignment horizontal="center" vertical="center"/>
    </xf>
    <xf numFmtId="0" fontId="5" fillId="17" borderId="15" xfId="0" applyFont="1" applyFill="1" applyBorder="1" applyAlignment="1">
      <alignment horizontal="center" vertical="center"/>
    </xf>
    <xf numFmtId="0" fontId="5" fillId="17" borderId="1" xfId="0" applyFont="1" applyFill="1" applyBorder="1" applyAlignment="1">
      <alignment horizontal="center" vertical="center"/>
    </xf>
    <xf numFmtId="0" fontId="5" fillId="17" borderId="2" xfId="0" applyFont="1" applyFill="1" applyBorder="1" applyAlignment="1">
      <alignment horizontal="center" vertical="center"/>
    </xf>
    <xf numFmtId="0" fontId="5" fillId="17" borderId="12" xfId="0" applyFont="1" applyFill="1" applyBorder="1" applyAlignment="1">
      <alignment horizontal="center" vertical="center"/>
    </xf>
    <xf numFmtId="0" fontId="26" fillId="17" borderId="84" xfId="0" applyFont="1" applyFill="1" applyBorder="1" applyAlignment="1">
      <alignment horizontal="center" vertical="center"/>
    </xf>
    <xf numFmtId="0" fontId="26" fillId="17" borderId="85" xfId="0" applyFont="1" applyFill="1" applyBorder="1" applyAlignment="1">
      <alignment horizontal="center" vertical="center"/>
    </xf>
    <xf numFmtId="0" fontId="26" fillId="17" borderId="50" xfId="0" applyFont="1" applyFill="1" applyBorder="1" applyAlignment="1">
      <alignment horizontal="center" vertical="center"/>
    </xf>
    <xf numFmtId="0" fontId="30" fillId="14" borderId="28" xfId="0" applyFont="1" applyFill="1" applyBorder="1" applyAlignment="1">
      <alignment horizontal="center" vertical="center"/>
    </xf>
    <xf numFmtId="0" fontId="30" fillId="14" borderId="22" xfId="0" applyFont="1" applyFill="1" applyBorder="1" applyAlignment="1">
      <alignment horizontal="center" vertical="center"/>
    </xf>
    <xf numFmtId="0" fontId="32" fillId="5" borderId="34" xfId="0" applyFont="1" applyFill="1" applyBorder="1" applyAlignment="1">
      <alignment horizontal="center" vertical="center"/>
    </xf>
    <xf numFmtId="0" fontId="32" fillId="5" borderId="35" xfId="0" applyFont="1" applyFill="1" applyBorder="1" applyAlignment="1">
      <alignment horizontal="center" vertical="center"/>
    </xf>
    <xf numFmtId="0" fontId="32" fillId="5" borderId="24" xfId="0" applyFont="1" applyFill="1" applyBorder="1" applyAlignment="1">
      <alignment horizontal="center" vertical="center"/>
    </xf>
    <xf numFmtId="0" fontId="32" fillId="5" borderId="36" xfId="0" applyFont="1" applyFill="1" applyBorder="1" applyAlignment="1">
      <alignment horizontal="center" vertical="center"/>
    </xf>
    <xf numFmtId="0" fontId="32" fillId="5" borderId="37" xfId="0" applyFont="1" applyFill="1" applyBorder="1" applyAlignment="1">
      <alignment horizontal="center" vertical="center"/>
    </xf>
    <xf numFmtId="0" fontId="32" fillId="5" borderId="15" xfId="0" applyFont="1" applyFill="1" applyBorder="1" applyAlignment="1">
      <alignment horizontal="center" vertical="center"/>
    </xf>
    <xf numFmtId="0" fontId="26" fillId="6" borderId="34" xfId="0" applyFont="1" applyFill="1" applyBorder="1" applyAlignment="1">
      <alignment horizontal="center" vertical="center"/>
    </xf>
    <xf numFmtId="0" fontId="26" fillId="6" borderId="35" xfId="0" applyFont="1" applyFill="1" applyBorder="1" applyAlignment="1">
      <alignment horizontal="center" vertical="center"/>
    </xf>
    <xf numFmtId="0" fontId="26" fillId="6" borderId="24" xfId="0" applyFont="1" applyFill="1" applyBorder="1" applyAlignment="1">
      <alignment horizontal="center" vertical="center"/>
    </xf>
    <xf numFmtId="0" fontId="26" fillId="6" borderId="80" xfId="0" applyFont="1" applyFill="1" applyBorder="1" applyAlignment="1">
      <alignment horizontal="center" vertical="center"/>
    </xf>
    <xf numFmtId="0" fontId="26" fillId="6" borderId="81" xfId="0" applyFont="1" applyFill="1" applyBorder="1" applyAlignment="1">
      <alignment horizontal="center" vertical="center"/>
    </xf>
    <xf numFmtId="0" fontId="26" fillId="6" borderId="18" xfId="0" applyFont="1" applyFill="1" applyBorder="1" applyAlignment="1">
      <alignment horizontal="center" vertical="center"/>
    </xf>
    <xf numFmtId="0" fontId="26" fillId="17" borderId="13" xfId="0" applyFont="1" applyFill="1" applyBorder="1" applyAlignment="1">
      <alignment horizontal="center" vertical="center"/>
    </xf>
    <xf numFmtId="0" fontId="6" fillId="0" borderId="26" xfId="0" applyFont="1" applyBorder="1" applyAlignment="1">
      <alignment horizontal="left" vertical="center"/>
    </xf>
    <xf numFmtId="0" fontId="6" fillId="0" borderId="27" xfId="0" applyFont="1" applyBorder="1" applyAlignment="1">
      <alignment horizontal="left" vertical="center"/>
    </xf>
    <xf numFmtId="0" fontId="7" fillId="4" borderId="31" xfId="0" applyFont="1" applyFill="1" applyBorder="1" applyAlignment="1">
      <alignment horizontal="center" vertical="center"/>
    </xf>
    <xf numFmtId="0" fontId="7" fillId="4" borderId="16" xfId="0" applyFont="1" applyFill="1" applyBorder="1" applyAlignment="1">
      <alignment horizontal="center" vertical="center"/>
    </xf>
    <xf numFmtId="0" fontId="29" fillId="0" borderId="0" xfId="0" applyFont="1" applyAlignment="1" applyProtection="1">
      <alignment horizontal="left" vertical="center"/>
      <protection locked="0"/>
    </xf>
    <xf numFmtId="0" fontId="5" fillId="8" borderId="20" xfId="0" applyFont="1" applyFill="1" applyBorder="1" applyAlignment="1">
      <alignment horizontal="left" vertical="center" wrapText="1"/>
    </xf>
    <xf numFmtId="0" fontId="5" fillId="8" borderId="12" xfId="0" applyFont="1" applyFill="1" applyBorder="1" applyAlignment="1">
      <alignment horizontal="left" vertical="center" wrapText="1"/>
    </xf>
    <xf numFmtId="0" fontId="26" fillId="8" borderId="26" xfId="0" applyFont="1" applyFill="1" applyBorder="1" applyAlignment="1">
      <alignment horizontal="left" vertical="center"/>
    </xf>
    <xf numFmtId="0" fontId="7" fillId="8" borderId="27" xfId="0" applyFont="1" applyFill="1" applyBorder="1" applyAlignment="1">
      <alignment horizontal="left" vertical="center"/>
    </xf>
    <xf numFmtId="0" fontId="5" fillId="0" borderId="26" xfId="0" applyFont="1" applyBorder="1" applyAlignment="1">
      <alignment horizontal="left" vertical="center" wrapText="1"/>
    </xf>
    <xf numFmtId="0" fontId="5" fillId="0" borderId="27" xfId="0" applyFont="1" applyBorder="1" applyAlignment="1">
      <alignment horizontal="left" vertical="center" wrapText="1"/>
    </xf>
    <xf numFmtId="0" fontId="6" fillId="0" borderId="86" xfId="0" applyFont="1" applyBorder="1" applyAlignment="1">
      <alignment horizontal="left" vertical="center"/>
    </xf>
    <xf numFmtId="0" fontId="6" fillId="0" borderId="36" xfId="0" applyFont="1" applyBorder="1" applyAlignment="1">
      <alignment horizontal="left" vertical="center"/>
    </xf>
    <xf numFmtId="0" fontId="5" fillId="0" borderId="12" xfId="0" applyFont="1" applyBorder="1" applyAlignment="1">
      <alignment horizontal="left" vertical="center"/>
    </xf>
    <xf numFmtId="0" fontId="55" fillId="2" borderId="20" xfId="0" applyFont="1" applyFill="1" applyBorder="1" applyAlignment="1" applyProtection="1">
      <alignment horizontal="left" vertical="center" wrapText="1"/>
      <protection locked="0"/>
    </xf>
    <xf numFmtId="0" fontId="6" fillId="8" borderId="26" xfId="0" applyFont="1" applyFill="1" applyBorder="1" applyAlignment="1">
      <alignment horizontal="left" vertical="center"/>
    </xf>
    <xf numFmtId="0" fontId="6" fillId="8" borderId="27" xfId="0" applyFont="1" applyFill="1" applyBorder="1" applyAlignment="1">
      <alignment horizontal="left" vertical="center"/>
    </xf>
    <xf numFmtId="0" fontId="26" fillId="6" borderId="3" xfId="0" applyFont="1" applyFill="1" applyBorder="1" applyAlignment="1">
      <alignment horizontal="center" vertical="center"/>
    </xf>
    <xf numFmtId="0" fontId="26" fillId="6" borderId="4" xfId="0" applyFont="1" applyFill="1" applyBorder="1" applyAlignment="1">
      <alignment horizontal="center" vertical="center"/>
    </xf>
    <xf numFmtId="0" fontId="26" fillId="6" borderId="38" xfId="0" applyFont="1" applyFill="1" applyBorder="1" applyAlignment="1">
      <alignment horizontal="center" vertical="center"/>
    </xf>
    <xf numFmtId="0" fontId="55" fillId="2" borderId="21" xfId="0" applyFont="1" applyFill="1" applyBorder="1" applyAlignment="1" applyProtection="1">
      <alignment horizontal="center" vertical="center" wrapText="1"/>
      <protection locked="0"/>
    </xf>
    <xf numFmtId="0" fontId="55" fillId="2" borderId="25" xfId="0" applyFont="1" applyFill="1" applyBorder="1" applyAlignment="1" applyProtection="1">
      <alignment horizontal="center" vertical="center" wrapText="1"/>
      <protection locked="0"/>
    </xf>
    <xf numFmtId="0" fontId="55" fillId="2" borderId="30" xfId="0" applyFont="1" applyFill="1" applyBorder="1" applyAlignment="1" applyProtection="1">
      <alignment horizontal="center" vertical="center" wrapText="1"/>
      <protection locked="0"/>
    </xf>
    <xf numFmtId="0" fontId="55" fillId="2" borderId="12" xfId="0" applyFont="1" applyFill="1" applyBorder="1" applyAlignment="1" applyProtection="1">
      <alignment horizontal="left" vertical="center" wrapText="1"/>
      <protection locked="0"/>
    </xf>
    <xf numFmtId="0" fontId="5" fillId="0" borderId="20" xfId="0" applyFont="1" applyBorder="1" applyAlignment="1">
      <alignment horizontal="center" vertical="center" wrapText="1"/>
    </xf>
    <xf numFmtId="0" fontId="5" fillId="0" borderId="12" xfId="0" applyFont="1" applyBorder="1" applyAlignment="1">
      <alignment horizontal="center" vertical="center" wrapText="1"/>
    </xf>
    <xf numFmtId="0" fontId="5" fillId="8" borderId="20" xfId="0" applyFont="1" applyFill="1" applyBorder="1" applyAlignment="1">
      <alignment horizontal="center" vertical="center" wrapText="1"/>
    </xf>
    <xf numFmtId="0" fontId="5" fillId="8" borderId="12" xfId="0" applyFont="1" applyFill="1" applyBorder="1" applyAlignment="1">
      <alignment horizontal="center" vertical="center" wrapText="1"/>
    </xf>
    <xf numFmtId="0" fontId="7" fillId="3" borderId="28" xfId="0" applyFont="1" applyFill="1" applyBorder="1" applyAlignment="1">
      <alignment horizontal="center" vertical="center"/>
    </xf>
    <xf numFmtId="0" fontId="7" fillId="3" borderId="22" xfId="0" applyFont="1" applyFill="1" applyBorder="1" applyAlignment="1">
      <alignment horizontal="center" vertical="center"/>
    </xf>
    <xf numFmtId="0" fontId="7" fillId="4" borderId="28" xfId="0" applyFont="1" applyFill="1" applyBorder="1" applyAlignment="1">
      <alignment horizontal="center" vertical="center"/>
    </xf>
    <xf numFmtId="0" fontId="7" fillId="4" borderId="22" xfId="0" applyFont="1" applyFill="1" applyBorder="1" applyAlignment="1">
      <alignment horizontal="center" vertical="center"/>
    </xf>
    <xf numFmtId="0" fontId="7" fillId="3" borderId="34" xfId="0" applyFont="1" applyFill="1" applyBorder="1" applyAlignment="1">
      <alignment horizontal="center" vertical="center"/>
    </xf>
    <xf numFmtId="0" fontId="7" fillId="3" borderId="35" xfId="0" applyFont="1" applyFill="1" applyBorder="1" applyAlignment="1">
      <alignment horizontal="center" vertical="center"/>
    </xf>
    <xf numFmtId="0" fontId="7" fillId="3" borderId="49" xfId="0" applyFont="1" applyFill="1" applyBorder="1" applyAlignment="1">
      <alignment horizontal="center" vertical="center"/>
    </xf>
    <xf numFmtId="0" fontId="55" fillId="2" borderId="87" xfId="0" applyFont="1" applyFill="1" applyBorder="1" applyAlignment="1" applyProtection="1">
      <alignment horizontal="left" vertical="center" wrapText="1"/>
      <protection locked="0"/>
    </xf>
    <xf numFmtId="0" fontId="55" fillId="2" borderId="88" xfId="0" applyFont="1" applyFill="1" applyBorder="1" applyAlignment="1" applyProtection="1">
      <alignment horizontal="left" vertical="center" wrapText="1"/>
      <protection locked="0"/>
    </xf>
    <xf numFmtId="0" fontId="55" fillId="2" borderId="84" xfId="0" applyFont="1" applyFill="1" applyBorder="1" applyAlignment="1" applyProtection="1">
      <alignment horizontal="left" vertical="center" wrapText="1"/>
      <protection locked="0"/>
    </xf>
    <xf numFmtId="0" fontId="55" fillId="2" borderId="50" xfId="0" applyFont="1" applyFill="1" applyBorder="1" applyAlignment="1" applyProtection="1">
      <alignment horizontal="left" vertical="center" wrapText="1"/>
      <protection locked="0"/>
    </xf>
    <xf numFmtId="0" fontId="4" fillId="2" borderId="43" xfId="0" applyFont="1" applyFill="1" applyBorder="1" applyAlignment="1" applyProtection="1">
      <alignment horizontal="center"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5" fillId="17" borderId="40" xfId="0" applyFont="1" applyFill="1" applyBorder="1" applyAlignment="1">
      <alignment horizontal="center" vertical="center"/>
    </xf>
    <xf numFmtId="0" fontId="5" fillId="17" borderId="41" xfId="0" applyFont="1" applyFill="1" applyBorder="1" applyAlignment="1">
      <alignment horizontal="center" vertical="center"/>
    </xf>
    <xf numFmtId="0" fontId="5" fillId="17" borderId="42" xfId="0" applyFont="1" applyFill="1" applyBorder="1" applyAlignment="1">
      <alignment horizontal="center" vertical="center"/>
    </xf>
    <xf numFmtId="0" fontId="26" fillId="0" borderId="26" xfId="0" applyFont="1" applyBorder="1" applyAlignment="1">
      <alignment horizontal="left" vertical="center"/>
    </xf>
    <xf numFmtId="0" fontId="26" fillId="0" borderId="27" xfId="0" applyFont="1" applyBorder="1" applyAlignment="1">
      <alignment horizontal="left" vertical="center"/>
    </xf>
    <xf numFmtId="3" fontId="41" fillId="19" borderId="74" xfId="0" applyNumberFormat="1" applyFont="1" applyFill="1" applyBorder="1" applyAlignment="1">
      <alignment horizontal="right" vertical="center" wrapText="1"/>
    </xf>
    <xf numFmtId="3" fontId="41" fillId="19" borderId="75" xfId="0" applyNumberFormat="1" applyFont="1" applyFill="1" applyBorder="1" applyAlignment="1">
      <alignment horizontal="right" vertical="center" wrapText="1"/>
    </xf>
    <xf numFmtId="3" fontId="41" fillId="19" borderId="76" xfId="0" applyNumberFormat="1" applyFont="1" applyFill="1" applyBorder="1" applyAlignment="1">
      <alignment horizontal="right" vertical="center" wrapText="1"/>
    </xf>
    <xf numFmtId="0" fontId="40" fillId="19" borderId="69" xfId="0" applyFont="1" applyFill="1" applyBorder="1" applyAlignment="1">
      <alignment horizontal="right" vertical="center" wrapText="1"/>
    </xf>
    <xf numFmtId="0" fontId="40" fillId="19" borderId="53" xfId="0" applyFont="1" applyFill="1" applyBorder="1" applyAlignment="1">
      <alignment horizontal="right" vertical="center" wrapText="1"/>
    </xf>
    <xf numFmtId="0" fontId="40" fillId="19" borderId="52" xfId="0" applyFont="1" applyFill="1" applyBorder="1" applyAlignment="1">
      <alignment horizontal="right" vertical="center" wrapText="1"/>
    </xf>
    <xf numFmtId="0" fontId="41" fillId="19" borderId="70" xfId="0" applyFont="1" applyFill="1" applyBorder="1" applyAlignment="1">
      <alignment horizontal="right" vertical="center" wrapText="1"/>
    </xf>
    <xf numFmtId="0" fontId="41" fillId="19" borderId="71" xfId="0" applyFont="1" applyFill="1" applyBorder="1" applyAlignment="1">
      <alignment horizontal="right" vertical="center" wrapText="1"/>
    </xf>
    <xf numFmtId="0" fontId="41" fillId="19" borderId="70" xfId="0" applyFont="1" applyFill="1" applyBorder="1" applyAlignment="1">
      <alignment horizontal="center" vertical="center" wrapText="1"/>
    </xf>
    <xf numFmtId="0" fontId="41" fillId="19" borderId="71" xfId="0" applyFont="1" applyFill="1" applyBorder="1" applyAlignment="1">
      <alignment horizontal="center" vertical="center" wrapText="1"/>
    </xf>
    <xf numFmtId="0" fontId="38" fillId="19" borderId="72" xfId="0" applyFont="1" applyFill="1" applyBorder="1" applyAlignment="1">
      <alignment horizontal="right" vertical="center" wrapText="1"/>
    </xf>
    <xf numFmtId="0" fontId="38" fillId="19" borderId="73" xfId="0" applyFont="1" applyFill="1" applyBorder="1" applyAlignment="1">
      <alignment horizontal="right" vertical="center" wrapText="1"/>
    </xf>
    <xf numFmtId="3" fontId="41" fillId="19" borderId="73" xfId="0" applyNumberFormat="1" applyFont="1" applyFill="1" applyBorder="1" applyAlignment="1">
      <alignment horizontal="right" vertical="center" wrapText="1"/>
    </xf>
    <xf numFmtId="0" fontId="17" fillId="0" borderId="5" xfId="0" applyFont="1" applyBorder="1" applyAlignment="1">
      <alignment horizontal="center" vertical="center"/>
    </xf>
    <xf numFmtId="0" fontId="38" fillId="18" borderId="65" xfId="0" applyFont="1" applyFill="1" applyBorder="1" applyAlignment="1">
      <alignment horizontal="center" vertical="center" wrapText="1"/>
    </xf>
    <xf numFmtId="0" fontId="38" fillId="18" borderId="58" xfId="0" applyFont="1" applyFill="1" applyBorder="1" applyAlignment="1">
      <alignment horizontal="center" vertical="center" wrapText="1"/>
    </xf>
    <xf numFmtId="0" fontId="38" fillId="18" borderId="59" xfId="0" applyFont="1" applyFill="1" applyBorder="1" applyAlignment="1">
      <alignment horizontal="center" vertical="center" wrapText="1"/>
    </xf>
    <xf numFmtId="0" fontId="38" fillId="18" borderId="66" xfId="0" applyFont="1" applyFill="1" applyBorder="1" applyAlignment="1">
      <alignment horizontal="center" vertical="center" wrapText="1"/>
    </xf>
    <xf numFmtId="0" fontId="38" fillId="18" borderId="64" xfId="0" applyFont="1" applyFill="1" applyBorder="1" applyAlignment="1">
      <alignment horizontal="center" vertical="center" wrapText="1"/>
    </xf>
    <xf numFmtId="0" fontId="38" fillId="18" borderId="67" xfId="0" applyFont="1" applyFill="1" applyBorder="1" applyAlignment="1">
      <alignment horizontal="center" vertical="center" wrapText="1"/>
    </xf>
    <xf numFmtId="0" fontId="38" fillId="18" borderId="68" xfId="0" applyFont="1" applyFill="1" applyBorder="1" applyAlignment="1">
      <alignment horizontal="center" vertical="center" wrapText="1"/>
    </xf>
    <xf numFmtId="0" fontId="19" fillId="0" borderId="5" xfId="0" applyFont="1" applyBorder="1" applyAlignment="1">
      <alignment horizontal="center" vertical="center"/>
    </xf>
    <xf numFmtId="0" fontId="38" fillId="18" borderId="51" xfId="0" applyFont="1" applyFill="1" applyBorder="1" applyAlignment="1">
      <alignment horizontal="right" vertical="center" wrapText="1"/>
    </xf>
    <xf numFmtId="0" fontId="38" fillId="18" borderId="52" xfId="0" applyFont="1" applyFill="1" applyBorder="1" applyAlignment="1">
      <alignment horizontal="right" vertical="center" wrapText="1"/>
    </xf>
    <xf numFmtId="0" fontId="38" fillId="18" borderId="53" xfId="0" applyFont="1" applyFill="1" applyBorder="1" applyAlignment="1">
      <alignment horizontal="right" vertical="center" wrapText="1"/>
    </xf>
    <xf numFmtId="0" fontId="38" fillId="18" borderId="62" xfId="0" applyFont="1" applyFill="1" applyBorder="1" applyAlignment="1">
      <alignment horizontal="right" vertical="center" wrapText="1"/>
    </xf>
    <xf numFmtId="0" fontId="38" fillId="18" borderId="63" xfId="0" applyFont="1" applyFill="1" applyBorder="1" applyAlignment="1">
      <alignment horizontal="right" vertical="center" wrapText="1"/>
    </xf>
    <xf numFmtId="0" fontId="38" fillId="18" borderId="64" xfId="0" applyFont="1" applyFill="1" applyBorder="1" applyAlignment="1">
      <alignment horizontal="right" vertical="center" wrapText="1"/>
    </xf>
    <xf numFmtId="0" fontId="38" fillId="18" borderId="54" xfId="0" applyFont="1" applyFill="1" applyBorder="1" applyAlignment="1">
      <alignment horizontal="center" vertical="center" wrapText="1"/>
    </xf>
    <xf numFmtId="0" fontId="0" fillId="16" borderId="13" xfId="0" applyFill="1" applyBorder="1" applyAlignment="1">
      <alignment horizontal="center" vertical="center" wrapText="1"/>
    </xf>
    <xf numFmtId="0" fontId="0" fillId="16" borderId="14" xfId="0" applyFill="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6" xfId="0" applyFont="1" applyBorder="1" applyAlignment="1">
      <alignment horizontal="center" vertical="center" wrapText="1"/>
    </xf>
    <xf numFmtId="0" fontId="0" fillId="0" borderId="16" xfId="0" applyBorder="1" applyAlignment="1">
      <alignment horizontal="center" vertical="center" wrapText="1"/>
    </xf>
    <xf numFmtId="0" fontId="0" fillId="0" borderId="12" xfId="0" applyBorder="1" applyAlignment="1">
      <alignment horizontal="center" vertical="center" wrapText="1"/>
    </xf>
    <xf numFmtId="0" fontId="0" fillId="0" borderId="22" xfId="0" applyBorder="1" applyAlignment="1">
      <alignment horizontal="center" vertical="center" wrapText="1"/>
    </xf>
    <xf numFmtId="0" fontId="0" fillId="16" borderId="16" xfId="0" applyFill="1" applyBorder="1" applyAlignment="1">
      <alignment horizontal="center" vertical="center" wrapText="1"/>
    </xf>
    <xf numFmtId="0" fontId="0" fillId="16" borderId="12" xfId="0" applyFill="1" applyBorder="1" applyAlignment="1">
      <alignment horizontal="center" vertical="center" wrapText="1"/>
    </xf>
    <xf numFmtId="0" fontId="0" fillId="17" borderId="12" xfId="0" applyFill="1" applyBorder="1" applyAlignment="1">
      <alignment horizontal="center" vertical="center" wrapText="1"/>
    </xf>
    <xf numFmtId="0" fontId="0" fillId="17" borderId="22" xfId="0" applyFill="1" applyBorder="1" applyAlignment="1">
      <alignment horizontal="center" vertical="center" wrapText="1"/>
    </xf>
    <xf numFmtId="0" fontId="0" fillId="0" borderId="13" xfId="0" applyBorder="1" applyAlignment="1">
      <alignment horizontal="center" vertical="center" wrapText="1"/>
    </xf>
    <xf numFmtId="0" fontId="0" fillId="16" borderId="44" xfId="0" applyFill="1" applyBorder="1" applyAlignment="1">
      <alignment horizontal="center" vertical="center" wrapText="1"/>
    </xf>
    <xf numFmtId="0" fontId="0" fillId="17" borderId="13" xfId="0" applyFill="1" applyBorder="1" applyAlignment="1">
      <alignment horizontal="center" vertical="center" wrapText="1"/>
    </xf>
    <xf numFmtId="0" fontId="0" fillId="17" borderId="14" xfId="0" applyFill="1" applyBorder="1" applyAlignment="1">
      <alignment horizontal="center" vertical="center" wrapText="1"/>
    </xf>
    <xf numFmtId="0" fontId="0" fillId="17" borderId="16" xfId="0" applyFill="1" applyBorder="1" applyAlignment="1">
      <alignment horizontal="center" vertical="center" wrapText="1"/>
    </xf>
    <xf numFmtId="0" fontId="3" fillId="0" borderId="12" xfId="0" applyFont="1" applyBorder="1" applyAlignment="1">
      <alignment horizontal="center" vertical="center" wrapText="1"/>
    </xf>
    <xf numFmtId="0" fontId="0" fillId="0" borderId="17" xfId="0" applyBorder="1" applyAlignment="1">
      <alignment horizontal="center" vertical="center" wrapText="1"/>
    </xf>
    <xf numFmtId="0" fontId="0" fillId="0" borderId="48" xfId="0" applyBorder="1" applyAlignment="1">
      <alignment horizontal="center" vertical="center" wrapText="1"/>
    </xf>
    <xf numFmtId="0" fontId="0" fillId="16" borderId="19" xfId="0" applyFill="1" applyBorder="1" applyAlignment="1">
      <alignment horizontal="center" vertical="center" wrapText="1"/>
    </xf>
    <xf numFmtId="0" fontId="0" fillId="17" borderId="18" xfId="0" applyFill="1" applyBorder="1" applyAlignment="1">
      <alignment horizontal="center" vertical="center" wrapText="1"/>
    </xf>
    <xf numFmtId="0" fontId="0" fillId="17" borderId="19" xfId="0" applyFill="1" applyBorder="1" applyAlignment="1">
      <alignment horizontal="center" vertical="center" wrapText="1"/>
    </xf>
    <xf numFmtId="0" fontId="0" fillId="17" borderId="49" xfId="0" applyFill="1" applyBorder="1" applyAlignment="1">
      <alignment horizontal="center" vertical="center" wrapText="1"/>
    </xf>
    <xf numFmtId="0" fontId="3" fillId="0" borderId="22" xfId="0" applyFont="1" applyBorder="1" applyAlignment="1">
      <alignment horizontal="center" vertical="center" wrapText="1"/>
    </xf>
    <xf numFmtId="0" fontId="0" fillId="16" borderId="47" xfId="0" applyFill="1" applyBorder="1" applyAlignment="1">
      <alignment horizontal="center" vertical="center" wrapText="1"/>
    </xf>
    <xf numFmtId="0" fontId="0" fillId="0" borderId="20" xfId="0" applyBorder="1" applyAlignment="1">
      <alignment horizontal="center" vertical="center" wrapText="1"/>
    </xf>
    <xf numFmtId="0" fontId="0" fillId="16" borderId="20" xfId="0" applyFill="1" applyBorder="1" applyAlignment="1">
      <alignment horizontal="center" vertical="center" wrapText="1"/>
    </xf>
    <xf numFmtId="0" fontId="0" fillId="0" borderId="31" xfId="0" applyBorder="1" applyAlignment="1">
      <alignment horizontal="center" vertical="center" wrapText="1"/>
    </xf>
    <xf numFmtId="0" fontId="0" fillId="0" borderId="27" xfId="0" applyBorder="1" applyAlignment="1">
      <alignment horizontal="center" vertical="center" wrapText="1"/>
    </xf>
    <xf numFmtId="0" fontId="0" fillId="0" borderId="28" xfId="0" applyBorder="1" applyAlignment="1">
      <alignment horizontal="center" vertical="center" wrapText="1"/>
    </xf>
    <xf numFmtId="0" fontId="0" fillId="0" borderId="26" xfId="0" applyBorder="1" applyAlignment="1">
      <alignment horizontal="center" vertical="center" wrapText="1"/>
    </xf>
    <xf numFmtId="0" fontId="0" fillId="0" borderId="43" xfId="0" applyBorder="1" applyAlignment="1">
      <alignment horizontal="center" vertical="center" wrapText="1"/>
    </xf>
    <xf numFmtId="0" fontId="0" fillId="0" borderId="45" xfId="0" applyBorder="1" applyAlignment="1">
      <alignment horizontal="center" vertical="center" wrapText="1"/>
    </xf>
    <xf numFmtId="0" fontId="0" fillId="0" borderId="46" xfId="0" applyBorder="1" applyAlignment="1">
      <alignment horizontal="center" vertical="center" wrapText="1"/>
    </xf>
    <xf numFmtId="0" fontId="3" fillId="0" borderId="44" xfId="0" applyFont="1" applyBorder="1" applyAlignment="1">
      <alignment horizontal="center" vertical="center" wrapText="1"/>
    </xf>
    <xf numFmtId="0" fontId="3" fillId="0" borderId="20" xfId="0" applyFont="1" applyBorder="1" applyAlignment="1">
      <alignment horizontal="center" vertical="center" wrapText="1"/>
    </xf>
    <xf numFmtId="0" fontId="0" fillId="4" borderId="13" xfId="0" applyFill="1" applyBorder="1" applyAlignment="1">
      <alignment horizontal="left" vertical="center"/>
    </xf>
    <xf numFmtId="0" fontId="0" fillId="4" borderId="14" xfId="0" applyFill="1" applyBorder="1" applyAlignment="1">
      <alignment horizontal="left" vertical="center"/>
    </xf>
    <xf numFmtId="0" fontId="0" fillId="4" borderId="12" xfId="0" applyFill="1" applyBorder="1" applyAlignment="1">
      <alignment horizontal="left" vertical="center"/>
    </xf>
    <xf numFmtId="0" fontId="0" fillId="0" borderId="12" xfId="0" quotePrefix="1" applyBorder="1" applyAlignment="1">
      <alignment horizontal="center" vertical="center" wrapText="1"/>
    </xf>
    <xf numFmtId="0" fontId="0" fillId="0" borderId="44" xfId="0" applyBorder="1" applyAlignment="1">
      <alignment horizontal="center" vertical="center" wrapText="1"/>
    </xf>
    <xf numFmtId="0" fontId="0" fillId="0" borderId="14" xfId="0" applyBorder="1" applyAlignment="1">
      <alignment horizontal="center" vertical="center" wrapText="1"/>
    </xf>
    <xf numFmtId="0" fontId="0" fillId="0" borderId="0" xfId="0" applyAlignment="1">
      <alignment horizontal="left" vertical="center" wrapText="1"/>
    </xf>
    <xf numFmtId="0" fontId="0" fillId="0" borderId="0" xfId="0" applyAlignment="1">
      <alignment horizontal="left" vertical="center"/>
    </xf>
  </cellXfs>
  <cellStyles count="8">
    <cellStyle name="40% - Accent6" xfId="5" builtinId="51"/>
    <cellStyle name="Comma" xfId="1" builtinId="3"/>
    <cellStyle name="Comma 2" xfId="6" xr:uid="{00000000-0005-0000-0000-000002000000}"/>
    <cellStyle name="Millares 2" xfId="3" xr:uid="{00000000-0005-0000-0000-000003000000}"/>
    <cellStyle name="Normal" xfId="0" builtinId="0"/>
    <cellStyle name="Normal 2" xfId="2" xr:uid="{00000000-0005-0000-0000-000005000000}"/>
    <cellStyle name="Percent" xfId="4" builtinId="5"/>
    <cellStyle name="Standard 4" xfId="7"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Kairusam Rodriguez" id="{2497425E-B9A4-4C4A-A906-D13F20150C3B}" userId="0fe8be4713898fb4" providerId="Windows Liv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H94" dT="2022-05-17T18:34:47.80" personId="{2497425E-B9A4-4C4A-A906-D13F20150C3B}" id="{3C6B7522-D6D0-4FBC-8D14-1960550EEE52}">
    <text>faltan 100 Ha la FP indica 4.448</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N287"/>
  <sheetViews>
    <sheetView tabSelected="1" zoomScaleNormal="100" workbookViewId="0">
      <selection activeCell="G15" sqref="G15"/>
    </sheetView>
  </sheetViews>
  <sheetFormatPr defaultColWidth="9.140625" defaultRowHeight="15" x14ac:dyDescent="0.25"/>
  <cols>
    <col min="1" max="1" width="3.42578125" style="40" customWidth="1"/>
    <col min="2" max="2" width="12.85546875" style="40" customWidth="1"/>
    <col min="3" max="3" width="17.28515625" style="9" customWidth="1"/>
    <col min="4" max="4" width="12.140625" style="40" customWidth="1"/>
    <col min="5" max="5" width="16.28515625" style="9" customWidth="1"/>
    <col min="6" max="6" width="8.85546875" style="40" customWidth="1"/>
    <col min="7" max="7" width="12.42578125" style="40" customWidth="1"/>
    <col min="8" max="8" width="42.5703125" style="41" customWidth="1"/>
    <col min="9" max="9" width="10.5703125" style="40" customWidth="1"/>
    <col min="10" max="11" width="13.28515625" style="40" customWidth="1"/>
    <col min="12" max="12" width="13.28515625" style="42" customWidth="1"/>
    <col min="13" max="13" width="13.28515625" style="40" customWidth="1"/>
    <col min="14" max="14" width="14.85546875" style="42" customWidth="1"/>
    <col min="15" max="15" width="15.28515625" style="9" customWidth="1"/>
    <col min="16" max="16" width="14.85546875" style="12" customWidth="1"/>
    <col min="17" max="17" width="13.28515625" style="9" customWidth="1"/>
    <col min="18" max="18" width="13.28515625" style="12" customWidth="1"/>
    <col min="19" max="19" width="13.28515625" style="9" customWidth="1"/>
    <col min="20" max="20" width="13.28515625" style="12" customWidth="1"/>
    <col min="21" max="21" width="16" style="12" customWidth="1"/>
    <col min="22" max="22" width="16" style="171" customWidth="1"/>
    <col min="23" max="23" width="17.42578125" style="40" customWidth="1"/>
    <col min="24" max="24" width="21.140625" style="40" customWidth="1"/>
    <col min="25" max="25" width="14.7109375" style="40" customWidth="1"/>
    <col min="26" max="16384" width="9.140625" style="40"/>
  </cols>
  <sheetData>
    <row r="1" spans="2:22" x14ac:dyDescent="0.25">
      <c r="B1" s="51" t="s">
        <v>0</v>
      </c>
      <c r="C1" s="11"/>
    </row>
    <row r="2" spans="2:22" x14ac:dyDescent="0.25">
      <c r="B2" s="509" t="s">
        <v>694</v>
      </c>
      <c r="C2" s="509"/>
      <c r="D2" s="509"/>
      <c r="E2" s="509"/>
      <c r="F2" s="509"/>
      <c r="G2" s="509"/>
      <c r="H2" s="509"/>
      <c r="I2" s="509"/>
      <c r="J2" s="509"/>
      <c r="K2" s="509"/>
      <c r="L2" s="509"/>
    </row>
    <row r="3" spans="2:22" x14ac:dyDescent="0.25">
      <c r="B3" s="51" t="s">
        <v>686</v>
      </c>
      <c r="C3" s="11"/>
    </row>
    <row r="4" spans="2:22" ht="15.75" thickBot="1" x14ac:dyDescent="0.3">
      <c r="B4" s="44"/>
      <c r="C4" s="11"/>
      <c r="M4" s="43"/>
    </row>
    <row r="5" spans="2:22" ht="15.75" customHeight="1" x14ac:dyDescent="0.25">
      <c r="B5" s="544" t="s">
        <v>9</v>
      </c>
      <c r="C5" s="404" t="s">
        <v>9</v>
      </c>
      <c r="D5" s="404" t="s">
        <v>10</v>
      </c>
      <c r="E5" s="404" t="s">
        <v>11</v>
      </c>
      <c r="F5" s="404" t="s">
        <v>12</v>
      </c>
      <c r="G5" s="404" t="s">
        <v>13</v>
      </c>
      <c r="H5" s="404" t="s">
        <v>14</v>
      </c>
      <c r="I5" s="540" t="s">
        <v>1</v>
      </c>
      <c r="J5" s="541"/>
      <c r="K5" s="519" t="s">
        <v>2</v>
      </c>
      <c r="L5" s="519"/>
      <c r="M5" s="519"/>
      <c r="N5" s="519"/>
      <c r="O5" s="519"/>
      <c r="P5" s="519"/>
      <c r="Q5" s="519"/>
      <c r="R5" s="519"/>
      <c r="S5" s="519"/>
      <c r="T5" s="519"/>
      <c r="U5" s="519"/>
      <c r="V5" s="525" t="s">
        <v>3</v>
      </c>
    </row>
    <row r="6" spans="2:22" ht="15" customHeight="1" x14ac:dyDescent="0.25">
      <c r="B6" s="545"/>
      <c r="C6" s="405"/>
      <c r="D6" s="405"/>
      <c r="E6" s="405"/>
      <c r="F6" s="405"/>
      <c r="G6" s="405"/>
      <c r="H6" s="405"/>
      <c r="I6" s="542"/>
      <c r="J6" s="543"/>
      <c r="K6" s="528" t="s">
        <v>4</v>
      </c>
      <c r="L6" s="528"/>
      <c r="M6" s="528" t="s">
        <v>5</v>
      </c>
      <c r="N6" s="528"/>
      <c r="O6" s="528" t="s">
        <v>6</v>
      </c>
      <c r="P6" s="528"/>
      <c r="Q6" s="528" t="s">
        <v>7</v>
      </c>
      <c r="R6" s="528"/>
      <c r="S6" s="528" t="s">
        <v>8</v>
      </c>
      <c r="T6" s="528"/>
      <c r="U6" s="314"/>
      <c r="V6" s="526"/>
    </row>
    <row r="7" spans="2:22" s="9" customFormat="1" ht="36.75" customHeight="1" thickBot="1" x14ac:dyDescent="0.3">
      <c r="B7" s="546"/>
      <c r="C7" s="406"/>
      <c r="D7" s="406"/>
      <c r="E7" s="406"/>
      <c r="F7" s="406"/>
      <c r="G7" s="406"/>
      <c r="H7" s="406"/>
      <c r="I7" s="315" t="s">
        <v>15</v>
      </c>
      <c r="J7" s="315" t="s">
        <v>16</v>
      </c>
      <c r="K7" s="315" t="s">
        <v>17</v>
      </c>
      <c r="L7" s="316" t="s">
        <v>18</v>
      </c>
      <c r="M7" s="315" t="s">
        <v>19</v>
      </c>
      <c r="N7" s="316" t="s">
        <v>20</v>
      </c>
      <c r="O7" s="315" t="s">
        <v>21</v>
      </c>
      <c r="P7" s="316" t="s">
        <v>22</v>
      </c>
      <c r="Q7" s="315" t="s">
        <v>23</v>
      </c>
      <c r="R7" s="316" t="s">
        <v>24</v>
      </c>
      <c r="S7" s="315" t="s">
        <v>25</v>
      </c>
      <c r="T7" s="316" t="s">
        <v>26</v>
      </c>
      <c r="U7" s="316" t="s">
        <v>27</v>
      </c>
      <c r="V7" s="527"/>
    </row>
    <row r="8" spans="2:22" ht="14.25" customHeight="1" x14ac:dyDescent="0.25">
      <c r="B8" s="505" t="s">
        <v>28</v>
      </c>
      <c r="C8" s="416" t="s">
        <v>587</v>
      </c>
      <c r="D8" s="116" t="s">
        <v>29</v>
      </c>
      <c r="E8" s="318" t="s">
        <v>30</v>
      </c>
      <c r="F8" s="116" t="s">
        <v>31</v>
      </c>
      <c r="G8" s="243" t="s">
        <v>32</v>
      </c>
      <c r="H8" s="244" t="s">
        <v>33</v>
      </c>
      <c r="I8" s="129" t="s">
        <v>34</v>
      </c>
      <c r="J8" s="130">
        <v>1500</v>
      </c>
      <c r="K8" s="130">
        <v>12</v>
      </c>
      <c r="L8" s="131">
        <f t="shared" ref="L8:L23" si="0">+J8*K8</f>
        <v>18000</v>
      </c>
      <c r="M8" s="130">
        <v>3</v>
      </c>
      <c r="N8" s="131">
        <f t="shared" ref="N8:N24" si="1">+$J8*M8</f>
        <v>4500</v>
      </c>
      <c r="O8" s="132"/>
      <c r="P8" s="133">
        <f t="shared" ref="P8:P24" si="2">+$J8*O8</f>
        <v>0</v>
      </c>
      <c r="Q8" s="132"/>
      <c r="R8" s="133">
        <f t="shared" ref="R8:R24" si="3">+$J8*Q8</f>
        <v>0</v>
      </c>
      <c r="S8" s="132"/>
      <c r="T8" s="133">
        <f t="shared" ref="T8:T24" si="4">+$J8*S8</f>
        <v>0</v>
      </c>
      <c r="U8" s="133">
        <f>+L8+N8+P8+R8+T8</f>
        <v>22500</v>
      </c>
      <c r="V8" s="172" t="s">
        <v>35</v>
      </c>
    </row>
    <row r="9" spans="2:22" ht="14.25" customHeight="1" x14ac:dyDescent="0.25">
      <c r="B9" s="506"/>
      <c r="C9" s="417"/>
      <c r="D9" s="66" t="s">
        <v>29</v>
      </c>
      <c r="E9" s="317" t="s">
        <v>30</v>
      </c>
      <c r="F9" s="66" t="s">
        <v>31</v>
      </c>
      <c r="G9" s="93" t="s">
        <v>32</v>
      </c>
      <c r="H9" s="94" t="s">
        <v>568</v>
      </c>
      <c r="I9" s="82" t="s">
        <v>34</v>
      </c>
      <c r="J9" s="78">
        <v>2000</v>
      </c>
      <c r="K9" s="78">
        <v>12</v>
      </c>
      <c r="L9" s="79">
        <f t="shared" si="0"/>
        <v>24000</v>
      </c>
      <c r="M9" s="78">
        <v>3</v>
      </c>
      <c r="N9" s="79">
        <f t="shared" si="1"/>
        <v>6000</v>
      </c>
      <c r="O9" s="80"/>
      <c r="P9" s="81">
        <f t="shared" si="2"/>
        <v>0</v>
      </c>
      <c r="Q9" s="80"/>
      <c r="R9" s="81">
        <f t="shared" si="3"/>
        <v>0</v>
      </c>
      <c r="S9" s="80"/>
      <c r="T9" s="81">
        <f t="shared" si="4"/>
        <v>0</v>
      </c>
      <c r="U9" s="81">
        <f t="shared" ref="U9:U28" si="5">+L9+N9+P9+R9+T9</f>
        <v>30000</v>
      </c>
      <c r="V9" s="106" t="s">
        <v>36</v>
      </c>
    </row>
    <row r="10" spans="2:22" ht="14.25" customHeight="1" x14ac:dyDescent="0.25">
      <c r="B10" s="506"/>
      <c r="C10" s="417"/>
      <c r="D10" s="66" t="s">
        <v>29</v>
      </c>
      <c r="E10" s="317" t="s">
        <v>30</v>
      </c>
      <c r="F10" s="66" t="s">
        <v>31</v>
      </c>
      <c r="G10" s="93" t="s">
        <v>32</v>
      </c>
      <c r="H10" s="94" t="s">
        <v>636</v>
      </c>
      <c r="I10" s="82" t="s">
        <v>34</v>
      </c>
      <c r="J10" s="78">
        <v>2100</v>
      </c>
      <c r="K10" s="78">
        <v>12</v>
      </c>
      <c r="L10" s="79">
        <f t="shared" si="0"/>
        <v>25200</v>
      </c>
      <c r="M10" s="78">
        <v>12</v>
      </c>
      <c r="N10" s="79">
        <f t="shared" si="1"/>
        <v>25200</v>
      </c>
      <c r="O10" s="80">
        <v>12</v>
      </c>
      <c r="P10" s="81">
        <f t="shared" si="2"/>
        <v>25200</v>
      </c>
      <c r="Q10" s="80">
        <v>12</v>
      </c>
      <c r="R10" s="81">
        <f t="shared" si="3"/>
        <v>25200</v>
      </c>
      <c r="S10" s="80">
        <v>12</v>
      </c>
      <c r="T10" s="81">
        <f t="shared" si="4"/>
        <v>25200</v>
      </c>
      <c r="U10" s="81">
        <f t="shared" si="5"/>
        <v>126000</v>
      </c>
      <c r="V10" s="106" t="s">
        <v>37</v>
      </c>
    </row>
    <row r="11" spans="2:22" ht="14.25" customHeight="1" x14ac:dyDescent="0.25">
      <c r="B11" s="506"/>
      <c r="C11" s="417"/>
      <c r="D11" s="66" t="s">
        <v>29</v>
      </c>
      <c r="E11" s="317" t="s">
        <v>30</v>
      </c>
      <c r="F11" s="66" t="s">
        <v>31</v>
      </c>
      <c r="G11" s="93" t="s">
        <v>32</v>
      </c>
      <c r="H11" s="94" t="s">
        <v>635</v>
      </c>
      <c r="I11" s="82" t="s">
        <v>34</v>
      </c>
      <c r="J11" s="78">
        <v>2100</v>
      </c>
      <c r="K11" s="78">
        <v>3</v>
      </c>
      <c r="L11" s="79">
        <f t="shared" si="0"/>
        <v>6300</v>
      </c>
      <c r="M11" s="78">
        <v>3</v>
      </c>
      <c r="N11" s="79">
        <f t="shared" si="1"/>
        <v>6300</v>
      </c>
      <c r="O11" s="80">
        <v>3</v>
      </c>
      <c r="P11" s="81">
        <f t="shared" si="2"/>
        <v>6300</v>
      </c>
      <c r="Q11" s="80">
        <v>3</v>
      </c>
      <c r="R11" s="81">
        <f t="shared" si="3"/>
        <v>6300</v>
      </c>
      <c r="S11" s="80">
        <v>3</v>
      </c>
      <c r="T11" s="81">
        <f t="shared" si="4"/>
        <v>6300</v>
      </c>
      <c r="U11" s="81">
        <f t="shared" si="5"/>
        <v>31500</v>
      </c>
      <c r="V11" s="104" t="s">
        <v>38</v>
      </c>
    </row>
    <row r="12" spans="2:22" ht="14.25" customHeight="1" x14ac:dyDescent="0.25">
      <c r="B12" s="506"/>
      <c r="C12" s="417"/>
      <c r="D12" s="66" t="s">
        <v>29</v>
      </c>
      <c r="E12" s="317" t="s">
        <v>30</v>
      </c>
      <c r="F12" s="66" t="s">
        <v>31</v>
      </c>
      <c r="G12" s="93" t="s">
        <v>32</v>
      </c>
      <c r="H12" s="94" t="s">
        <v>454</v>
      </c>
      <c r="I12" s="82" t="s">
        <v>34</v>
      </c>
      <c r="J12" s="78">
        <v>1500</v>
      </c>
      <c r="K12" s="78">
        <v>5</v>
      </c>
      <c r="L12" s="79">
        <f t="shared" ref="L12" si="6">+J12*K12</f>
        <v>7500</v>
      </c>
      <c r="M12" s="78">
        <v>12</v>
      </c>
      <c r="N12" s="79">
        <f t="shared" ref="N12" si="7">+$J12*M12</f>
        <v>18000</v>
      </c>
      <c r="O12" s="80">
        <v>3</v>
      </c>
      <c r="P12" s="81">
        <f t="shared" ref="P12" si="8">+$J12*O12</f>
        <v>4500</v>
      </c>
      <c r="Q12" s="80">
        <v>0</v>
      </c>
      <c r="R12" s="81">
        <f t="shared" ref="R12" si="9">+$J12*Q12</f>
        <v>0</v>
      </c>
      <c r="S12" s="80">
        <v>0</v>
      </c>
      <c r="T12" s="81">
        <f t="shared" ref="T12" si="10">+$J12*S12</f>
        <v>0</v>
      </c>
      <c r="U12" s="81">
        <f t="shared" ref="U12" si="11">+L12+N12+P12+R12+T12</f>
        <v>30000</v>
      </c>
      <c r="V12" s="106" t="s">
        <v>554</v>
      </c>
    </row>
    <row r="13" spans="2:22" ht="14.25" customHeight="1" x14ac:dyDescent="0.25">
      <c r="B13" s="506"/>
      <c r="C13" s="417"/>
      <c r="D13" s="66" t="s">
        <v>29</v>
      </c>
      <c r="E13" s="317" t="s">
        <v>30</v>
      </c>
      <c r="F13" s="66" t="s">
        <v>31</v>
      </c>
      <c r="G13" s="93" t="s">
        <v>32</v>
      </c>
      <c r="H13" s="94" t="s">
        <v>39</v>
      </c>
      <c r="I13" s="82" t="s">
        <v>34</v>
      </c>
      <c r="J13" s="78">
        <v>1500</v>
      </c>
      <c r="K13" s="78">
        <v>18</v>
      </c>
      <c r="L13" s="79">
        <f>+J13*K13</f>
        <v>27000</v>
      </c>
      <c r="M13" s="78">
        <v>20</v>
      </c>
      <c r="N13" s="79">
        <f t="shared" si="1"/>
        <v>30000</v>
      </c>
      <c r="O13" s="80">
        <v>20</v>
      </c>
      <c r="P13" s="81">
        <f t="shared" si="2"/>
        <v>30000</v>
      </c>
      <c r="Q13" s="80">
        <v>20</v>
      </c>
      <c r="R13" s="81">
        <f t="shared" si="3"/>
        <v>30000</v>
      </c>
      <c r="S13" s="80">
        <v>18</v>
      </c>
      <c r="T13" s="81">
        <f t="shared" si="4"/>
        <v>27000</v>
      </c>
      <c r="U13" s="81">
        <f t="shared" si="5"/>
        <v>144000</v>
      </c>
      <c r="V13" s="106" t="s">
        <v>40</v>
      </c>
    </row>
    <row r="14" spans="2:22" ht="14.25" customHeight="1" x14ac:dyDescent="0.25">
      <c r="B14" s="506"/>
      <c r="C14" s="417"/>
      <c r="D14" s="66" t="s">
        <v>29</v>
      </c>
      <c r="E14" s="317" t="s">
        <v>30</v>
      </c>
      <c r="F14" s="66" t="s">
        <v>31</v>
      </c>
      <c r="G14" s="93" t="s">
        <v>41</v>
      </c>
      <c r="H14" s="94" t="s">
        <v>42</v>
      </c>
      <c r="I14" s="82" t="s">
        <v>43</v>
      </c>
      <c r="J14" s="78">
        <v>50</v>
      </c>
      <c r="K14" s="78"/>
      <c r="L14" s="79">
        <f t="shared" si="0"/>
        <v>0</v>
      </c>
      <c r="M14" s="78">
        <v>200</v>
      </c>
      <c r="N14" s="79">
        <f>+$J14*M14</f>
        <v>10000</v>
      </c>
      <c r="O14" s="80">
        <v>200</v>
      </c>
      <c r="P14" s="81">
        <f t="shared" si="2"/>
        <v>10000</v>
      </c>
      <c r="Q14" s="80">
        <v>200</v>
      </c>
      <c r="R14" s="81">
        <f t="shared" si="3"/>
        <v>10000</v>
      </c>
      <c r="S14" s="80">
        <v>50</v>
      </c>
      <c r="T14" s="81">
        <f t="shared" si="4"/>
        <v>2500</v>
      </c>
      <c r="U14" s="81">
        <f t="shared" si="5"/>
        <v>32500</v>
      </c>
      <c r="V14" s="106" t="s">
        <v>44</v>
      </c>
    </row>
    <row r="15" spans="2:22" ht="26.25" customHeight="1" x14ac:dyDescent="0.25">
      <c r="B15" s="506"/>
      <c r="C15" s="417"/>
      <c r="D15" s="66" t="s">
        <v>29</v>
      </c>
      <c r="E15" s="317" t="s">
        <v>30</v>
      </c>
      <c r="F15" s="66" t="s">
        <v>31</v>
      </c>
      <c r="G15" s="93" t="s">
        <v>45</v>
      </c>
      <c r="H15" s="94" t="s">
        <v>46</v>
      </c>
      <c r="I15" s="82" t="s">
        <v>47</v>
      </c>
      <c r="J15" s="78">
        <v>4000</v>
      </c>
      <c r="K15" s="78">
        <v>4</v>
      </c>
      <c r="L15" s="79">
        <f t="shared" si="0"/>
        <v>16000</v>
      </c>
      <c r="M15" s="78">
        <v>8</v>
      </c>
      <c r="N15" s="79">
        <f t="shared" si="1"/>
        <v>32000</v>
      </c>
      <c r="O15" s="80">
        <v>8</v>
      </c>
      <c r="P15" s="81">
        <f t="shared" si="2"/>
        <v>32000</v>
      </c>
      <c r="Q15" s="80">
        <v>10</v>
      </c>
      <c r="R15" s="81">
        <f t="shared" si="3"/>
        <v>40000</v>
      </c>
      <c r="S15" s="80">
        <v>8</v>
      </c>
      <c r="T15" s="81">
        <f t="shared" si="4"/>
        <v>32000</v>
      </c>
      <c r="U15" s="81">
        <f t="shared" si="5"/>
        <v>152000</v>
      </c>
      <c r="V15" s="106" t="s">
        <v>48</v>
      </c>
    </row>
    <row r="16" spans="2:22" ht="18.75" customHeight="1" x14ac:dyDescent="0.25">
      <c r="B16" s="506"/>
      <c r="C16" s="417"/>
      <c r="D16" s="66" t="s">
        <v>29</v>
      </c>
      <c r="E16" s="317" t="s">
        <v>30</v>
      </c>
      <c r="F16" s="66" t="s">
        <v>31</v>
      </c>
      <c r="G16" s="93" t="s">
        <v>49</v>
      </c>
      <c r="H16" s="94" t="s">
        <v>50</v>
      </c>
      <c r="I16" s="82" t="s">
        <v>51</v>
      </c>
      <c r="J16" s="78">
        <v>1200</v>
      </c>
      <c r="K16" s="78">
        <v>300</v>
      </c>
      <c r="L16" s="79">
        <f t="shared" si="0"/>
        <v>360000</v>
      </c>
      <c r="M16" s="78">
        <v>450</v>
      </c>
      <c r="N16" s="79">
        <f t="shared" si="1"/>
        <v>540000</v>
      </c>
      <c r="O16" s="80">
        <v>450</v>
      </c>
      <c r="P16" s="81">
        <f t="shared" si="2"/>
        <v>540000</v>
      </c>
      <c r="Q16" s="80"/>
      <c r="R16" s="81">
        <f t="shared" si="3"/>
        <v>0</v>
      </c>
      <c r="S16" s="80"/>
      <c r="T16" s="81">
        <f t="shared" si="4"/>
        <v>0</v>
      </c>
      <c r="U16" s="81">
        <f t="shared" si="5"/>
        <v>1440000</v>
      </c>
      <c r="V16" s="106" t="s">
        <v>52</v>
      </c>
    </row>
    <row r="17" spans="2:22" ht="14.25" customHeight="1" x14ac:dyDescent="0.25">
      <c r="B17" s="506"/>
      <c r="C17" s="417"/>
      <c r="D17" s="66" t="s">
        <v>29</v>
      </c>
      <c r="E17" s="317" t="s">
        <v>30</v>
      </c>
      <c r="F17" s="66" t="s">
        <v>31</v>
      </c>
      <c r="G17" s="93" t="s">
        <v>53</v>
      </c>
      <c r="H17" s="94" t="s">
        <v>455</v>
      </c>
      <c r="I17" s="82" t="s">
        <v>457</v>
      </c>
      <c r="J17" s="78">
        <v>543</v>
      </c>
      <c r="K17" s="78">
        <v>1300</v>
      </c>
      <c r="L17" s="79">
        <f t="shared" ref="L17:L18" si="12">+J17*K17</f>
        <v>705900</v>
      </c>
      <c r="M17" s="78">
        <v>1300</v>
      </c>
      <c r="N17" s="79">
        <f t="shared" ref="N17:N18" si="13">+$J17*M17</f>
        <v>705900</v>
      </c>
      <c r="O17" s="80">
        <v>1300</v>
      </c>
      <c r="P17" s="81">
        <f t="shared" ref="P17:P18" si="14">+$J17*O17</f>
        <v>705900</v>
      </c>
      <c r="Q17" s="80">
        <v>1300</v>
      </c>
      <c r="R17" s="81">
        <f t="shared" ref="R17:R18" si="15">+$J17*Q17</f>
        <v>705900</v>
      </c>
      <c r="S17" s="80">
        <v>0</v>
      </c>
      <c r="T17" s="81">
        <f t="shared" ref="T17:T18" si="16">+$J17*S17</f>
        <v>0</v>
      </c>
      <c r="U17" s="81">
        <f t="shared" ref="U17:U18" si="17">+L17+N17+P17+R17+T17</f>
        <v>2823600</v>
      </c>
      <c r="V17" s="106" t="s">
        <v>555</v>
      </c>
    </row>
    <row r="18" spans="2:22" ht="14.25" customHeight="1" x14ac:dyDescent="0.25">
      <c r="B18" s="506"/>
      <c r="C18" s="417"/>
      <c r="D18" s="66" t="s">
        <v>29</v>
      </c>
      <c r="E18" s="317" t="s">
        <v>30</v>
      </c>
      <c r="F18" s="66" t="s">
        <v>31</v>
      </c>
      <c r="G18" s="93" t="s">
        <v>49</v>
      </c>
      <c r="H18" s="94" t="s">
        <v>456</v>
      </c>
      <c r="I18" s="82" t="s">
        <v>51</v>
      </c>
      <c r="J18" s="78">
        <v>3000</v>
      </c>
      <c r="K18" s="78">
        <v>0</v>
      </c>
      <c r="L18" s="79">
        <f t="shared" si="12"/>
        <v>0</v>
      </c>
      <c r="M18" s="78">
        <v>300</v>
      </c>
      <c r="N18" s="79">
        <f t="shared" si="13"/>
        <v>900000</v>
      </c>
      <c r="O18" s="80">
        <v>300</v>
      </c>
      <c r="P18" s="81">
        <f t="shared" si="14"/>
        <v>900000</v>
      </c>
      <c r="Q18" s="80">
        <v>0</v>
      </c>
      <c r="R18" s="81">
        <f t="shared" si="15"/>
        <v>0</v>
      </c>
      <c r="S18" s="80"/>
      <c r="T18" s="81">
        <f t="shared" si="16"/>
        <v>0</v>
      </c>
      <c r="U18" s="81">
        <f t="shared" si="17"/>
        <v>1800000</v>
      </c>
      <c r="V18" s="106" t="s">
        <v>556</v>
      </c>
    </row>
    <row r="19" spans="2:22" ht="14.25" customHeight="1" x14ac:dyDescent="0.25">
      <c r="B19" s="506"/>
      <c r="C19" s="417"/>
      <c r="D19" s="66" t="s">
        <v>29</v>
      </c>
      <c r="E19" s="317" t="s">
        <v>30</v>
      </c>
      <c r="F19" s="66" t="s">
        <v>31</v>
      </c>
      <c r="G19" s="93" t="s">
        <v>53</v>
      </c>
      <c r="H19" s="94" t="s">
        <v>551</v>
      </c>
      <c r="I19" s="82" t="s">
        <v>54</v>
      </c>
      <c r="J19" s="78">
        <v>360</v>
      </c>
      <c r="K19" s="78">
        <v>0</v>
      </c>
      <c r="L19" s="79">
        <f t="shared" si="0"/>
        <v>0</v>
      </c>
      <c r="M19" s="78">
        <v>500</v>
      </c>
      <c r="N19" s="79">
        <f t="shared" si="1"/>
        <v>180000</v>
      </c>
      <c r="O19" s="80">
        <v>500</v>
      </c>
      <c r="P19" s="81">
        <f t="shared" si="2"/>
        <v>180000</v>
      </c>
      <c r="Q19" s="80">
        <v>0</v>
      </c>
      <c r="R19" s="81">
        <f t="shared" si="3"/>
        <v>0</v>
      </c>
      <c r="S19" s="80">
        <v>0</v>
      </c>
      <c r="T19" s="81">
        <f t="shared" si="4"/>
        <v>0</v>
      </c>
      <c r="U19" s="81">
        <f t="shared" si="5"/>
        <v>360000</v>
      </c>
      <c r="V19" s="106" t="s">
        <v>55</v>
      </c>
    </row>
    <row r="20" spans="2:22" ht="14.25" customHeight="1" x14ac:dyDescent="0.25">
      <c r="B20" s="506"/>
      <c r="C20" s="417"/>
      <c r="D20" s="66" t="s">
        <v>29</v>
      </c>
      <c r="E20" s="317" t="s">
        <v>30</v>
      </c>
      <c r="F20" s="66" t="s">
        <v>31</v>
      </c>
      <c r="G20" s="93" t="s">
        <v>53</v>
      </c>
      <c r="H20" s="94" t="s">
        <v>56</v>
      </c>
      <c r="I20" s="82" t="s">
        <v>57</v>
      </c>
      <c r="J20" s="78">
        <v>900</v>
      </c>
      <c r="K20" s="78">
        <v>4</v>
      </c>
      <c r="L20" s="79">
        <f t="shared" si="0"/>
        <v>3600</v>
      </c>
      <c r="M20" s="78"/>
      <c r="N20" s="79">
        <f t="shared" si="1"/>
        <v>0</v>
      </c>
      <c r="O20" s="80"/>
      <c r="P20" s="81">
        <f t="shared" si="2"/>
        <v>0</v>
      </c>
      <c r="Q20" s="80"/>
      <c r="R20" s="81">
        <f t="shared" si="3"/>
        <v>0</v>
      </c>
      <c r="S20" s="80"/>
      <c r="T20" s="81">
        <f t="shared" si="4"/>
        <v>0</v>
      </c>
      <c r="U20" s="81">
        <f t="shared" si="5"/>
        <v>3600</v>
      </c>
      <c r="V20" s="104" t="s">
        <v>58</v>
      </c>
    </row>
    <row r="21" spans="2:22" ht="14.25" customHeight="1" x14ac:dyDescent="0.25">
      <c r="B21" s="506"/>
      <c r="C21" s="417"/>
      <c r="D21" s="66" t="s">
        <v>29</v>
      </c>
      <c r="E21" s="317" t="s">
        <v>30</v>
      </c>
      <c r="F21" s="66" t="s">
        <v>31</v>
      </c>
      <c r="G21" s="93" t="s">
        <v>53</v>
      </c>
      <c r="H21" s="94" t="s">
        <v>569</v>
      </c>
      <c r="I21" s="82" t="s">
        <v>57</v>
      </c>
      <c r="J21" s="78">
        <v>33000</v>
      </c>
      <c r="K21" s="78">
        <v>5</v>
      </c>
      <c r="L21" s="79">
        <f t="shared" si="0"/>
        <v>165000</v>
      </c>
      <c r="M21" s="78"/>
      <c r="N21" s="79">
        <f t="shared" si="1"/>
        <v>0</v>
      </c>
      <c r="O21" s="80"/>
      <c r="P21" s="81">
        <f t="shared" si="2"/>
        <v>0</v>
      </c>
      <c r="Q21" s="80"/>
      <c r="R21" s="81">
        <f t="shared" si="3"/>
        <v>0</v>
      </c>
      <c r="S21" s="80"/>
      <c r="T21" s="81">
        <f t="shared" si="4"/>
        <v>0</v>
      </c>
      <c r="U21" s="81">
        <f t="shared" si="5"/>
        <v>165000</v>
      </c>
      <c r="V21" s="104" t="s">
        <v>59</v>
      </c>
    </row>
    <row r="22" spans="2:22" ht="14.25" customHeight="1" x14ac:dyDescent="0.25">
      <c r="B22" s="506"/>
      <c r="C22" s="417"/>
      <c r="D22" s="66" t="s">
        <v>29</v>
      </c>
      <c r="E22" s="317" t="s">
        <v>30</v>
      </c>
      <c r="F22" s="66" t="s">
        <v>31</v>
      </c>
      <c r="G22" s="93" t="s">
        <v>53</v>
      </c>
      <c r="H22" s="94" t="s">
        <v>570</v>
      </c>
      <c r="I22" s="82" t="s">
        <v>57</v>
      </c>
      <c r="J22" s="78">
        <v>5500</v>
      </c>
      <c r="K22" s="78">
        <v>5</v>
      </c>
      <c r="L22" s="79">
        <f t="shared" si="0"/>
        <v>27500</v>
      </c>
      <c r="M22" s="78"/>
      <c r="N22" s="79">
        <f t="shared" si="1"/>
        <v>0</v>
      </c>
      <c r="O22" s="80"/>
      <c r="P22" s="81">
        <f t="shared" si="2"/>
        <v>0</v>
      </c>
      <c r="Q22" s="80"/>
      <c r="R22" s="81">
        <f t="shared" si="3"/>
        <v>0</v>
      </c>
      <c r="S22" s="80"/>
      <c r="T22" s="81">
        <f t="shared" si="4"/>
        <v>0</v>
      </c>
      <c r="U22" s="81">
        <f t="shared" si="5"/>
        <v>27500</v>
      </c>
      <c r="V22" s="104" t="s">
        <v>60</v>
      </c>
    </row>
    <row r="23" spans="2:22" ht="14.25" customHeight="1" x14ac:dyDescent="0.25">
      <c r="B23" s="506"/>
      <c r="C23" s="417"/>
      <c r="D23" s="66" t="s">
        <v>29</v>
      </c>
      <c r="E23" s="317" t="s">
        <v>30</v>
      </c>
      <c r="F23" s="66" t="s">
        <v>31</v>
      </c>
      <c r="G23" s="93" t="s">
        <v>53</v>
      </c>
      <c r="H23" s="94" t="s">
        <v>61</v>
      </c>
      <c r="I23" s="82" t="s">
        <v>34</v>
      </c>
      <c r="J23" s="78">
        <v>2100</v>
      </c>
      <c r="K23" s="78">
        <v>5</v>
      </c>
      <c r="L23" s="79">
        <f t="shared" si="0"/>
        <v>10500</v>
      </c>
      <c r="M23" s="78">
        <v>3</v>
      </c>
      <c r="N23" s="79">
        <f t="shared" si="1"/>
        <v>6300</v>
      </c>
      <c r="O23" s="80">
        <v>3</v>
      </c>
      <c r="P23" s="81">
        <f t="shared" si="2"/>
        <v>6300</v>
      </c>
      <c r="Q23" s="80">
        <v>2</v>
      </c>
      <c r="R23" s="81">
        <f t="shared" si="3"/>
        <v>4200</v>
      </c>
      <c r="S23" s="80">
        <v>2</v>
      </c>
      <c r="T23" s="81">
        <f t="shared" si="4"/>
        <v>4200</v>
      </c>
      <c r="U23" s="81">
        <f t="shared" si="5"/>
        <v>31500</v>
      </c>
      <c r="V23" s="104" t="s">
        <v>62</v>
      </c>
    </row>
    <row r="24" spans="2:22" ht="14.25" customHeight="1" x14ac:dyDescent="0.25">
      <c r="B24" s="506"/>
      <c r="C24" s="417"/>
      <c r="D24" s="66" t="s">
        <v>29</v>
      </c>
      <c r="E24" s="317" t="s">
        <v>30</v>
      </c>
      <c r="F24" s="66" t="s">
        <v>31</v>
      </c>
      <c r="G24" s="93" t="s">
        <v>53</v>
      </c>
      <c r="H24" s="94" t="s">
        <v>63</v>
      </c>
      <c r="I24" s="82" t="s">
        <v>34</v>
      </c>
      <c r="J24" s="78">
        <v>668</v>
      </c>
      <c r="K24" s="78">
        <v>5</v>
      </c>
      <c r="L24" s="79">
        <f>+J24*K24</f>
        <v>3340</v>
      </c>
      <c r="M24" s="78">
        <v>5</v>
      </c>
      <c r="N24" s="79">
        <f t="shared" si="1"/>
        <v>3340</v>
      </c>
      <c r="O24" s="80">
        <v>3</v>
      </c>
      <c r="P24" s="81">
        <f t="shared" si="2"/>
        <v>2004</v>
      </c>
      <c r="Q24" s="80">
        <v>3</v>
      </c>
      <c r="R24" s="81">
        <f t="shared" si="3"/>
        <v>2004</v>
      </c>
      <c r="S24" s="80">
        <v>2</v>
      </c>
      <c r="T24" s="81">
        <f t="shared" si="4"/>
        <v>1336</v>
      </c>
      <c r="U24" s="81">
        <f t="shared" si="5"/>
        <v>12024</v>
      </c>
      <c r="V24" s="106" t="s">
        <v>64</v>
      </c>
    </row>
    <row r="25" spans="2:22" ht="18" customHeight="1" thickBot="1" x14ac:dyDescent="0.3">
      <c r="B25" s="533" t="s">
        <v>65</v>
      </c>
      <c r="C25" s="534"/>
      <c r="D25" s="534"/>
      <c r="E25" s="534"/>
      <c r="F25" s="534"/>
      <c r="G25" s="534"/>
      <c r="H25" s="534"/>
      <c r="I25" s="324"/>
      <c r="J25" s="325"/>
      <c r="K25" s="325"/>
      <c r="L25" s="326">
        <f>+SUM(L8:L24)</f>
        <v>1399840</v>
      </c>
      <c r="M25" s="325"/>
      <c r="N25" s="326">
        <f>+SUM(N8:N24)</f>
        <v>2467540</v>
      </c>
      <c r="O25" s="327"/>
      <c r="P25" s="328">
        <f>+SUM(P8:P24)</f>
        <v>2442204</v>
      </c>
      <c r="Q25" s="327"/>
      <c r="R25" s="328">
        <f>+SUM(R8:R24)</f>
        <v>823604</v>
      </c>
      <c r="S25" s="327"/>
      <c r="T25" s="328">
        <f>+SUM(T8:T24)</f>
        <v>98536</v>
      </c>
      <c r="U25" s="328">
        <f>+SUM(U8:U24)</f>
        <v>7231724</v>
      </c>
      <c r="V25" s="329"/>
    </row>
    <row r="26" spans="2:22" ht="17.25" customHeight="1" x14ac:dyDescent="0.25">
      <c r="B26" s="505" t="s">
        <v>28</v>
      </c>
      <c r="C26" s="416" t="s">
        <v>587</v>
      </c>
      <c r="D26" s="116" t="s">
        <v>29</v>
      </c>
      <c r="E26" s="318" t="s">
        <v>66</v>
      </c>
      <c r="F26" s="116" t="s">
        <v>31</v>
      </c>
      <c r="G26" s="243" t="s">
        <v>32</v>
      </c>
      <c r="H26" s="244" t="s">
        <v>98</v>
      </c>
      <c r="I26" s="129" t="s">
        <v>34</v>
      </c>
      <c r="J26" s="130">
        <v>1500</v>
      </c>
      <c r="K26" s="130">
        <v>6</v>
      </c>
      <c r="L26" s="131">
        <f t="shared" ref="L26:L39" si="18">+J26*K26</f>
        <v>9000</v>
      </c>
      <c r="M26" s="130">
        <v>12</v>
      </c>
      <c r="N26" s="131">
        <f t="shared" ref="N26:N59" si="19">+$J26*M26</f>
        <v>18000</v>
      </c>
      <c r="O26" s="132">
        <v>12</v>
      </c>
      <c r="P26" s="133">
        <f t="shared" ref="P26:P59" si="20">+$J26*O26</f>
        <v>18000</v>
      </c>
      <c r="Q26" s="132">
        <v>12</v>
      </c>
      <c r="R26" s="133">
        <f t="shared" ref="R26:T48" si="21">+$J26*Q26</f>
        <v>18000</v>
      </c>
      <c r="S26" s="132">
        <v>6</v>
      </c>
      <c r="T26" s="133">
        <f t="shared" ref="T26:T41" si="22">+$J26*S26</f>
        <v>9000</v>
      </c>
      <c r="U26" s="133">
        <f t="shared" si="5"/>
        <v>72000</v>
      </c>
      <c r="V26" s="335" t="s">
        <v>67</v>
      </c>
    </row>
    <row r="27" spans="2:22" ht="17.25" customHeight="1" x14ac:dyDescent="0.25">
      <c r="B27" s="506"/>
      <c r="C27" s="518"/>
      <c r="D27" s="66" t="s">
        <v>29</v>
      </c>
      <c r="E27" s="317" t="s">
        <v>66</v>
      </c>
      <c r="F27" s="66" t="s">
        <v>31</v>
      </c>
      <c r="G27" s="93" t="s">
        <v>32</v>
      </c>
      <c r="H27" s="94" t="s">
        <v>568</v>
      </c>
      <c r="I27" s="82" t="s">
        <v>34</v>
      </c>
      <c r="J27" s="78">
        <v>2000</v>
      </c>
      <c r="K27" s="78"/>
      <c r="L27" s="79">
        <f t="shared" si="18"/>
        <v>0</v>
      </c>
      <c r="M27" s="78">
        <v>3</v>
      </c>
      <c r="N27" s="79">
        <f t="shared" si="19"/>
        <v>6000</v>
      </c>
      <c r="O27" s="80">
        <v>4</v>
      </c>
      <c r="P27" s="81">
        <f t="shared" si="20"/>
        <v>8000</v>
      </c>
      <c r="Q27" s="80">
        <v>4</v>
      </c>
      <c r="R27" s="81">
        <f t="shared" si="21"/>
        <v>8000</v>
      </c>
      <c r="S27" s="80">
        <v>4</v>
      </c>
      <c r="T27" s="81">
        <v>6000</v>
      </c>
      <c r="U27" s="81">
        <f t="shared" si="5"/>
        <v>28000</v>
      </c>
      <c r="V27" s="106" t="s">
        <v>68</v>
      </c>
    </row>
    <row r="28" spans="2:22" ht="17.25" customHeight="1" x14ac:dyDescent="0.25">
      <c r="B28" s="506"/>
      <c r="C28" s="518"/>
      <c r="D28" s="66" t="s">
        <v>29</v>
      </c>
      <c r="E28" s="317" t="s">
        <v>66</v>
      </c>
      <c r="F28" s="66" t="s">
        <v>31</v>
      </c>
      <c r="G28" s="93" t="s">
        <v>32</v>
      </c>
      <c r="H28" s="94" t="s">
        <v>637</v>
      </c>
      <c r="I28" s="82" t="s">
        <v>34</v>
      </c>
      <c r="J28" s="78">
        <v>1800</v>
      </c>
      <c r="K28" s="78">
        <v>6</v>
      </c>
      <c r="L28" s="79">
        <f t="shared" si="18"/>
        <v>10800</v>
      </c>
      <c r="M28" s="78">
        <v>12</v>
      </c>
      <c r="N28" s="79">
        <f t="shared" si="19"/>
        <v>21600</v>
      </c>
      <c r="O28" s="80">
        <v>12</v>
      </c>
      <c r="P28" s="81">
        <f t="shared" si="20"/>
        <v>21600</v>
      </c>
      <c r="Q28" s="80">
        <v>12</v>
      </c>
      <c r="R28" s="81">
        <f t="shared" si="21"/>
        <v>21600</v>
      </c>
      <c r="S28" s="80">
        <v>6</v>
      </c>
      <c r="T28" s="81">
        <f t="shared" si="22"/>
        <v>10800</v>
      </c>
      <c r="U28" s="81">
        <f t="shared" si="5"/>
        <v>86400</v>
      </c>
      <c r="V28" s="106" t="s">
        <v>69</v>
      </c>
    </row>
    <row r="29" spans="2:22" ht="17.25" customHeight="1" x14ac:dyDescent="0.25">
      <c r="B29" s="506"/>
      <c r="C29" s="518"/>
      <c r="D29" s="66" t="s">
        <v>29</v>
      </c>
      <c r="E29" s="317" t="s">
        <v>66</v>
      </c>
      <c r="F29" s="66" t="s">
        <v>31</v>
      </c>
      <c r="G29" s="93" t="s">
        <v>32</v>
      </c>
      <c r="H29" s="94" t="s">
        <v>635</v>
      </c>
      <c r="I29" s="82" t="s">
        <v>34</v>
      </c>
      <c r="J29" s="78">
        <v>2100</v>
      </c>
      <c r="K29" s="78">
        <v>3</v>
      </c>
      <c r="L29" s="79">
        <f t="shared" si="18"/>
        <v>6300</v>
      </c>
      <c r="M29" s="78">
        <v>3</v>
      </c>
      <c r="N29" s="79">
        <f t="shared" si="19"/>
        <v>6300</v>
      </c>
      <c r="O29" s="80">
        <v>3</v>
      </c>
      <c r="P29" s="81">
        <f t="shared" si="20"/>
        <v>6300</v>
      </c>
      <c r="Q29" s="80">
        <v>3</v>
      </c>
      <c r="R29" s="81">
        <f t="shared" si="21"/>
        <v>6300</v>
      </c>
      <c r="S29" s="80">
        <v>3</v>
      </c>
      <c r="T29" s="81">
        <f t="shared" si="22"/>
        <v>6300</v>
      </c>
      <c r="U29" s="81">
        <f t="shared" ref="U29:U68" si="23">+L29+N29+P29+R29+T29</f>
        <v>31500</v>
      </c>
      <c r="V29" s="104" t="s">
        <v>70</v>
      </c>
    </row>
    <row r="30" spans="2:22" ht="17.25" customHeight="1" x14ac:dyDescent="0.25">
      <c r="B30" s="506"/>
      <c r="C30" s="518"/>
      <c r="D30" s="66" t="s">
        <v>29</v>
      </c>
      <c r="E30" s="317" t="s">
        <v>66</v>
      </c>
      <c r="F30" s="66" t="s">
        <v>31</v>
      </c>
      <c r="G30" s="93" t="s">
        <v>32</v>
      </c>
      <c r="H30" s="94" t="s">
        <v>100</v>
      </c>
      <c r="I30" s="82" t="s">
        <v>34</v>
      </c>
      <c r="J30" s="78">
        <v>1500</v>
      </c>
      <c r="K30" s="78">
        <v>6</v>
      </c>
      <c r="L30" s="79">
        <f t="shared" si="18"/>
        <v>9000</v>
      </c>
      <c r="M30" s="78">
        <v>12</v>
      </c>
      <c r="N30" s="79">
        <f t="shared" si="19"/>
        <v>18000</v>
      </c>
      <c r="O30" s="80">
        <v>12</v>
      </c>
      <c r="P30" s="81">
        <f t="shared" si="20"/>
        <v>18000</v>
      </c>
      <c r="Q30" s="80">
        <v>12</v>
      </c>
      <c r="R30" s="81">
        <f t="shared" si="21"/>
        <v>18000</v>
      </c>
      <c r="S30" s="80">
        <v>6</v>
      </c>
      <c r="T30" s="81">
        <f t="shared" si="22"/>
        <v>9000</v>
      </c>
      <c r="U30" s="81">
        <f t="shared" si="23"/>
        <v>72000</v>
      </c>
      <c r="V30" s="106" t="s">
        <v>71</v>
      </c>
    </row>
    <row r="31" spans="2:22" ht="17.25" customHeight="1" x14ac:dyDescent="0.25">
      <c r="B31" s="506"/>
      <c r="C31" s="518"/>
      <c r="D31" s="66" t="s">
        <v>29</v>
      </c>
      <c r="E31" s="317" t="s">
        <v>66</v>
      </c>
      <c r="F31" s="66" t="s">
        <v>31</v>
      </c>
      <c r="G31" s="93" t="s">
        <v>32</v>
      </c>
      <c r="H31" s="94" t="s">
        <v>72</v>
      </c>
      <c r="I31" s="82" t="s">
        <v>34</v>
      </c>
      <c r="J31" s="78">
        <v>1500</v>
      </c>
      <c r="K31" s="78">
        <v>18</v>
      </c>
      <c r="L31" s="79">
        <f t="shared" si="18"/>
        <v>27000</v>
      </c>
      <c r="M31" s="78">
        <v>20</v>
      </c>
      <c r="N31" s="79">
        <f t="shared" si="19"/>
        <v>30000</v>
      </c>
      <c r="O31" s="80">
        <v>20</v>
      </c>
      <c r="P31" s="81">
        <f t="shared" si="20"/>
        <v>30000</v>
      </c>
      <c r="Q31" s="80">
        <v>20</v>
      </c>
      <c r="R31" s="81">
        <f t="shared" si="21"/>
        <v>30000</v>
      </c>
      <c r="S31" s="80">
        <v>18</v>
      </c>
      <c r="T31" s="81">
        <f t="shared" si="22"/>
        <v>27000</v>
      </c>
      <c r="U31" s="81">
        <f t="shared" si="23"/>
        <v>144000</v>
      </c>
      <c r="V31" s="106" t="s">
        <v>73</v>
      </c>
    </row>
    <row r="32" spans="2:22" ht="17.25" customHeight="1" x14ac:dyDescent="0.25">
      <c r="B32" s="506"/>
      <c r="C32" s="518"/>
      <c r="D32" s="66" t="s">
        <v>29</v>
      </c>
      <c r="E32" s="317" t="s">
        <v>66</v>
      </c>
      <c r="F32" s="66" t="s">
        <v>31</v>
      </c>
      <c r="G32" s="93" t="s">
        <v>74</v>
      </c>
      <c r="H32" s="94" t="s">
        <v>75</v>
      </c>
      <c r="I32" s="82" t="s">
        <v>76</v>
      </c>
      <c r="J32" s="78">
        <v>20000</v>
      </c>
      <c r="K32" s="78">
        <v>1</v>
      </c>
      <c r="L32" s="79">
        <f t="shared" si="18"/>
        <v>20000</v>
      </c>
      <c r="M32" s="78"/>
      <c r="N32" s="79">
        <f t="shared" si="19"/>
        <v>0</v>
      </c>
      <c r="O32" s="80"/>
      <c r="P32" s="81">
        <f t="shared" si="20"/>
        <v>0</v>
      </c>
      <c r="Q32" s="80"/>
      <c r="R32" s="81">
        <f t="shared" si="21"/>
        <v>0</v>
      </c>
      <c r="S32" s="80"/>
      <c r="T32" s="81">
        <f t="shared" si="22"/>
        <v>0</v>
      </c>
      <c r="U32" s="81">
        <f t="shared" si="23"/>
        <v>20000</v>
      </c>
      <c r="V32" s="106" t="s">
        <v>77</v>
      </c>
    </row>
    <row r="33" spans="2:24" ht="17.25" customHeight="1" x14ac:dyDescent="0.25">
      <c r="B33" s="506"/>
      <c r="C33" s="518"/>
      <c r="D33" s="66" t="s">
        <v>29</v>
      </c>
      <c r="E33" s="317" t="s">
        <v>66</v>
      </c>
      <c r="F33" s="66" t="s">
        <v>31</v>
      </c>
      <c r="G33" s="93" t="s">
        <v>74</v>
      </c>
      <c r="H33" s="94" t="s">
        <v>479</v>
      </c>
      <c r="I33" s="82" t="s">
        <v>76</v>
      </c>
      <c r="J33" s="78">
        <v>15000</v>
      </c>
      <c r="K33" s="78">
        <v>1</v>
      </c>
      <c r="L33" s="79">
        <f t="shared" si="18"/>
        <v>15000</v>
      </c>
      <c r="M33" s="78">
        <v>0</v>
      </c>
      <c r="N33" s="79">
        <f t="shared" si="19"/>
        <v>0</v>
      </c>
      <c r="O33" s="80">
        <v>0</v>
      </c>
      <c r="P33" s="81">
        <f t="shared" si="20"/>
        <v>0</v>
      </c>
      <c r="Q33" s="80">
        <v>0</v>
      </c>
      <c r="R33" s="81">
        <f t="shared" si="21"/>
        <v>0</v>
      </c>
      <c r="S33" s="80">
        <v>0</v>
      </c>
      <c r="T33" s="81">
        <f t="shared" si="22"/>
        <v>0</v>
      </c>
      <c r="U33" s="81">
        <f t="shared" si="23"/>
        <v>15000</v>
      </c>
      <c r="V33" s="106" t="s">
        <v>78</v>
      </c>
    </row>
    <row r="34" spans="2:24" ht="17.25" customHeight="1" x14ac:dyDescent="0.25">
      <c r="B34" s="506"/>
      <c r="C34" s="518"/>
      <c r="D34" s="66" t="s">
        <v>29</v>
      </c>
      <c r="E34" s="317" t="s">
        <v>66</v>
      </c>
      <c r="F34" s="66" t="s">
        <v>31</v>
      </c>
      <c r="G34" s="93" t="s">
        <v>74</v>
      </c>
      <c r="H34" s="94" t="s">
        <v>79</v>
      </c>
      <c r="I34" s="82" t="s">
        <v>80</v>
      </c>
      <c r="J34" s="78">
        <v>16</v>
      </c>
      <c r="K34" s="78"/>
      <c r="L34" s="79">
        <f t="shared" si="18"/>
        <v>0</v>
      </c>
      <c r="M34" s="78">
        <v>2000</v>
      </c>
      <c r="N34" s="79">
        <f t="shared" si="19"/>
        <v>32000</v>
      </c>
      <c r="O34" s="80">
        <v>3000</v>
      </c>
      <c r="P34" s="81">
        <f t="shared" si="20"/>
        <v>48000</v>
      </c>
      <c r="Q34" s="80"/>
      <c r="R34" s="81">
        <f t="shared" si="21"/>
        <v>0</v>
      </c>
      <c r="S34" s="80"/>
      <c r="T34" s="81">
        <f t="shared" si="22"/>
        <v>0</v>
      </c>
      <c r="U34" s="81">
        <f t="shared" si="23"/>
        <v>80000</v>
      </c>
      <c r="V34" s="106" t="s">
        <v>81</v>
      </c>
    </row>
    <row r="35" spans="2:24" ht="17.25" customHeight="1" x14ac:dyDescent="0.25">
      <c r="B35" s="506"/>
      <c r="C35" s="518"/>
      <c r="D35" s="66" t="s">
        <v>29</v>
      </c>
      <c r="E35" s="317" t="s">
        <v>66</v>
      </c>
      <c r="F35" s="66" t="s">
        <v>31</v>
      </c>
      <c r="G35" s="93" t="s">
        <v>41</v>
      </c>
      <c r="H35" s="94" t="s">
        <v>82</v>
      </c>
      <c r="I35" s="82" t="s">
        <v>43</v>
      </c>
      <c r="J35" s="78">
        <v>100</v>
      </c>
      <c r="K35" s="78">
        <v>300</v>
      </c>
      <c r="L35" s="79">
        <f>+J35*K35</f>
        <v>30000</v>
      </c>
      <c r="M35" s="78">
        <v>300</v>
      </c>
      <c r="N35" s="79">
        <f t="shared" si="19"/>
        <v>30000</v>
      </c>
      <c r="O35" s="80">
        <v>200</v>
      </c>
      <c r="P35" s="81">
        <f t="shared" si="20"/>
        <v>20000</v>
      </c>
      <c r="Q35" s="80">
        <v>300</v>
      </c>
      <c r="R35" s="81">
        <f t="shared" si="21"/>
        <v>30000</v>
      </c>
      <c r="S35" s="80">
        <v>300</v>
      </c>
      <c r="T35" s="81">
        <f t="shared" si="22"/>
        <v>30000</v>
      </c>
      <c r="U35" s="81">
        <f t="shared" si="23"/>
        <v>140000</v>
      </c>
      <c r="V35" s="106" t="s">
        <v>83</v>
      </c>
    </row>
    <row r="36" spans="2:24" ht="17.25" customHeight="1" x14ac:dyDescent="0.25">
      <c r="B36" s="506"/>
      <c r="C36" s="518"/>
      <c r="D36" s="66" t="s">
        <v>29</v>
      </c>
      <c r="E36" s="317" t="s">
        <v>66</v>
      </c>
      <c r="F36" s="66" t="s">
        <v>31</v>
      </c>
      <c r="G36" s="93" t="s">
        <v>41</v>
      </c>
      <c r="H36" s="94" t="s">
        <v>42</v>
      </c>
      <c r="I36" s="82" t="s">
        <v>43</v>
      </c>
      <c r="J36" s="78">
        <v>50</v>
      </c>
      <c r="K36" s="78">
        <v>100</v>
      </c>
      <c r="L36" s="79">
        <f t="shared" si="18"/>
        <v>5000</v>
      </c>
      <c r="M36" s="78">
        <v>100</v>
      </c>
      <c r="N36" s="79">
        <f t="shared" si="19"/>
        <v>5000</v>
      </c>
      <c r="O36" s="80">
        <v>150</v>
      </c>
      <c r="P36" s="81">
        <f t="shared" si="20"/>
        <v>7500</v>
      </c>
      <c r="Q36" s="80">
        <v>150</v>
      </c>
      <c r="R36" s="81">
        <f t="shared" si="21"/>
        <v>7500</v>
      </c>
      <c r="S36" s="80">
        <v>150</v>
      </c>
      <c r="T36" s="81">
        <f t="shared" si="22"/>
        <v>7500</v>
      </c>
      <c r="U36" s="81">
        <f t="shared" si="23"/>
        <v>32500</v>
      </c>
      <c r="V36" s="106" t="s">
        <v>84</v>
      </c>
    </row>
    <row r="37" spans="2:24" ht="37.5" customHeight="1" x14ac:dyDescent="0.25">
      <c r="B37" s="506"/>
      <c r="C37" s="518"/>
      <c r="D37" s="66" t="s">
        <v>29</v>
      </c>
      <c r="E37" s="317" t="s">
        <v>66</v>
      </c>
      <c r="F37" s="66" t="s">
        <v>31</v>
      </c>
      <c r="G37" s="93" t="s">
        <v>45</v>
      </c>
      <c r="H37" s="94" t="s">
        <v>608</v>
      </c>
      <c r="I37" s="82" t="s">
        <v>47</v>
      </c>
      <c r="J37" s="78">
        <v>2829.1350000000002</v>
      </c>
      <c r="K37" s="78">
        <v>50</v>
      </c>
      <c r="L37" s="79">
        <f t="shared" si="18"/>
        <v>141456.75</v>
      </c>
      <c r="M37" s="78">
        <v>50</v>
      </c>
      <c r="N37" s="79">
        <f t="shared" si="19"/>
        <v>141456.75</v>
      </c>
      <c r="O37" s="80">
        <v>50</v>
      </c>
      <c r="P37" s="81">
        <f t="shared" si="20"/>
        <v>141456.75</v>
      </c>
      <c r="Q37" s="80">
        <v>50</v>
      </c>
      <c r="R37" s="81">
        <f t="shared" si="21"/>
        <v>141456.75</v>
      </c>
      <c r="S37" s="80">
        <v>50</v>
      </c>
      <c r="T37" s="81">
        <f t="shared" si="22"/>
        <v>141456.75</v>
      </c>
      <c r="U37" s="81">
        <f t="shared" si="23"/>
        <v>707283.75</v>
      </c>
      <c r="V37" s="104" t="s">
        <v>86</v>
      </c>
    </row>
    <row r="38" spans="2:24" ht="17.25" customHeight="1" x14ac:dyDescent="0.25">
      <c r="B38" s="506"/>
      <c r="C38" s="518"/>
      <c r="D38" s="66" t="s">
        <v>29</v>
      </c>
      <c r="E38" s="317" t="s">
        <v>66</v>
      </c>
      <c r="F38" s="66" t="s">
        <v>31</v>
      </c>
      <c r="G38" s="93" t="s">
        <v>53</v>
      </c>
      <c r="H38" s="94" t="s">
        <v>476</v>
      </c>
      <c r="I38" s="82" t="s">
        <v>87</v>
      </c>
      <c r="J38" s="78">
        <v>521</v>
      </c>
      <c r="K38" s="78">
        <v>1000</v>
      </c>
      <c r="L38" s="79">
        <f t="shared" si="18"/>
        <v>521000</v>
      </c>
      <c r="M38" s="78">
        <v>2500</v>
      </c>
      <c r="N38" s="79">
        <f t="shared" si="19"/>
        <v>1302500</v>
      </c>
      <c r="O38" s="80">
        <v>1500</v>
      </c>
      <c r="P38" s="81">
        <f t="shared" si="20"/>
        <v>781500</v>
      </c>
      <c r="Q38" s="80">
        <v>0</v>
      </c>
      <c r="R38" s="81">
        <f t="shared" si="21"/>
        <v>0</v>
      </c>
      <c r="S38" s="80">
        <v>0</v>
      </c>
      <c r="T38" s="81">
        <f t="shared" si="22"/>
        <v>0</v>
      </c>
      <c r="U38" s="81">
        <f t="shared" si="23"/>
        <v>2605000</v>
      </c>
      <c r="V38" s="104" t="s">
        <v>88</v>
      </c>
    </row>
    <row r="39" spans="2:24" ht="17.25" customHeight="1" x14ac:dyDescent="0.25">
      <c r="B39" s="506"/>
      <c r="C39" s="518"/>
      <c r="D39" s="66" t="s">
        <v>29</v>
      </c>
      <c r="E39" s="317" t="s">
        <v>66</v>
      </c>
      <c r="F39" s="66" t="s">
        <v>31</v>
      </c>
      <c r="G39" s="93" t="s">
        <v>53</v>
      </c>
      <c r="H39" s="94" t="s">
        <v>56</v>
      </c>
      <c r="I39" s="82" t="s">
        <v>57</v>
      </c>
      <c r="J39" s="78">
        <v>900</v>
      </c>
      <c r="K39" s="78">
        <v>4</v>
      </c>
      <c r="L39" s="79">
        <f t="shared" si="18"/>
        <v>3600</v>
      </c>
      <c r="M39" s="78"/>
      <c r="N39" s="79">
        <f t="shared" si="19"/>
        <v>0</v>
      </c>
      <c r="O39" s="80"/>
      <c r="P39" s="81">
        <f t="shared" si="20"/>
        <v>0</v>
      </c>
      <c r="Q39" s="80"/>
      <c r="R39" s="81">
        <f t="shared" si="21"/>
        <v>0</v>
      </c>
      <c r="S39" s="80"/>
      <c r="T39" s="81">
        <f t="shared" si="22"/>
        <v>0</v>
      </c>
      <c r="U39" s="81">
        <f t="shared" si="23"/>
        <v>3600</v>
      </c>
      <c r="V39" s="104" t="s">
        <v>89</v>
      </c>
    </row>
    <row r="40" spans="2:24" ht="17.25" customHeight="1" x14ac:dyDescent="0.25">
      <c r="B40" s="506"/>
      <c r="C40" s="518"/>
      <c r="D40" s="66" t="s">
        <v>29</v>
      </c>
      <c r="E40" s="317" t="s">
        <v>66</v>
      </c>
      <c r="F40" s="66" t="s">
        <v>31</v>
      </c>
      <c r="G40" s="93" t="s">
        <v>53</v>
      </c>
      <c r="H40" s="94" t="s">
        <v>61</v>
      </c>
      <c r="I40" s="82" t="s">
        <v>34</v>
      </c>
      <c r="J40" s="78">
        <v>2100</v>
      </c>
      <c r="K40" s="78">
        <v>3</v>
      </c>
      <c r="L40" s="79">
        <f>+J40*K40</f>
        <v>6300</v>
      </c>
      <c r="M40" s="78">
        <v>3</v>
      </c>
      <c r="N40" s="79">
        <f t="shared" si="19"/>
        <v>6300</v>
      </c>
      <c r="O40" s="80">
        <v>3</v>
      </c>
      <c r="P40" s="81">
        <f t="shared" si="20"/>
        <v>6300</v>
      </c>
      <c r="Q40" s="80">
        <v>3</v>
      </c>
      <c r="R40" s="81">
        <f t="shared" si="21"/>
        <v>6300</v>
      </c>
      <c r="S40" s="80">
        <v>3</v>
      </c>
      <c r="T40" s="81">
        <f t="shared" si="22"/>
        <v>6300</v>
      </c>
      <c r="U40" s="81">
        <f t="shared" si="23"/>
        <v>31500</v>
      </c>
      <c r="V40" s="104" t="s">
        <v>90</v>
      </c>
    </row>
    <row r="41" spans="2:24" ht="17.25" customHeight="1" x14ac:dyDescent="0.25">
      <c r="B41" s="506"/>
      <c r="C41" s="518"/>
      <c r="D41" s="66" t="s">
        <v>29</v>
      </c>
      <c r="E41" s="317" t="s">
        <v>66</v>
      </c>
      <c r="F41" s="66" t="s">
        <v>31</v>
      </c>
      <c r="G41" s="93" t="s">
        <v>53</v>
      </c>
      <c r="H41" s="94" t="s">
        <v>63</v>
      </c>
      <c r="I41" s="82" t="s">
        <v>34</v>
      </c>
      <c r="J41" s="78">
        <v>668</v>
      </c>
      <c r="K41" s="78">
        <v>3</v>
      </c>
      <c r="L41" s="79">
        <f>+J41*K41</f>
        <v>2004</v>
      </c>
      <c r="M41" s="78">
        <v>3</v>
      </c>
      <c r="N41" s="79">
        <f t="shared" ref="N41" si="24">+$J41*M41</f>
        <v>2004</v>
      </c>
      <c r="O41" s="80">
        <v>3</v>
      </c>
      <c r="P41" s="81">
        <f t="shared" ref="P41" si="25">+$J41*O41</f>
        <v>2004</v>
      </c>
      <c r="Q41" s="80">
        <v>5</v>
      </c>
      <c r="R41" s="81">
        <f t="shared" ref="R41" si="26">+$J41*Q41</f>
        <v>3340</v>
      </c>
      <c r="S41" s="80">
        <v>4</v>
      </c>
      <c r="T41" s="81">
        <f t="shared" si="22"/>
        <v>2672</v>
      </c>
      <c r="U41" s="81">
        <f>+L41+N41+P41+R41+T41</f>
        <v>12024</v>
      </c>
      <c r="V41" s="104" t="s">
        <v>91</v>
      </c>
    </row>
    <row r="42" spans="2:24" ht="18" customHeight="1" thickBot="1" x14ac:dyDescent="0.3">
      <c r="B42" s="537" t="s">
        <v>92</v>
      </c>
      <c r="C42" s="538"/>
      <c r="D42" s="538"/>
      <c r="E42" s="538"/>
      <c r="F42" s="538"/>
      <c r="G42" s="538"/>
      <c r="H42" s="539"/>
      <c r="I42" s="336"/>
      <c r="J42" s="337"/>
      <c r="K42" s="337"/>
      <c r="L42" s="338">
        <f>+SUM(L26:L41)</f>
        <v>806460.75</v>
      </c>
      <c r="M42" s="337"/>
      <c r="N42" s="338">
        <f>+SUM(N26:N41)</f>
        <v>1619160.75</v>
      </c>
      <c r="O42" s="339"/>
      <c r="P42" s="340">
        <f>+SUM(P26:P41)</f>
        <v>1108660.75</v>
      </c>
      <c r="Q42" s="339"/>
      <c r="R42" s="340">
        <f>+SUM(R26:R41)</f>
        <v>290496.75</v>
      </c>
      <c r="S42" s="339"/>
      <c r="T42" s="340">
        <f>+SUM(T26:T41)</f>
        <v>256028.75</v>
      </c>
      <c r="U42" s="340">
        <f>+SUM(U26:U41)</f>
        <v>4080807.75</v>
      </c>
      <c r="V42" s="341"/>
    </row>
    <row r="43" spans="2:24" ht="18" customHeight="1" x14ac:dyDescent="0.25">
      <c r="B43" s="407" t="s">
        <v>93</v>
      </c>
      <c r="C43" s="408"/>
      <c r="D43" s="408"/>
      <c r="E43" s="408"/>
      <c r="F43" s="428" t="s">
        <v>31</v>
      </c>
      <c r="G43" s="429"/>
      <c r="H43" s="430"/>
      <c r="I43" s="352"/>
      <c r="J43" s="353"/>
      <c r="K43" s="353"/>
      <c r="L43" s="354">
        <f>L25+L42</f>
        <v>2206300.75</v>
      </c>
      <c r="M43" s="354"/>
      <c r="N43" s="354">
        <f>N25+N42</f>
        <v>4086700.75</v>
      </c>
      <c r="O43" s="354"/>
      <c r="P43" s="354">
        <f>P25+P42</f>
        <v>3550864.75</v>
      </c>
      <c r="Q43" s="354"/>
      <c r="R43" s="354">
        <f>R25+R42</f>
        <v>1114100.75</v>
      </c>
      <c r="S43" s="354"/>
      <c r="T43" s="354">
        <f>T25+T42</f>
        <v>354564.75</v>
      </c>
      <c r="U43" s="354">
        <f>U25+U42</f>
        <v>11312531.75</v>
      </c>
      <c r="V43" s="355"/>
      <c r="X43" s="43"/>
    </row>
    <row r="44" spans="2:24" ht="18" customHeight="1" x14ac:dyDescent="0.25">
      <c r="B44" s="409"/>
      <c r="C44" s="410"/>
      <c r="D44" s="410"/>
      <c r="E44" s="410"/>
      <c r="F44" s="431" t="s">
        <v>687</v>
      </c>
      <c r="G44" s="432"/>
      <c r="H44" s="433"/>
      <c r="I44" s="356"/>
      <c r="J44" s="357"/>
      <c r="K44" s="357"/>
      <c r="L44" s="358">
        <v>0</v>
      </c>
      <c r="M44" s="358"/>
      <c r="N44" s="358">
        <v>0</v>
      </c>
      <c r="O44" s="358"/>
      <c r="P44" s="358">
        <v>0</v>
      </c>
      <c r="Q44" s="358"/>
      <c r="R44" s="358">
        <v>0</v>
      </c>
      <c r="S44" s="358"/>
      <c r="T44" s="358">
        <v>0</v>
      </c>
      <c r="U44" s="358">
        <v>0</v>
      </c>
      <c r="V44" s="359"/>
      <c r="X44" s="43"/>
    </row>
    <row r="45" spans="2:24" ht="18" customHeight="1" thickBot="1" x14ac:dyDescent="0.3">
      <c r="B45" s="535"/>
      <c r="C45" s="536"/>
      <c r="D45" s="536"/>
      <c r="E45" s="536"/>
      <c r="F45" s="457" t="s">
        <v>688</v>
      </c>
      <c r="G45" s="458"/>
      <c r="H45" s="459"/>
      <c r="I45" s="360"/>
      <c r="J45" s="361"/>
      <c r="K45" s="361"/>
      <c r="L45" s="362">
        <v>0</v>
      </c>
      <c r="M45" s="361"/>
      <c r="N45" s="362">
        <v>0</v>
      </c>
      <c r="O45" s="363"/>
      <c r="P45" s="364">
        <v>0</v>
      </c>
      <c r="Q45" s="363"/>
      <c r="R45" s="364">
        <v>0</v>
      </c>
      <c r="S45" s="363"/>
      <c r="T45" s="364">
        <v>0</v>
      </c>
      <c r="U45" s="364">
        <v>0</v>
      </c>
      <c r="V45" s="365"/>
      <c r="X45" s="43"/>
    </row>
    <row r="46" spans="2:24" ht="18" customHeight="1" thickBot="1" x14ac:dyDescent="0.3">
      <c r="B46" s="522" t="s">
        <v>93</v>
      </c>
      <c r="C46" s="523"/>
      <c r="D46" s="523"/>
      <c r="E46" s="523"/>
      <c r="F46" s="523"/>
      <c r="G46" s="523"/>
      <c r="H46" s="524"/>
      <c r="I46" s="330"/>
      <c r="J46" s="331"/>
      <c r="K46" s="331"/>
      <c r="L46" s="332">
        <f>L43+L45</f>
        <v>2206300.75</v>
      </c>
      <c r="M46" s="331"/>
      <c r="N46" s="332">
        <f>N43+N45</f>
        <v>4086700.75</v>
      </c>
      <c r="O46" s="333"/>
      <c r="P46" s="332">
        <f>P43+P45</f>
        <v>3550864.75</v>
      </c>
      <c r="Q46" s="333"/>
      <c r="R46" s="332">
        <f>R43+R45</f>
        <v>1114100.75</v>
      </c>
      <c r="S46" s="333"/>
      <c r="T46" s="332">
        <f>T43+T45</f>
        <v>354564.75</v>
      </c>
      <c r="U46" s="332">
        <f>U43+U45</f>
        <v>11312531.75</v>
      </c>
      <c r="V46" s="334"/>
    </row>
    <row r="47" spans="2:24" ht="31.5" customHeight="1" x14ac:dyDescent="0.25">
      <c r="B47" s="505" t="s">
        <v>28</v>
      </c>
      <c r="C47" s="529" t="s">
        <v>587</v>
      </c>
      <c r="D47" s="116" t="s">
        <v>95</v>
      </c>
      <c r="E47" s="318" t="s">
        <v>96</v>
      </c>
      <c r="F47" s="116" t="s">
        <v>31</v>
      </c>
      <c r="G47" s="243" t="s">
        <v>32</v>
      </c>
      <c r="H47" s="244" t="s">
        <v>637</v>
      </c>
      <c r="I47" s="129" t="s">
        <v>34</v>
      </c>
      <c r="J47" s="130">
        <v>1800</v>
      </c>
      <c r="K47" s="130">
        <v>6</v>
      </c>
      <c r="L47" s="131">
        <f>+J47*K47</f>
        <v>10800</v>
      </c>
      <c r="M47" s="130">
        <v>12</v>
      </c>
      <c r="N47" s="131">
        <f t="shared" si="19"/>
        <v>21600</v>
      </c>
      <c r="O47" s="132">
        <v>12</v>
      </c>
      <c r="P47" s="133">
        <f t="shared" si="20"/>
        <v>21600</v>
      </c>
      <c r="Q47" s="132">
        <v>12</v>
      </c>
      <c r="R47" s="133">
        <f t="shared" si="21"/>
        <v>21600</v>
      </c>
      <c r="S47" s="132">
        <v>6</v>
      </c>
      <c r="T47" s="133">
        <f t="shared" si="21"/>
        <v>10800</v>
      </c>
      <c r="U47" s="133">
        <f t="shared" si="23"/>
        <v>86400</v>
      </c>
      <c r="V47" s="172" t="s">
        <v>97</v>
      </c>
    </row>
    <row r="48" spans="2:24" ht="31.5" customHeight="1" x14ac:dyDescent="0.25">
      <c r="B48" s="506"/>
      <c r="C48" s="530"/>
      <c r="D48" s="66" t="s">
        <v>95</v>
      </c>
      <c r="E48" s="317" t="s">
        <v>96</v>
      </c>
      <c r="F48" s="66" t="s">
        <v>31</v>
      </c>
      <c r="G48" s="93" t="s">
        <v>32</v>
      </c>
      <c r="H48" s="94" t="s">
        <v>98</v>
      </c>
      <c r="I48" s="82" t="s">
        <v>34</v>
      </c>
      <c r="J48" s="78">
        <v>1500</v>
      </c>
      <c r="K48" s="78">
        <v>6</v>
      </c>
      <c r="L48" s="79">
        <f t="shared" ref="L48:L59" si="27">+J48*K48</f>
        <v>9000</v>
      </c>
      <c r="M48" s="78">
        <v>12</v>
      </c>
      <c r="N48" s="79">
        <f t="shared" si="19"/>
        <v>18000</v>
      </c>
      <c r="O48" s="80">
        <v>12</v>
      </c>
      <c r="P48" s="81">
        <f t="shared" si="20"/>
        <v>18000</v>
      </c>
      <c r="Q48" s="80">
        <v>12</v>
      </c>
      <c r="R48" s="81">
        <f t="shared" si="21"/>
        <v>18000</v>
      </c>
      <c r="S48" s="80">
        <v>6</v>
      </c>
      <c r="T48" s="81">
        <f t="shared" si="21"/>
        <v>9000</v>
      </c>
      <c r="U48" s="81">
        <f t="shared" si="23"/>
        <v>72000</v>
      </c>
      <c r="V48" s="104" t="s">
        <v>99</v>
      </c>
    </row>
    <row r="49" spans="2:22" ht="31.5" customHeight="1" x14ac:dyDescent="0.25">
      <c r="B49" s="506"/>
      <c r="C49" s="530"/>
      <c r="D49" s="66" t="s">
        <v>95</v>
      </c>
      <c r="E49" s="317" t="s">
        <v>96</v>
      </c>
      <c r="F49" s="66" t="s">
        <v>31</v>
      </c>
      <c r="G49" s="93" t="s">
        <v>32</v>
      </c>
      <c r="H49" s="94" t="s">
        <v>100</v>
      </c>
      <c r="I49" s="82" t="s">
        <v>34</v>
      </c>
      <c r="J49" s="78">
        <v>1500</v>
      </c>
      <c r="K49" s="78">
        <v>6</v>
      </c>
      <c r="L49" s="79">
        <f t="shared" si="27"/>
        <v>9000</v>
      </c>
      <c r="M49" s="78">
        <v>12</v>
      </c>
      <c r="N49" s="79">
        <f t="shared" si="19"/>
        <v>18000</v>
      </c>
      <c r="O49" s="80">
        <v>12</v>
      </c>
      <c r="P49" s="81">
        <f t="shared" si="20"/>
        <v>18000</v>
      </c>
      <c r="Q49" s="80">
        <v>12</v>
      </c>
      <c r="R49" s="81">
        <f t="shared" ref="R49:R59" si="28">+$J49*Q49</f>
        <v>18000</v>
      </c>
      <c r="S49" s="80">
        <v>6</v>
      </c>
      <c r="T49" s="81">
        <f t="shared" ref="T49:T59" si="29">+$J49*S49</f>
        <v>9000</v>
      </c>
      <c r="U49" s="81">
        <f t="shared" si="23"/>
        <v>72000</v>
      </c>
      <c r="V49" s="106" t="s">
        <v>101</v>
      </c>
    </row>
    <row r="50" spans="2:22" ht="31.5" customHeight="1" x14ac:dyDescent="0.25">
      <c r="B50" s="506"/>
      <c r="C50" s="530"/>
      <c r="D50" s="66" t="s">
        <v>95</v>
      </c>
      <c r="E50" s="317" t="s">
        <v>96</v>
      </c>
      <c r="F50" s="66" t="s">
        <v>31</v>
      </c>
      <c r="G50" s="93" t="s">
        <v>165</v>
      </c>
      <c r="H50" s="94" t="s">
        <v>102</v>
      </c>
      <c r="I50" s="82" t="s">
        <v>460</v>
      </c>
      <c r="J50" s="78">
        <v>3000</v>
      </c>
      <c r="K50" s="78">
        <v>30</v>
      </c>
      <c r="L50" s="79">
        <f t="shared" si="27"/>
        <v>90000</v>
      </c>
      <c r="M50" s="78">
        <v>30</v>
      </c>
      <c r="N50" s="79">
        <f t="shared" si="19"/>
        <v>90000</v>
      </c>
      <c r="O50" s="80">
        <v>30</v>
      </c>
      <c r="P50" s="81">
        <f t="shared" si="20"/>
        <v>90000</v>
      </c>
      <c r="Q50" s="80">
        <v>15</v>
      </c>
      <c r="R50" s="81">
        <f t="shared" si="28"/>
        <v>45000</v>
      </c>
      <c r="S50" s="80">
        <v>15</v>
      </c>
      <c r="T50" s="81">
        <f t="shared" si="29"/>
        <v>45000</v>
      </c>
      <c r="U50" s="81">
        <f t="shared" si="23"/>
        <v>360000</v>
      </c>
      <c r="V50" s="106" t="s">
        <v>103</v>
      </c>
    </row>
    <row r="51" spans="2:22" ht="31.5" customHeight="1" x14ac:dyDescent="0.25">
      <c r="B51" s="506"/>
      <c r="C51" s="530"/>
      <c r="D51" s="66" t="s">
        <v>95</v>
      </c>
      <c r="E51" s="317" t="s">
        <v>96</v>
      </c>
      <c r="F51" s="66" t="s">
        <v>31</v>
      </c>
      <c r="G51" s="93" t="s">
        <v>74</v>
      </c>
      <c r="H51" s="94" t="s">
        <v>104</v>
      </c>
      <c r="I51" s="82" t="s">
        <v>80</v>
      </c>
      <c r="J51" s="78">
        <v>7</v>
      </c>
      <c r="K51" s="78">
        <v>1000</v>
      </c>
      <c r="L51" s="79">
        <f t="shared" si="27"/>
        <v>7000</v>
      </c>
      <c r="M51" s="78">
        <v>1000</v>
      </c>
      <c r="N51" s="79">
        <f t="shared" si="19"/>
        <v>7000</v>
      </c>
      <c r="O51" s="80">
        <v>1000</v>
      </c>
      <c r="P51" s="81">
        <f t="shared" si="20"/>
        <v>7000</v>
      </c>
      <c r="Q51" s="80">
        <v>1000</v>
      </c>
      <c r="R51" s="81">
        <f t="shared" si="28"/>
        <v>7000</v>
      </c>
      <c r="S51" s="80">
        <v>1000</v>
      </c>
      <c r="T51" s="81">
        <f t="shared" si="29"/>
        <v>7000</v>
      </c>
      <c r="U51" s="81">
        <f t="shared" si="23"/>
        <v>35000</v>
      </c>
      <c r="V51" s="106" t="s">
        <v>105</v>
      </c>
    </row>
    <row r="52" spans="2:22" ht="31.5" customHeight="1" x14ac:dyDescent="0.25">
      <c r="B52" s="506"/>
      <c r="C52" s="530"/>
      <c r="D52" s="66" t="s">
        <v>95</v>
      </c>
      <c r="E52" s="317" t="s">
        <v>96</v>
      </c>
      <c r="F52" s="66" t="s">
        <v>31</v>
      </c>
      <c r="G52" s="93" t="s">
        <v>165</v>
      </c>
      <c r="H52" s="94" t="s">
        <v>106</v>
      </c>
      <c r="I52" s="82" t="s">
        <v>107</v>
      </c>
      <c r="J52" s="78">
        <v>100000</v>
      </c>
      <c r="K52" s="78">
        <v>1</v>
      </c>
      <c r="L52" s="79">
        <f t="shared" si="27"/>
        <v>100000</v>
      </c>
      <c r="M52" s="78">
        <v>0</v>
      </c>
      <c r="N52" s="79">
        <f t="shared" si="19"/>
        <v>0</v>
      </c>
      <c r="O52" s="80">
        <v>0</v>
      </c>
      <c r="P52" s="81">
        <f t="shared" si="20"/>
        <v>0</v>
      </c>
      <c r="Q52" s="80">
        <v>0</v>
      </c>
      <c r="R52" s="81">
        <f t="shared" si="28"/>
        <v>0</v>
      </c>
      <c r="S52" s="80">
        <v>0</v>
      </c>
      <c r="T52" s="81">
        <f t="shared" si="29"/>
        <v>0</v>
      </c>
      <c r="U52" s="81">
        <f t="shared" si="23"/>
        <v>100000</v>
      </c>
      <c r="V52" s="106" t="s">
        <v>108</v>
      </c>
    </row>
    <row r="53" spans="2:22" ht="31.5" customHeight="1" x14ac:dyDescent="0.25">
      <c r="B53" s="506"/>
      <c r="C53" s="530"/>
      <c r="D53" s="66" t="s">
        <v>95</v>
      </c>
      <c r="E53" s="317" t="s">
        <v>96</v>
      </c>
      <c r="F53" s="66" t="s">
        <v>31</v>
      </c>
      <c r="G53" s="93" t="s">
        <v>45</v>
      </c>
      <c r="H53" s="94" t="s">
        <v>527</v>
      </c>
      <c r="I53" s="82" t="s">
        <v>109</v>
      </c>
      <c r="J53" s="78">
        <v>5000</v>
      </c>
      <c r="K53" s="78">
        <v>1</v>
      </c>
      <c r="L53" s="79">
        <f t="shared" si="27"/>
        <v>5000</v>
      </c>
      <c r="M53" s="78">
        <v>1</v>
      </c>
      <c r="N53" s="79">
        <f t="shared" si="19"/>
        <v>5000</v>
      </c>
      <c r="O53" s="80">
        <v>1</v>
      </c>
      <c r="P53" s="81">
        <f t="shared" si="20"/>
        <v>5000</v>
      </c>
      <c r="Q53" s="80">
        <v>1</v>
      </c>
      <c r="R53" s="81">
        <f t="shared" si="28"/>
        <v>5000</v>
      </c>
      <c r="S53" s="80">
        <v>1</v>
      </c>
      <c r="T53" s="81">
        <f t="shared" si="29"/>
        <v>5000</v>
      </c>
      <c r="U53" s="81">
        <f t="shared" si="23"/>
        <v>25000</v>
      </c>
      <c r="V53" s="106" t="s">
        <v>110</v>
      </c>
    </row>
    <row r="54" spans="2:22" ht="31.5" customHeight="1" x14ac:dyDescent="0.25">
      <c r="B54" s="506"/>
      <c r="C54" s="530"/>
      <c r="D54" s="66" t="s">
        <v>95</v>
      </c>
      <c r="E54" s="317" t="s">
        <v>96</v>
      </c>
      <c r="F54" s="66" t="s">
        <v>31</v>
      </c>
      <c r="G54" s="93" t="s">
        <v>45</v>
      </c>
      <c r="H54" s="94" t="s">
        <v>528</v>
      </c>
      <c r="I54" s="82" t="s">
        <v>109</v>
      </c>
      <c r="J54" s="78">
        <v>11000</v>
      </c>
      <c r="K54" s="78">
        <v>1</v>
      </c>
      <c r="L54" s="79">
        <f t="shared" si="27"/>
        <v>11000</v>
      </c>
      <c r="M54" s="78">
        <v>1</v>
      </c>
      <c r="N54" s="79">
        <f t="shared" si="19"/>
        <v>11000</v>
      </c>
      <c r="O54" s="80">
        <v>1</v>
      </c>
      <c r="P54" s="81">
        <f t="shared" si="20"/>
        <v>11000</v>
      </c>
      <c r="Q54" s="80">
        <v>1</v>
      </c>
      <c r="R54" s="81">
        <f t="shared" si="28"/>
        <v>11000</v>
      </c>
      <c r="S54" s="80"/>
      <c r="T54" s="81">
        <f t="shared" si="29"/>
        <v>0</v>
      </c>
      <c r="U54" s="81">
        <f t="shared" si="23"/>
        <v>44000</v>
      </c>
      <c r="V54" s="106" t="s">
        <v>111</v>
      </c>
    </row>
    <row r="55" spans="2:22" ht="31.5" customHeight="1" x14ac:dyDescent="0.25">
      <c r="B55" s="506"/>
      <c r="C55" s="530"/>
      <c r="D55" s="66" t="s">
        <v>95</v>
      </c>
      <c r="E55" s="317" t="s">
        <v>96</v>
      </c>
      <c r="F55" s="66" t="s">
        <v>31</v>
      </c>
      <c r="G55" s="93" t="s">
        <v>45</v>
      </c>
      <c r="H55" s="94" t="s">
        <v>529</v>
      </c>
      <c r="I55" s="82" t="s">
        <v>109</v>
      </c>
      <c r="J55" s="78">
        <v>15200</v>
      </c>
      <c r="K55" s="78">
        <v>1</v>
      </c>
      <c r="L55" s="79">
        <f t="shared" si="27"/>
        <v>15200</v>
      </c>
      <c r="M55" s="78">
        <v>1</v>
      </c>
      <c r="N55" s="79">
        <f t="shared" si="19"/>
        <v>15200</v>
      </c>
      <c r="O55" s="80">
        <v>1</v>
      </c>
      <c r="P55" s="81">
        <f t="shared" si="20"/>
        <v>15200</v>
      </c>
      <c r="Q55" s="80">
        <v>1</v>
      </c>
      <c r="R55" s="81">
        <f t="shared" si="28"/>
        <v>15200</v>
      </c>
      <c r="S55" s="80">
        <v>1</v>
      </c>
      <c r="T55" s="81">
        <f t="shared" si="29"/>
        <v>15200</v>
      </c>
      <c r="U55" s="81">
        <f t="shared" si="23"/>
        <v>76000</v>
      </c>
      <c r="V55" s="106" t="s">
        <v>112</v>
      </c>
    </row>
    <row r="56" spans="2:22" ht="31.5" customHeight="1" x14ac:dyDescent="0.25">
      <c r="B56" s="506"/>
      <c r="C56" s="530"/>
      <c r="D56" s="66" t="s">
        <v>95</v>
      </c>
      <c r="E56" s="317" t="s">
        <v>96</v>
      </c>
      <c r="F56" s="66" t="s">
        <v>31</v>
      </c>
      <c r="G56" s="93" t="s">
        <v>53</v>
      </c>
      <c r="H56" s="94" t="s">
        <v>113</v>
      </c>
      <c r="I56" s="82" t="s">
        <v>76</v>
      </c>
      <c r="J56" s="78">
        <v>9000</v>
      </c>
      <c r="K56" s="78">
        <v>30</v>
      </c>
      <c r="L56" s="79">
        <f t="shared" si="27"/>
        <v>270000</v>
      </c>
      <c r="M56" s="78">
        <v>30</v>
      </c>
      <c r="N56" s="79">
        <f t="shared" si="19"/>
        <v>270000</v>
      </c>
      <c r="O56" s="80">
        <v>30</v>
      </c>
      <c r="P56" s="81">
        <f t="shared" si="20"/>
        <v>270000</v>
      </c>
      <c r="Q56" s="80">
        <v>30</v>
      </c>
      <c r="R56" s="81">
        <f t="shared" si="28"/>
        <v>270000</v>
      </c>
      <c r="S56" s="80">
        <v>0</v>
      </c>
      <c r="T56" s="81">
        <f t="shared" si="29"/>
        <v>0</v>
      </c>
      <c r="U56" s="81">
        <f t="shared" si="23"/>
        <v>1080000</v>
      </c>
      <c r="V56" s="106" t="s">
        <v>114</v>
      </c>
    </row>
    <row r="57" spans="2:22" ht="31.5" customHeight="1" x14ac:dyDescent="0.25">
      <c r="B57" s="506"/>
      <c r="C57" s="530"/>
      <c r="D57" s="66" t="s">
        <v>95</v>
      </c>
      <c r="E57" s="317" t="s">
        <v>96</v>
      </c>
      <c r="F57" s="66" t="s">
        <v>31</v>
      </c>
      <c r="G57" s="93" t="s">
        <v>53</v>
      </c>
      <c r="H57" s="94" t="s">
        <v>56</v>
      </c>
      <c r="I57" s="82" t="s">
        <v>57</v>
      </c>
      <c r="J57" s="78">
        <v>900</v>
      </c>
      <c r="K57" s="78">
        <v>4</v>
      </c>
      <c r="L57" s="79">
        <f t="shared" si="27"/>
        <v>3600</v>
      </c>
      <c r="M57" s="78">
        <v>0</v>
      </c>
      <c r="N57" s="79">
        <f t="shared" si="19"/>
        <v>0</v>
      </c>
      <c r="O57" s="80"/>
      <c r="P57" s="81">
        <f t="shared" si="20"/>
        <v>0</v>
      </c>
      <c r="Q57" s="80"/>
      <c r="R57" s="81">
        <f t="shared" si="28"/>
        <v>0</v>
      </c>
      <c r="S57" s="80"/>
      <c r="T57" s="81">
        <f t="shared" si="29"/>
        <v>0</v>
      </c>
      <c r="U57" s="81">
        <f t="shared" si="23"/>
        <v>3600</v>
      </c>
      <c r="V57" s="106" t="s">
        <v>115</v>
      </c>
    </row>
    <row r="58" spans="2:22" ht="31.5" customHeight="1" x14ac:dyDescent="0.25">
      <c r="B58" s="506"/>
      <c r="C58" s="530"/>
      <c r="D58" s="66" t="s">
        <v>95</v>
      </c>
      <c r="E58" s="317" t="s">
        <v>96</v>
      </c>
      <c r="F58" s="66" t="s">
        <v>31</v>
      </c>
      <c r="G58" s="93" t="s">
        <v>53</v>
      </c>
      <c r="H58" s="94" t="s">
        <v>61</v>
      </c>
      <c r="I58" s="82" t="s">
        <v>34</v>
      </c>
      <c r="J58" s="78">
        <v>2100</v>
      </c>
      <c r="K58" s="78">
        <v>1</v>
      </c>
      <c r="L58" s="79">
        <f t="shared" si="27"/>
        <v>2100</v>
      </c>
      <c r="M58" s="78">
        <v>1</v>
      </c>
      <c r="N58" s="79">
        <f t="shared" si="19"/>
        <v>2100</v>
      </c>
      <c r="O58" s="80">
        <v>2</v>
      </c>
      <c r="P58" s="81">
        <f t="shared" si="20"/>
        <v>4200</v>
      </c>
      <c r="Q58" s="80">
        <v>1</v>
      </c>
      <c r="R58" s="81">
        <f t="shared" si="28"/>
        <v>2100</v>
      </c>
      <c r="S58" s="80">
        <v>1</v>
      </c>
      <c r="T58" s="81">
        <f t="shared" si="29"/>
        <v>2100</v>
      </c>
      <c r="U58" s="81">
        <f t="shared" si="23"/>
        <v>12600</v>
      </c>
      <c r="V58" s="106" t="s">
        <v>116</v>
      </c>
    </row>
    <row r="59" spans="2:22" ht="31.5" customHeight="1" x14ac:dyDescent="0.25">
      <c r="B59" s="506"/>
      <c r="C59" s="530"/>
      <c r="D59" s="66" t="s">
        <v>95</v>
      </c>
      <c r="E59" s="317" t="s">
        <v>96</v>
      </c>
      <c r="F59" s="66" t="s">
        <v>31</v>
      </c>
      <c r="G59" s="93" t="s">
        <v>53</v>
      </c>
      <c r="H59" s="94" t="s">
        <v>63</v>
      </c>
      <c r="I59" s="82" t="s">
        <v>34</v>
      </c>
      <c r="J59" s="78">
        <v>668</v>
      </c>
      <c r="K59" s="78">
        <v>1</v>
      </c>
      <c r="L59" s="79">
        <f t="shared" si="27"/>
        <v>668</v>
      </c>
      <c r="M59" s="78">
        <v>1</v>
      </c>
      <c r="N59" s="79">
        <f t="shared" si="19"/>
        <v>668</v>
      </c>
      <c r="O59" s="80">
        <v>2</v>
      </c>
      <c r="P59" s="81">
        <f t="shared" si="20"/>
        <v>1336</v>
      </c>
      <c r="Q59" s="80">
        <v>1</v>
      </c>
      <c r="R59" s="81">
        <f t="shared" si="28"/>
        <v>668</v>
      </c>
      <c r="S59" s="80">
        <v>1</v>
      </c>
      <c r="T59" s="81">
        <f t="shared" si="29"/>
        <v>668</v>
      </c>
      <c r="U59" s="81">
        <f t="shared" si="23"/>
        <v>4008</v>
      </c>
      <c r="V59" s="106" t="s">
        <v>117</v>
      </c>
    </row>
    <row r="60" spans="2:22" ht="18" customHeight="1" thickBot="1" x14ac:dyDescent="0.3">
      <c r="B60" s="418" t="s">
        <v>118</v>
      </c>
      <c r="C60" s="419"/>
      <c r="D60" s="420"/>
      <c r="E60" s="419"/>
      <c r="F60" s="420"/>
      <c r="G60" s="420"/>
      <c r="H60" s="420"/>
      <c r="I60" s="324"/>
      <c r="J60" s="325"/>
      <c r="K60" s="325"/>
      <c r="L60" s="326">
        <f>SUM(L47:L59)</f>
        <v>533368</v>
      </c>
      <c r="M60" s="325"/>
      <c r="N60" s="326">
        <f>SUM(N47:N59)</f>
        <v>458568</v>
      </c>
      <c r="O60" s="327"/>
      <c r="P60" s="328">
        <f>SUM(P47:P59)</f>
        <v>461336</v>
      </c>
      <c r="Q60" s="327"/>
      <c r="R60" s="328">
        <f>SUM(R47:R59)</f>
        <v>413568</v>
      </c>
      <c r="S60" s="327"/>
      <c r="T60" s="328">
        <f>SUM(T47:T59)</f>
        <v>103768</v>
      </c>
      <c r="U60" s="328">
        <f>SUM(U47:U59)</f>
        <v>1970608</v>
      </c>
      <c r="V60" s="329"/>
    </row>
    <row r="61" spans="2:22" ht="18" customHeight="1" x14ac:dyDescent="0.25">
      <c r="B61" s="520"/>
      <c r="C61" s="531"/>
      <c r="D61" s="116" t="s">
        <v>95</v>
      </c>
      <c r="E61" s="318" t="s">
        <v>119</v>
      </c>
      <c r="F61" s="116" t="s">
        <v>31</v>
      </c>
      <c r="G61" s="243" t="s">
        <v>32</v>
      </c>
      <c r="H61" s="244" t="s">
        <v>635</v>
      </c>
      <c r="I61" s="129" t="s">
        <v>34</v>
      </c>
      <c r="J61" s="130">
        <v>2100</v>
      </c>
      <c r="K61" s="130">
        <v>3</v>
      </c>
      <c r="L61" s="131">
        <f t="shared" ref="L61:L65" si="30">+J61*K61</f>
        <v>6300</v>
      </c>
      <c r="M61" s="130">
        <v>3</v>
      </c>
      <c r="N61" s="131">
        <f t="shared" ref="N61:N65" si="31">+$J61*M61</f>
        <v>6300</v>
      </c>
      <c r="O61" s="132">
        <v>3</v>
      </c>
      <c r="P61" s="133">
        <f t="shared" ref="P61:P65" si="32">+$J61*O61</f>
        <v>6300</v>
      </c>
      <c r="Q61" s="132">
        <v>3</v>
      </c>
      <c r="R61" s="133">
        <f t="shared" ref="R61:R65" si="33">+$J61*Q61</f>
        <v>6300</v>
      </c>
      <c r="S61" s="132">
        <v>3</v>
      </c>
      <c r="T61" s="133">
        <f t="shared" ref="T61:T65" si="34">+$J61*S61</f>
        <v>6300</v>
      </c>
      <c r="U61" s="133">
        <f t="shared" si="23"/>
        <v>31500</v>
      </c>
      <c r="V61" s="335" t="s">
        <v>120</v>
      </c>
    </row>
    <row r="62" spans="2:22" ht="18" customHeight="1" x14ac:dyDescent="0.25">
      <c r="B62" s="521"/>
      <c r="C62" s="532"/>
      <c r="D62" s="66" t="s">
        <v>95</v>
      </c>
      <c r="E62" s="317" t="s">
        <v>119</v>
      </c>
      <c r="F62" s="66" t="s">
        <v>31</v>
      </c>
      <c r="G62" s="93" t="s">
        <v>32</v>
      </c>
      <c r="H62" s="94" t="s">
        <v>100</v>
      </c>
      <c r="I62" s="82" t="s">
        <v>34</v>
      </c>
      <c r="J62" s="78">
        <v>1500</v>
      </c>
      <c r="K62" s="78">
        <v>6</v>
      </c>
      <c r="L62" s="79">
        <f t="shared" si="30"/>
        <v>9000</v>
      </c>
      <c r="M62" s="78">
        <v>12</v>
      </c>
      <c r="N62" s="79">
        <f t="shared" si="31"/>
        <v>18000</v>
      </c>
      <c r="O62" s="80">
        <v>12</v>
      </c>
      <c r="P62" s="81">
        <f t="shared" si="32"/>
        <v>18000</v>
      </c>
      <c r="Q62" s="80">
        <v>12</v>
      </c>
      <c r="R62" s="81">
        <f t="shared" si="33"/>
        <v>18000</v>
      </c>
      <c r="S62" s="80">
        <v>6</v>
      </c>
      <c r="T62" s="81">
        <f t="shared" si="34"/>
        <v>9000</v>
      </c>
      <c r="U62" s="81">
        <f t="shared" si="23"/>
        <v>72000</v>
      </c>
      <c r="V62" s="106" t="s">
        <v>121</v>
      </c>
    </row>
    <row r="63" spans="2:22" ht="18" customHeight="1" x14ac:dyDescent="0.25">
      <c r="B63" s="521"/>
      <c r="C63" s="532"/>
      <c r="D63" s="66" t="s">
        <v>95</v>
      </c>
      <c r="E63" s="317" t="s">
        <v>119</v>
      </c>
      <c r="F63" s="66" t="s">
        <v>31</v>
      </c>
      <c r="G63" s="93" t="s">
        <v>32</v>
      </c>
      <c r="H63" s="94" t="s">
        <v>122</v>
      </c>
      <c r="I63" s="82" t="s">
        <v>34</v>
      </c>
      <c r="J63" s="78">
        <v>2500</v>
      </c>
      <c r="K63" s="78">
        <v>18</v>
      </c>
      <c r="L63" s="79">
        <f t="shared" si="30"/>
        <v>45000</v>
      </c>
      <c r="M63" s="78">
        <v>20</v>
      </c>
      <c r="N63" s="79">
        <f t="shared" si="31"/>
        <v>50000</v>
      </c>
      <c r="O63" s="80">
        <v>20</v>
      </c>
      <c r="P63" s="81">
        <f t="shared" si="32"/>
        <v>50000</v>
      </c>
      <c r="Q63" s="80">
        <v>20</v>
      </c>
      <c r="R63" s="81">
        <f t="shared" si="33"/>
        <v>50000</v>
      </c>
      <c r="S63" s="80">
        <v>18</v>
      </c>
      <c r="T63" s="81">
        <f t="shared" si="34"/>
        <v>45000</v>
      </c>
      <c r="U63" s="81">
        <f t="shared" si="23"/>
        <v>240000</v>
      </c>
      <c r="V63" s="106" t="s">
        <v>123</v>
      </c>
    </row>
    <row r="64" spans="2:22" ht="18" customHeight="1" x14ac:dyDescent="0.25">
      <c r="B64" s="521"/>
      <c r="C64" s="532"/>
      <c r="D64" s="66" t="s">
        <v>95</v>
      </c>
      <c r="E64" s="317" t="s">
        <v>119</v>
      </c>
      <c r="F64" s="66" t="s">
        <v>31</v>
      </c>
      <c r="G64" s="245" t="s">
        <v>74</v>
      </c>
      <c r="H64" s="94" t="s">
        <v>124</v>
      </c>
      <c r="I64" s="82" t="s">
        <v>178</v>
      </c>
      <c r="J64" s="78">
        <v>250000</v>
      </c>
      <c r="K64" s="78">
        <v>1</v>
      </c>
      <c r="L64" s="79">
        <f t="shared" si="30"/>
        <v>250000</v>
      </c>
      <c r="M64" s="78">
        <v>1</v>
      </c>
      <c r="N64" s="79">
        <f t="shared" si="31"/>
        <v>250000</v>
      </c>
      <c r="O64" s="80">
        <v>1</v>
      </c>
      <c r="P64" s="81">
        <f t="shared" si="32"/>
        <v>250000</v>
      </c>
      <c r="Q64" s="80">
        <v>1</v>
      </c>
      <c r="R64" s="81">
        <f t="shared" si="33"/>
        <v>250000</v>
      </c>
      <c r="S64" s="80"/>
      <c r="T64" s="81">
        <f t="shared" si="34"/>
        <v>0</v>
      </c>
      <c r="U64" s="81">
        <f t="shared" si="23"/>
        <v>1000000</v>
      </c>
      <c r="V64" s="106" t="s">
        <v>125</v>
      </c>
    </row>
    <row r="65" spans="2:23" ht="18" customHeight="1" x14ac:dyDescent="0.25">
      <c r="B65" s="521"/>
      <c r="C65" s="532"/>
      <c r="D65" s="66" t="s">
        <v>95</v>
      </c>
      <c r="E65" s="317" t="s">
        <v>119</v>
      </c>
      <c r="F65" s="66" t="s">
        <v>31</v>
      </c>
      <c r="G65" s="93" t="s">
        <v>41</v>
      </c>
      <c r="H65" s="94" t="s">
        <v>82</v>
      </c>
      <c r="I65" s="82" t="s">
        <v>43</v>
      </c>
      <c r="J65" s="78">
        <v>100</v>
      </c>
      <c r="K65" s="78">
        <v>200</v>
      </c>
      <c r="L65" s="79">
        <f t="shared" si="30"/>
        <v>20000</v>
      </c>
      <c r="M65" s="78">
        <v>200</v>
      </c>
      <c r="N65" s="79">
        <f t="shared" si="31"/>
        <v>20000</v>
      </c>
      <c r="O65" s="80">
        <v>200</v>
      </c>
      <c r="P65" s="81">
        <f t="shared" si="32"/>
        <v>20000</v>
      </c>
      <c r="Q65" s="80">
        <v>200</v>
      </c>
      <c r="R65" s="81">
        <f t="shared" si="33"/>
        <v>20000</v>
      </c>
      <c r="S65" s="80">
        <v>300</v>
      </c>
      <c r="T65" s="81">
        <f t="shared" si="34"/>
        <v>30000</v>
      </c>
      <c r="U65" s="81">
        <f t="shared" si="23"/>
        <v>110000</v>
      </c>
      <c r="V65" s="104" t="s">
        <v>126</v>
      </c>
    </row>
    <row r="66" spans="2:23" ht="18" customHeight="1" thickBot="1" x14ac:dyDescent="0.3">
      <c r="B66" s="418" t="s">
        <v>127</v>
      </c>
      <c r="C66" s="419"/>
      <c r="D66" s="420"/>
      <c r="E66" s="419"/>
      <c r="F66" s="420"/>
      <c r="G66" s="420"/>
      <c r="H66" s="420"/>
      <c r="I66" s="324"/>
      <c r="J66" s="325"/>
      <c r="K66" s="325"/>
      <c r="L66" s="326">
        <f>SUM(L61:L65)</f>
        <v>330300</v>
      </c>
      <c r="M66" s="325"/>
      <c r="N66" s="326">
        <f>SUM(N61:N65)</f>
        <v>344300</v>
      </c>
      <c r="O66" s="327"/>
      <c r="P66" s="328">
        <f>SUM(P61:P65)</f>
        <v>344300</v>
      </c>
      <c r="Q66" s="327"/>
      <c r="R66" s="328">
        <f>SUM(R61:R65)</f>
        <v>344300</v>
      </c>
      <c r="S66" s="327"/>
      <c r="T66" s="328">
        <f>SUM(T61:T65)</f>
        <v>90300</v>
      </c>
      <c r="U66" s="328">
        <f>SUM(U61:U65)</f>
        <v>1453500</v>
      </c>
      <c r="V66" s="329"/>
    </row>
    <row r="67" spans="2:23" ht="15" customHeight="1" x14ac:dyDescent="0.25">
      <c r="B67" s="520"/>
      <c r="C67" s="510"/>
      <c r="D67" s="116" t="s">
        <v>95</v>
      </c>
      <c r="E67" s="318" t="s">
        <v>128</v>
      </c>
      <c r="F67" s="116" t="s">
        <v>31</v>
      </c>
      <c r="G67" s="243" t="s">
        <v>32</v>
      </c>
      <c r="H67" s="244" t="s">
        <v>98</v>
      </c>
      <c r="I67" s="129" t="s">
        <v>34</v>
      </c>
      <c r="J67" s="130">
        <v>1500</v>
      </c>
      <c r="K67" s="130">
        <v>6</v>
      </c>
      <c r="L67" s="131">
        <f t="shared" ref="L67:L69" si="35">+J67*K67</f>
        <v>9000</v>
      </c>
      <c r="M67" s="130">
        <v>12</v>
      </c>
      <c r="N67" s="131">
        <f t="shared" ref="N67:N71" si="36">+$J67*M67</f>
        <v>18000</v>
      </c>
      <c r="O67" s="132">
        <v>12</v>
      </c>
      <c r="P67" s="133">
        <f t="shared" ref="P67:P71" si="37">+$J67*O67</f>
        <v>18000</v>
      </c>
      <c r="Q67" s="132">
        <v>12</v>
      </c>
      <c r="R67" s="133">
        <f t="shared" ref="R67:R71" si="38">+$J67*Q67</f>
        <v>18000</v>
      </c>
      <c r="S67" s="132">
        <v>6</v>
      </c>
      <c r="T67" s="133">
        <f t="shared" ref="T67:T71" si="39">+$J67*S67</f>
        <v>9000</v>
      </c>
      <c r="U67" s="133">
        <f t="shared" si="23"/>
        <v>72000</v>
      </c>
      <c r="V67" s="335" t="s">
        <v>129</v>
      </c>
    </row>
    <row r="68" spans="2:23" ht="15" customHeight="1" x14ac:dyDescent="0.25">
      <c r="B68" s="521"/>
      <c r="C68" s="511"/>
      <c r="D68" s="66" t="s">
        <v>95</v>
      </c>
      <c r="E68" s="317" t="s">
        <v>128</v>
      </c>
      <c r="F68" s="66" t="s">
        <v>31</v>
      </c>
      <c r="G68" s="93" t="s">
        <v>32</v>
      </c>
      <c r="H68" s="94" t="s">
        <v>100</v>
      </c>
      <c r="I68" s="82" t="s">
        <v>34</v>
      </c>
      <c r="J68" s="78">
        <v>1500</v>
      </c>
      <c r="K68" s="78">
        <v>6</v>
      </c>
      <c r="L68" s="79">
        <f t="shared" si="35"/>
        <v>9000</v>
      </c>
      <c r="M68" s="78">
        <v>12</v>
      </c>
      <c r="N68" s="79">
        <f t="shared" si="36"/>
        <v>18000</v>
      </c>
      <c r="O68" s="80">
        <v>12</v>
      </c>
      <c r="P68" s="81">
        <f t="shared" si="37"/>
        <v>18000</v>
      </c>
      <c r="Q68" s="80">
        <v>12</v>
      </c>
      <c r="R68" s="81">
        <f t="shared" si="38"/>
        <v>18000</v>
      </c>
      <c r="S68" s="80">
        <v>6</v>
      </c>
      <c r="T68" s="81">
        <f t="shared" si="39"/>
        <v>9000</v>
      </c>
      <c r="U68" s="81">
        <f t="shared" si="23"/>
        <v>72000</v>
      </c>
      <c r="V68" s="106" t="s">
        <v>130</v>
      </c>
    </row>
    <row r="69" spans="2:23" ht="36.75" customHeight="1" x14ac:dyDescent="0.25">
      <c r="B69" s="521"/>
      <c r="C69" s="511"/>
      <c r="D69" s="66" t="s">
        <v>95</v>
      </c>
      <c r="E69" s="317" t="s">
        <v>128</v>
      </c>
      <c r="F69" s="66" t="s">
        <v>31</v>
      </c>
      <c r="G69" s="93" t="s">
        <v>74</v>
      </c>
      <c r="H69" s="94" t="s">
        <v>131</v>
      </c>
      <c r="I69" s="82" t="s">
        <v>107</v>
      </c>
      <c r="J69" s="78">
        <v>100000</v>
      </c>
      <c r="K69" s="78">
        <v>0</v>
      </c>
      <c r="L69" s="79">
        <f t="shared" si="35"/>
        <v>0</v>
      </c>
      <c r="M69" s="78">
        <v>0</v>
      </c>
      <c r="N69" s="79">
        <f t="shared" si="36"/>
        <v>0</v>
      </c>
      <c r="O69" s="80">
        <v>1</v>
      </c>
      <c r="P69" s="81">
        <f t="shared" si="37"/>
        <v>100000</v>
      </c>
      <c r="Q69" s="80"/>
      <c r="R69" s="81">
        <f t="shared" si="38"/>
        <v>0</v>
      </c>
      <c r="S69" s="80"/>
      <c r="T69" s="81">
        <f t="shared" si="39"/>
        <v>0</v>
      </c>
      <c r="U69" s="81">
        <f t="shared" ref="U69:U123" si="40">+L69+N69+P69+R69+T69</f>
        <v>100000</v>
      </c>
      <c r="V69" s="106" t="s">
        <v>132</v>
      </c>
    </row>
    <row r="70" spans="2:23" ht="45.75" customHeight="1" x14ac:dyDescent="0.25">
      <c r="B70" s="521"/>
      <c r="C70" s="511"/>
      <c r="D70" s="66" t="s">
        <v>95</v>
      </c>
      <c r="E70" s="317" t="s">
        <v>128</v>
      </c>
      <c r="F70" s="66" t="s">
        <v>31</v>
      </c>
      <c r="G70" s="93" t="s">
        <v>53</v>
      </c>
      <c r="H70" s="94" t="s">
        <v>470</v>
      </c>
      <c r="I70" s="82" t="s">
        <v>76</v>
      </c>
      <c r="J70" s="78">
        <v>750</v>
      </c>
      <c r="K70" s="78">
        <v>0</v>
      </c>
      <c r="L70" s="79">
        <f>+J70*K70</f>
        <v>0</v>
      </c>
      <c r="M70" s="78">
        <v>400</v>
      </c>
      <c r="N70" s="79">
        <f>+$J70*M70</f>
        <v>300000</v>
      </c>
      <c r="O70" s="80">
        <v>400</v>
      </c>
      <c r="P70" s="81">
        <f t="shared" si="37"/>
        <v>300000</v>
      </c>
      <c r="Q70" s="80">
        <v>0</v>
      </c>
      <c r="R70" s="81">
        <f t="shared" si="38"/>
        <v>0</v>
      </c>
      <c r="S70" s="80">
        <v>0</v>
      </c>
      <c r="T70" s="81">
        <f t="shared" si="39"/>
        <v>0</v>
      </c>
      <c r="U70" s="81">
        <f t="shared" si="40"/>
        <v>600000</v>
      </c>
      <c r="V70" s="106" t="s">
        <v>133</v>
      </c>
    </row>
    <row r="71" spans="2:23" ht="45.75" customHeight="1" x14ac:dyDescent="0.25">
      <c r="B71" s="521"/>
      <c r="C71" s="511"/>
      <c r="D71" s="66" t="s">
        <v>95</v>
      </c>
      <c r="E71" s="320" t="s">
        <v>128</v>
      </c>
      <c r="F71" s="66" t="s">
        <v>31</v>
      </c>
      <c r="G71" s="82" t="s">
        <v>45</v>
      </c>
      <c r="H71" s="94" t="s">
        <v>522</v>
      </c>
      <c r="I71" s="82" t="s">
        <v>134</v>
      </c>
      <c r="J71" s="78">
        <v>7798</v>
      </c>
      <c r="K71" s="78">
        <v>1</v>
      </c>
      <c r="L71" s="79">
        <f t="shared" ref="L71" si="41">+J71*K71</f>
        <v>7798</v>
      </c>
      <c r="M71" s="78">
        <v>1</v>
      </c>
      <c r="N71" s="79">
        <f t="shared" si="36"/>
        <v>7798</v>
      </c>
      <c r="O71" s="80">
        <v>1</v>
      </c>
      <c r="P71" s="81">
        <f t="shared" si="37"/>
        <v>7798</v>
      </c>
      <c r="Q71" s="80">
        <v>1</v>
      </c>
      <c r="R71" s="81">
        <f t="shared" si="38"/>
        <v>7798</v>
      </c>
      <c r="S71" s="80">
        <v>1</v>
      </c>
      <c r="T71" s="81">
        <f t="shared" si="39"/>
        <v>7798</v>
      </c>
      <c r="U71" s="81">
        <f t="shared" si="40"/>
        <v>38990</v>
      </c>
      <c r="V71" s="106" t="s">
        <v>135</v>
      </c>
    </row>
    <row r="72" spans="2:23" ht="18" customHeight="1" thickBot="1" x14ac:dyDescent="0.3">
      <c r="B72" s="418" t="s">
        <v>136</v>
      </c>
      <c r="C72" s="419"/>
      <c r="D72" s="420"/>
      <c r="E72" s="419"/>
      <c r="F72" s="420"/>
      <c r="G72" s="420"/>
      <c r="H72" s="420"/>
      <c r="I72" s="324"/>
      <c r="J72" s="325"/>
      <c r="K72" s="325"/>
      <c r="L72" s="326">
        <f>+SUM(L67:L71)</f>
        <v>25798</v>
      </c>
      <c r="M72" s="325"/>
      <c r="N72" s="326">
        <f>+SUM(N67:N71)</f>
        <v>343798</v>
      </c>
      <c r="O72" s="327"/>
      <c r="P72" s="328">
        <f>+SUM(P67:P71)</f>
        <v>443798</v>
      </c>
      <c r="Q72" s="327"/>
      <c r="R72" s="328">
        <f>+SUM(R67:R71)</f>
        <v>43798</v>
      </c>
      <c r="S72" s="327"/>
      <c r="T72" s="328">
        <f>+SUM(T67:T71)</f>
        <v>25798</v>
      </c>
      <c r="U72" s="328">
        <f>+SUM(U67:U71)</f>
        <v>882990</v>
      </c>
      <c r="V72" s="329"/>
    </row>
    <row r="73" spans="2:23" ht="18" customHeight="1" x14ac:dyDescent="0.25">
      <c r="B73" s="407" t="s">
        <v>137</v>
      </c>
      <c r="C73" s="408"/>
      <c r="D73" s="408"/>
      <c r="E73" s="408"/>
      <c r="F73" s="428" t="s">
        <v>31</v>
      </c>
      <c r="G73" s="429"/>
      <c r="H73" s="430"/>
      <c r="I73" s="352"/>
      <c r="J73" s="353"/>
      <c r="K73" s="353"/>
      <c r="L73" s="354">
        <f>L60+L66+L72</f>
        <v>889466</v>
      </c>
      <c r="M73" s="354"/>
      <c r="N73" s="354">
        <f>N60+N66+N72</f>
        <v>1146666</v>
      </c>
      <c r="O73" s="354"/>
      <c r="P73" s="354">
        <f>P60+P66+P72</f>
        <v>1249434</v>
      </c>
      <c r="Q73" s="354"/>
      <c r="R73" s="354">
        <f>R60+R66+R72</f>
        <v>801666</v>
      </c>
      <c r="S73" s="354"/>
      <c r="T73" s="354">
        <f>T60+T66+T72</f>
        <v>219866</v>
      </c>
      <c r="U73" s="354">
        <f>U60+U66+U72</f>
        <v>4307098</v>
      </c>
      <c r="V73" s="355"/>
    </row>
    <row r="74" spans="2:23" ht="18" customHeight="1" x14ac:dyDescent="0.25">
      <c r="B74" s="409"/>
      <c r="C74" s="410"/>
      <c r="D74" s="410"/>
      <c r="E74" s="410"/>
      <c r="F74" s="431" t="s">
        <v>687</v>
      </c>
      <c r="G74" s="432"/>
      <c r="H74" s="433"/>
      <c r="I74" s="356"/>
      <c r="J74" s="357"/>
      <c r="K74" s="357"/>
      <c r="L74" s="358">
        <v>0</v>
      </c>
      <c r="M74" s="358"/>
      <c r="N74" s="358">
        <v>0</v>
      </c>
      <c r="O74" s="358"/>
      <c r="P74" s="358">
        <v>0</v>
      </c>
      <c r="Q74" s="358"/>
      <c r="R74" s="358">
        <v>0</v>
      </c>
      <c r="S74" s="358"/>
      <c r="T74" s="358">
        <v>0</v>
      </c>
      <c r="U74" s="358">
        <v>0</v>
      </c>
      <c r="V74" s="359"/>
    </row>
    <row r="75" spans="2:23" ht="18" customHeight="1" thickBot="1" x14ac:dyDescent="0.3">
      <c r="B75" s="411"/>
      <c r="C75" s="412"/>
      <c r="D75" s="412"/>
      <c r="E75" s="412"/>
      <c r="F75" s="425" t="s">
        <v>688</v>
      </c>
      <c r="G75" s="426"/>
      <c r="H75" s="427"/>
      <c r="I75" s="366"/>
      <c r="J75" s="367"/>
      <c r="K75" s="367"/>
      <c r="L75" s="368">
        <v>0</v>
      </c>
      <c r="M75" s="367"/>
      <c r="N75" s="368">
        <v>0</v>
      </c>
      <c r="O75" s="369"/>
      <c r="P75" s="368">
        <v>0</v>
      </c>
      <c r="Q75" s="369"/>
      <c r="R75" s="368">
        <v>0</v>
      </c>
      <c r="S75" s="369"/>
      <c r="T75" s="368">
        <v>0</v>
      </c>
      <c r="U75" s="368">
        <v>0</v>
      </c>
      <c r="V75" s="370"/>
      <c r="W75" s="43"/>
    </row>
    <row r="76" spans="2:23" ht="18" customHeight="1" thickBot="1" x14ac:dyDescent="0.3">
      <c r="B76" s="522" t="s">
        <v>137</v>
      </c>
      <c r="C76" s="523"/>
      <c r="D76" s="523"/>
      <c r="E76" s="523"/>
      <c r="F76" s="523"/>
      <c r="G76" s="523"/>
      <c r="H76" s="524"/>
      <c r="I76" s="330"/>
      <c r="J76" s="331"/>
      <c r="K76" s="331"/>
      <c r="L76" s="332">
        <f>L73+L75</f>
        <v>889466</v>
      </c>
      <c r="M76" s="331"/>
      <c r="N76" s="332">
        <f>N73+N75</f>
        <v>1146666</v>
      </c>
      <c r="O76" s="333"/>
      <c r="P76" s="332">
        <f>P73+P75</f>
        <v>1249434</v>
      </c>
      <c r="Q76" s="333"/>
      <c r="R76" s="332">
        <f>R73+R75</f>
        <v>801666</v>
      </c>
      <c r="S76" s="333"/>
      <c r="T76" s="332">
        <f>T73+T75</f>
        <v>219866</v>
      </c>
      <c r="U76" s="332">
        <f>U73+U75</f>
        <v>4307098</v>
      </c>
      <c r="V76" s="334"/>
      <c r="W76" s="43"/>
    </row>
    <row r="77" spans="2:23" ht="18" customHeight="1" x14ac:dyDescent="0.25">
      <c r="B77" s="442" t="s">
        <v>138</v>
      </c>
      <c r="C77" s="443"/>
      <c r="D77" s="443"/>
      <c r="E77" s="444"/>
      <c r="F77" s="439" t="s">
        <v>31</v>
      </c>
      <c r="G77" s="439"/>
      <c r="H77" s="439"/>
      <c r="I77" s="342"/>
      <c r="J77" s="343"/>
      <c r="K77" s="343"/>
      <c r="L77" s="344">
        <f>L73+L43</f>
        <v>3095766.75</v>
      </c>
      <c r="M77" s="343"/>
      <c r="N77" s="344">
        <f>N73+N43</f>
        <v>5233366.75</v>
      </c>
      <c r="O77" s="345"/>
      <c r="P77" s="344">
        <f>P73+P43</f>
        <v>4800298.75</v>
      </c>
      <c r="Q77" s="345"/>
      <c r="R77" s="344">
        <f>R73+R43</f>
        <v>1915766.75</v>
      </c>
      <c r="S77" s="345"/>
      <c r="T77" s="344">
        <f>T73+T43</f>
        <v>574430.75</v>
      </c>
      <c r="U77" s="344">
        <f>U73+U43</f>
        <v>15619629.75</v>
      </c>
      <c r="V77" s="346"/>
      <c r="W77" s="43"/>
    </row>
    <row r="78" spans="2:23" ht="18" customHeight="1" x14ac:dyDescent="0.25">
      <c r="B78" s="445"/>
      <c r="C78" s="446"/>
      <c r="D78" s="446"/>
      <c r="E78" s="447"/>
      <c r="F78" s="451" t="s">
        <v>691</v>
      </c>
      <c r="G78" s="451"/>
      <c r="H78" s="451"/>
      <c r="I78" s="309"/>
      <c r="J78" s="310"/>
      <c r="K78" s="310"/>
      <c r="L78" s="311">
        <v>0</v>
      </c>
      <c r="M78" s="310"/>
      <c r="N78" s="311">
        <v>0</v>
      </c>
      <c r="O78" s="312"/>
      <c r="P78" s="311">
        <v>0</v>
      </c>
      <c r="Q78" s="312"/>
      <c r="R78" s="311">
        <v>0</v>
      </c>
      <c r="S78" s="312"/>
      <c r="T78" s="311">
        <v>0</v>
      </c>
      <c r="U78" s="311">
        <v>0</v>
      </c>
      <c r="V78" s="173"/>
      <c r="W78" s="43"/>
    </row>
    <row r="79" spans="2:23" ht="18" customHeight="1" thickBot="1" x14ac:dyDescent="0.3">
      <c r="B79" s="448"/>
      <c r="C79" s="449"/>
      <c r="D79" s="449"/>
      <c r="E79" s="450"/>
      <c r="F79" s="452" t="s">
        <v>683</v>
      </c>
      <c r="G79" s="452"/>
      <c r="H79" s="452"/>
      <c r="I79" s="347"/>
      <c r="J79" s="348"/>
      <c r="K79" s="348"/>
      <c r="L79" s="349">
        <v>0</v>
      </c>
      <c r="M79" s="348"/>
      <c r="N79" s="349">
        <v>0</v>
      </c>
      <c r="O79" s="350"/>
      <c r="P79" s="349">
        <v>0</v>
      </c>
      <c r="Q79" s="350"/>
      <c r="R79" s="349">
        <v>0</v>
      </c>
      <c r="S79" s="350"/>
      <c r="T79" s="349">
        <v>0</v>
      </c>
      <c r="U79" s="349">
        <v>0</v>
      </c>
      <c r="V79" s="351"/>
      <c r="W79" s="43"/>
    </row>
    <row r="80" spans="2:23" s="271" customFormat="1" ht="18" customHeight="1" thickBot="1" x14ac:dyDescent="0.3">
      <c r="B80" s="413" t="s">
        <v>138</v>
      </c>
      <c r="C80" s="414"/>
      <c r="D80" s="414"/>
      <c r="E80" s="414"/>
      <c r="F80" s="414"/>
      <c r="G80" s="414"/>
      <c r="H80" s="415"/>
      <c r="I80" s="272"/>
      <c r="J80" s="273"/>
      <c r="K80" s="273"/>
      <c r="L80" s="274">
        <f>L46+L76</f>
        <v>3095766.75</v>
      </c>
      <c r="M80" s="275"/>
      <c r="N80" s="274">
        <f>N46+N76</f>
        <v>5233366.75</v>
      </c>
      <c r="O80" s="275"/>
      <c r="P80" s="274">
        <f>P46+P76</f>
        <v>4800298.75</v>
      </c>
      <c r="Q80" s="275"/>
      <c r="R80" s="274">
        <f>R46+R76</f>
        <v>1915766.75</v>
      </c>
      <c r="S80" s="275"/>
      <c r="T80" s="274">
        <f>T46+T76</f>
        <v>574430.75</v>
      </c>
      <c r="U80" s="274">
        <f>U46+U76</f>
        <v>15619629.75</v>
      </c>
      <c r="V80" s="276"/>
    </row>
    <row r="81" spans="2:22" ht="61.5" customHeight="1" x14ac:dyDescent="0.25">
      <c r="B81" s="505" t="s">
        <v>139</v>
      </c>
      <c r="C81" s="416" t="s">
        <v>523</v>
      </c>
      <c r="D81" s="118" t="s">
        <v>140</v>
      </c>
      <c r="E81" s="115" t="s">
        <v>141</v>
      </c>
      <c r="F81" s="118" t="s">
        <v>31</v>
      </c>
      <c r="G81" s="118" t="s">
        <v>49</v>
      </c>
      <c r="H81" s="128" t="s">
        <v>693</v>
      </c>
      <c r="I81" s="129" t="s">
        <v>142</v>
      </c>
      <c r="J81" s="130">
        <v>50</v>
      </c>
      <c r="K81" s="130">
        <v>1000</v>
      </c>
      <c r="L81" s="131">
        <f t="shared" ref="L81" si="42">+J81*K81</f>
        <v>50000</v>
      </c>
      <c r="M81" s="130">
        <v>1000</v>
      </c>
      <c r="N81" s="131">
        <f t="shared" ref="N81" si="43">+$J81*M81</f>
        <v>50000</v>
      </c>
      <c r="O81" s="132">
        <v>1100</v>
      </c>
      <c r="P81" s="133">
        <f t="shared" ref="P81" si="44">+$J81*O81</f>
        <v>55000</v>
      </c>
      <c r="Q81" s="132">
        <v>1100</v>
      </c>
      <c r="R81" s="133">
        <f t="shared" ref="R81" si="45">+$J81*Q81</f>
        <v>55000</v>
      </c>
      <c r="S81" s="132">
        <v>1000</v>
      </c>
      <c r="T81" s="133">
        <f t="shared" ref="T81" si="46">+$J81*S81</f>
        <v>50000</v>
      </c>
      <c r="U81" s="133">
        <f t="shared" ref="U81" si="47">+L81+N81+P81+R81+T81</f>
        <v>260000</v>
      </c>
      <c r="V81" s="175" t="s">
        <v>143</v>
      </c>
    </row>
    <row r="82" spans="2:22" s="9" customFormat="1" ht="61.5" customHeight="1" x14ac:dyDescent="0.25">
      <c r="B82" s="441"/>
      <c r="C82" s="417"/>
      <c r="D82" s="68" t="s">
        <v>140</v>
      </c>
      <c r="E82" s="320" t="s">
        <v>141</v>
      </c>
      <c r="F82" s="317" t="s">
        <v>687</v>
      </c>
      <c r="G82" s="67" t="s">
        <v>32</v>
      </c>
      <c r="H82" s="317" t="s">
        <v>466</v>
      </c>
      <c r="I82" s="83" t="s">
        <v>34</v>
      </c>
      <c r="J82" s="71">
        <v>4000</v>
      </c>
      <c r="K82" s="71">
        <v>480</v>
      </c>
      <c r="L82" s="72">
        <f t="shared" ref="L82" si="48">+J82*K82</f>
        <v>1920000</v>
      </c>
      <c r="M82" s="71">
        <v>480</v>
      </c>
      <c r="N82" s="72">
        <f t="shared" ref="N82" si="49">+$J82*M82</f>
        <v>1920000</v>
      </c>
      <c r="O82" s="71">
        <v>480</v>
      </c>
      <c r="P82" s="72">
        <f t="shared" ref="P82" si="50">+$J82*O82</f>
        <v>1920000</v>
      </c>
      <c r="Q82" s="71">
        <v>480</v>
      </c>
      <c r="R82" s="72">
        <f t="shared" ref="R82" si="51">+$J82*Q82</f>
        <v>1920000</v>
      </c>
      <c r="S82" s="71">
        <v>480</v>
      </c>
      <c r="T82" s="72">
        <f t="shared" ref="T82" si="52">+$J82*S82</f>
        <v>1920000</v>
      </c>
      <c r="U82" s="72">
        <f t="shared" ref="U82" si="53">+L82+N82+P82+R82+T82</f>
        <v>9600000</v>
      </c>
      <c r="V82" s="105" t="s">
        <v>144</v>
      </c>
    </row>
    <row r="83" spans="2:22" s="9" customFormat="1" ht="67.5" customHeight="1" x14ac:dyDescent="0.25">
      <c r="B83" s="441"/>
      <c r="C83" s="417"/>
      <c r="D83" s="68" t="s">
        <v>140</v>
      </c>
      <c r="E83" s="320" t="s">
        <v>141</v>
      </c>
      <c r="F83" s="317" t="s">
        <v>687</v>
      </c>
      <c r="G83" s="67" t="s">
        <v>32</v>
      </c>
      <c r="H83" s="317" t="s">
        <v>467</v>
      </c>
      <c r="I83" s="83" t="s">
        <v>34</v>
      </c>
      <c r="J83" s="71">
        <v>1000</v>
      </c>
      <c r="K83" s="71">
        <v>1920</v>
      </c>
      <c r="L83" s="72">
        <f t="shared" ref="L83:L91" si="54">+J83*K83</f>
        <v>1920000</v>
      </c>
      <c r="M83" s="71">
        <v>1920</v>
      </c>
      <c r="N83" s="72">
        <f t="shared" ref="N83:N91" si="55">+$J83*M83</f>
        <v>1920000</v>
      </c>
      <c r="O83" s="71">
        <v>1920</v>
      </c>
      <c r="P83" s="72">
        <f t="shared" ref="P83:P91" si="56">+$J83*O83</f>
        <v>1920000</v>
      </c>
      <c r="Q83" s="71">
        <v>1920</v>
      </c>
      <c r="R83" s="72">
        <f t="shared" ref="R83:R91" si="57">+$J83*Q83</f>
        <v>1920000</v>
      </c>
      <c r="S83" s="71">
        <v>1920</v>
      </c>
      <c r="T83" s="72">
        <f t="shared" ref="T83:T91" si="58">+$J83*S83</f>
        <v>1920000</v>
      </c>
      <c r="U83" s="72">
        <f>+L83+N83+P83+R83+T83</f>
        <v>9600000</v>
      </c>
      <c r="V83" s="105" t="s">
        <v>145</v>
      </c>
    </row>
    <row r="84" spans="2:22" s="9" customFormat="1" ht="54" customHeight="1" x14ac:dyDescent="0.25">
      <c r="B84" s="441"/>
      <c r="C84" s="417"/>
      <c r="D84" s="68" t="s">
        <v>140</v>
      </c>
      <c r="E84" s="320" t="s">
        <v>141</v>
      </c>
      <c r="F84" s="317" t="s">
        <v>687</v>
      </c>
      <c r="G84" s="67" t="s">
        <v>146</v>
      </c>
      <c r="H84" s="317" t="s">
        <v>147</v>
      </c>
      <c r="I84" s="83" t="s">
        <v>34</v>
      </c>
      <c r="J84" s="80">
        <v>2000</v>
      </c>
      <c r="K84" s="80">
        <v>12</v>
      </c>
      <c r="L84" s="81">
        <f t="shared" si="54"/>
        <v>24000</v>
      </c>
      <c r="M84" s="80">
        <v>12</v>
      </c>
      <c r="N84" s="81">
        <f t="shared" si="55"/>
        <v>24000</v>
      </c>
      <c r="O84" s="80">
        <v>12</v>
      </c>
      <c r="P84" s="81">
        <f t="shared" si="56"/>
        <v>24000</v>
      </c>
      <c r="Q84" s="80">
        <v>12</v>
      </c>
      <c r="R84" s="81">
        <f t="shared" si="57"/>
        <v>24000</v>
      </c>
      <c r="S84" s="80">
        <v>12</v>
      </c>
      <c r="T84" s="81">
        <f t="shared" si="58"/>
        <v>24000</v>
      </c>
      <c r="U84" s="72">
        <f t="shared" si="40"/>
        <v>120000</v>
      </c>
      <c r="V84" s="105" t="s">
        <v>148</v>
      </c>
    </row>
    <row r="85" spans="2:22" s="9" customFormat="1" ht="23.25" customHeight="1" x14ac:dyDescent="0.25">
      <c r="B85" s="441"/>
      <c r="C85" s="417"/>
      <c r="D85" s="68" t="s">
        <v>140</v>
      </c>
      <c r="E85" s="320" t="s">
        <v>141</v>
      </c>
      <c r="F85" s="317" t="s">
        <v>687</v>
      </c>
      <c r="G85" s="67" t="s">
        <v>41</v>
      </c>
      <c r="H85" s="317" t="s">
        <v>149</v>
      </c>
      <c r="I85" s="83" t="s">
        <v>43</v>
      </c>
      <c r="J85" s="80">
        <v>50</v>
      </c>
      <c r="K85" s="80">
        <v>4720</v>
      </c>
      <c r="L85" s="81">
        <f t="shared" si="54"/>
        <v>236000</v>
      </c>
      <c r="M85" s="80">
        <v>4720</v>
      </c>
      <c r="N85" s="81">
        <f t="shared" si="55"/>
        <v>236000</v>
      </c>
      <c r="O85" s="80">
        <v>4720</v>
      </c>
      <c r="P85" s="81">
        <f t="shared" si="56"/>
        <v>236000</v>
      </c>
      <c r="Q85" s="80">
        <v>4720</v>
      </c>
      <c r="R85" s="81">
        <f t="shared" si="57"/>
        <v>236000</v>
      </c>
      <c r="S85" s="80">
        <v>4720</v>
      </c>
      <c r="T85" s="81">
        <f t="shared" si="58"/>
        <v>236000</v>
      </c>
      <c r="U85" s="81">
        <f t="shared" si="40"/>
        <v>1180000</v>
      </c>
      <c r="V85" s="105" t="s">
        <v>150</v>
      </c>
    </row>
    <row r="86" spans="2:22" ht="22.5" customHeight="1" thickBot="1" x14ac:dyDescent="0.3">
      <c r="B86" s="418" t="s">
        <v>151</v>
      </c>
      <c r="C86" s="419"/>
      <c r="D86" s="420"/>
      <c r="E86" s="419"/>
      <c r="F86" s="420"/>
      <c r="G86" s="420"/>
      <c r="H86" s="420"/>
      <c r="I86" s="324"/>
      <c r="J86" s="325"/>
      <c r="K86" s="325"/>
      <c r="L86" s="326">
        <f>SUM(L81:L85)</f>
        <v>4150000</v>
      </c>
      <c r="M86" s="326"/>
      <c r="N86" s="326">
        <f t="shared" ref="N86:P86" si="59">SUM(N81:N85)</f>
        <v>4150000</v>
      </c>
      <c r="O86" s="328"/>
      <c r="P86" s="328">
        <f t="shared" si="59"/>
        <v>4155000</v>
      </c>
      <c r="Q86" s="328"/>
      <c r="R86" s="328">
        <f>SUM(R81:R85)</f>
        <v>4155000</v>
      </c>
      <c r="S86" s="328"/>
      <c r="T86" s="328">
        <f>SUM(T81:T85)</f>
        <v>4150000</v>
      </c>
      <c r="U86" s="328">
        <f>SUM(U81:U85)</f>
        <v>20760000</v>
      </c>
      <c r="V86" s="329"/>
    </row>
    <row r="87" spans="2:22" ht="38.25" customHeight="1" x14ac:dyDescent="0.25">
      <c r="B87" s="505" t="s">
        <v>139</v>
      </c>
      <c r="C87" s="437" t="s">
        <v>523</v>
      </c>
      <c r="D87" s="118" t="s">
        <v>140</v>
      </c>
      <c r="E87" s="115" t="s">
        <v>152</v>
      </c>
      <c r="F87" s="116" t="s">
        <v>31</v>
      </c>
      <c r="G87" s="117" t="s">
        <v>32</v>
      </c>
      <c r="H87" s="118" t="s">
        <v>153</v>
      </c>
      <c r="I87" s="116" t="s">
        <v>34</v>
      </c>
      <c r="J87" s="124">
        <v>3000</v>
      </c>
      <c r="K87" s="124">
        <v>12</v>
      </c>
      <c r="L87" s="120">
        <f t="shared" si="54"/>
        <v>36000</v>
      </c>
      <c r="M87" s="124">
        <v>12</v>
      </c>
      <c r="N87" s="120">
        <f t="shared" si="55"/>
        <v>36000</v>
      </c>
      <c r="O87" s="125">
        <v>12</v>
      </c>
      <c r="P87" s="122">
        <f t="shared" si="56"/>
        <v>36000</v>
      </c>
      <c r="Q87" s="125">
        <v>12</v>
      </c>
      <c r="R87" s="122">
        <f t="shared" si="57"/>
        <v>36000</v>
      </c>
      <c r="S87" s="125"/>
      <c r="T87" s="122">
        <f t="shared" si="58"/>
        <v>0</v>
      </c>
      <c r="U87" s="122">
        <f t="shared" ref="U87" si="60">+L87+N87+P87+R87+T87</f>
        <v>144000</v>
      </c>
      <c r="V87" s="175" t="s">
        <v>154</v>
      </c>
    </row>
    <row r="88" spans="2:22" ht="87" customHeight="1" x14ac:dyDescent="0.25">
      <c r="B88" s="506"/>
      <c r="C88" s="438"/>
      <c r="D88" s="68" t="s">
        <v>140</v>
      </c>
      <c r="E88" s="320" t="s">
        <v>152</v>
      </c>
      <c r="F88" s="66" t="s">
        <v>31</v>
      </c>
      <c r="G88" s="84" t="s">
        <v>165</v>
      </c>
      <c r="H88" s="74" t="s">
        <v>471</v>
      </c>
      <c r="I88" s="69" t="s">
        <v>76</v>
      </c>
      <c r="J88" s="69">
        <v>101661</v>
      </c>
      <c r="K88" s="69">
        <v>1</v>
      </c>
      <c r="L88" s="70">
        <f t="shared" si="54"/>
        <v>101661</v>
      </c>
      <c r="M88" s="69"/>
      <c r="N88" s="70">
        <f t="shared" si="55"/>
        <v>0</v>
      </c>
      <c r="O88" s="71"/>
      <c r="P88" s="72">
        <f t="shared" si="56"/>
        <v>0</v>
      </c>
      <c r="Q88" s="71"/>
      <c r="R88" s="72">
        <f t="shared" si="57"/>
        <v>0</v>
      </c>
      <c r="S88" s="71"/>
      <c r="T88" s="72">
        <f t="shared" si="58"/>
        <v>0</v>
      </c>
      <c r="U88" s="72">
        <f t="shared" si="40"/>
        <v>101661</v>
      </c>
      <c r="V88" s="105" t="s">
        <v>155</v>
      </c>
    </row>
    <row r="89" spans="2:22" ht="44.25" customHeight="1" x14ac:dyDescent="0.25">
      <c r="B89" s="506"/>
      <c r="C89" s="438"/>
      <c r="D89" s="68" t="s">
        <v>140</v>
      </c>
      <c r="E89" s="320" t="s">
        <v>152</v>
      </c>
      <c r="F89" s="82" t="s">
        <v>31</v>
      </c>
      <c r="G89" s="67" t="s">
        <v>45</v>
      </c>
      <c r="H89" s="68" t="s">
        <v>156</v>
      </c>
      <c r="I89" s="69" t="s">
        <v>47</v>
      </c>
      <c r="J89" s="69">
        <v>1200</v>
      </c>
      <c r="K89" s="69">
        <v>2</v>
      </c>
      <c r="L89" s="70">
        <f t="shared" si="54"/>
        <v>2400</v>
      </c>
      <c r="M89" s="69">
        <v>2</v>
      </c>
      <c r="N89" s="70">
        <f t="shared" si="55"/>
        <v>2400</v>
      </c>
      <c r="O89" s="71">
        <v>2</v>
      </c>
      <c r="P89" s="72">
        <f t="shared" si="56"/>
        <v>2400</v>
      </c>
      <c r="Q89" s="71">
        <v>2</v>
      </c>
      <c r="R89" s="72">
        <f t="shared" si="57"/>
        <v>2400</v>
      </c>
      <c r="S89" s="71">
        <v>2</v>
      </c>
      <c r="T89" s="72">
        <f t="shared" si="58"/>
        <v>2400</v>
      </c>
      <c r="U89" s="72">
        <f t="shared" si="40"/>
        <v>12000</v>
      </c>
      <c r="V89" s="105" t="s">
        <v>157</v>
      </c>
    </row>
    <row r="90" spans="2:22" ht="63.75" customHeight="1" x14ac:dyDescent="0.25">
      <c r="B90" s="506"/>
      <c r="C90" s="438"/>
      <c r="D90" s="68" t="s">
        <v>140</v>
      </c>
      <c r="E90" s="320" t="s">
        <v>152</v>
      </c>
      <c r="F90" s="66" t="s">
        <v>31</v>
      </c>
      <c r="G90" s="67" t="s">
        <v>45</v>
      </c>
      <c r="H90" s="68" t="s">
        <v>158</v>
      </c>
      <c r="I90" s="69" t="s">
        <v>47</v>
      </c>
      <c r="J90" s="69">
        <v>5500</v>
      </c>
      <c r="K90" s="69"/>
      <c r="L90" s="70">
        <v>0</v>
      </c>
      <c r="M90" s="69">
        <v>1</v>
      </c>
      <c r="N90" s="70">
        <f t="shared" si="55"/>
        <v>5500</v>
      </c>
      <c r="O90" s="71">
        <v>1</v>
      </c>
      <c r="P90" s="72">
        <f t="shared" si="56"/>
        <v>5500</v>
      </c>
      <c r="Q90" s="71"/>
      <c r="R90" s="72">
        <f t="shared" si="57"/>
        <v>0</v>
      </c>
      <c r="S90" s="71">
        <v>1</v>
      </c>
      <c r="T90" s="72">
        <f t="shared" si="58"/>
        <v>5500</v>
      </c>
      <c r="U90" s="72">
        <f t="shared" si="40"/>
        <v>16500</v>
      </c>
      <c r="V90" s="105" t="s">
        <v>159</v>
      </c>
    </row>
    <row r="91" spans="2:22" ht="22.5" customHeight="1" x14ac:dyDescent="0.25">
      <c r="B91" s="506"/>
      <c r="C91" s="438"/>
      <c r="D91" s="68" t="s">
        <v>140</v>
      </c>
      <c r="E91" s="320" t="s">
        <v>152</v>
      </c>
      <c r="F91" s="66" t="s">
        <v>31</v>
      </c>
      <c r="G91" s="67" t="s">
        <v>41</v>
      </c>
      <c r="H91" s="68" t="s">
        <v>160</v>
      </c>
      <c r="I91" s="82" t="s">
        <v>43</v>
      </c>
      <c r="J91" s="75">
        <v>100</v>
      </c>
      <c r="K91" s="69">
        <v>200</v>
      </c>
      <c r="L91" s="70">
        <f t="shared" si="54"/>
        <v>20000</v>
      </c>
      <c r="M91" s="69">
        <v>200</v>
      </c>
      <c r="N91" s="70">
        <f t="shared" si="55"/>
        <v>20000</v>
      </c>
      <c r="O91" s="71">
        <v>100</v>
      </c>
      <c r="P91" s="72">
        <f t="shared" si="56"/>
        <v>10000</v>
      </c>
      <c r="Q91" s="71">
        <v>100</v>
      </c>
      <c r="R91" s="72">
        <f t="shared" si="57"/>
        <v>10000</v>
      </c>
      <c r="S91" s="71">
        <v>100</v>
      </c>
      <c r="T91" s="72">
        <f t="shared" si="58"/>
        <v>10000</v>
      </c>
      <c r="U91" s="72">
        <f t="shared" si="40"/>
        <v>70000</v>
      </c>
      <c r="V91" s="105" t="s">
        <v>161</v>
      </c>
    </row>
    <row r="92" spans="2:22" ht="22.5" customHeight="1" x14ac:dyDescent="0.25">
      <c r="B92" s="506"/>
      <c r="C92" s="438"/>
      <c r="D92" s="68" t="s">
        <v>140</v>
      </c>
      <c r="E92" s="320" t="s">
        <v>152</v>
      </c>
      <c r="F92" s="66" t="s">
        <v>31</v>
      </c>
      <c r="G92" s="67" t="s">
        <v>41</v>
      </c>
      <c r="H92" s="68" t="s">
        <v>42</v>
      </c>
      <c r="I92" s="82" t="s">
        <v>43</v>
      </c>
      <c r="J92" s="75">
        <v>50</v>
      </c>
      <c r="K92" s="69">
        <v>500</v>
      </c>
      <c r="L92" s="70">
        <f t="shared" ref="L92" si="61">+J92*K92</f>
        <v>25000</v>
      </c>
      <c r="M92" s="69">
        <v>600</v>
      </c>
      <c r="N92" s="70">
        <f t="shared" ref="N92" si="62">+$J92*M92</f>
        <v>30000</v>
      </c>
      <c r="O92" s="71">
        <v>600</v>
      </c>
      <c r="P92" s="72">
        <f t="shared" ref="P92" si="63">+$J92*O92</f>
        <v>30000</v>
      </c>
      <c r="Q92" s="71">
        <v>700</v>
      </c>
      <c r="R92" s="72">
        <f t="shared" ref="R92" si="64">+$J92*Q92</f>
        <v>35000</v>
      </c>
      <c r="S92" s="71">
        <v>500</v>
      </c>
      <c r="T92" s="72">
        <f t="shared" ref="T92" si="65">+$J92*S92</f>
        <v>25000</v>
      </c>
      <c r="U92" s="72">
        <f t="shared" ref="U92" si="66">+L92+N92+P92+R92+T92</f>
        <v>145000</v>
      </c>
      <c r="V92" s="176" t="s">
        <v>162</v>
      </c>
    </row>
    <row r="93" spans="2:22" ht="22.5" customHeight="1" thickBot="1" x14ac:dyDescent="0.3">
      <c r="B93" s="418" t="s">
        <v>163</v>
      </c>
      <c r="C93" s="419"/>
      <c r="D93" s="420"/>
      <c r="E93" s="419"/>
      <c r="F93" s="420"/>
      <c r="G93" s="421"/>
      <c r="H93" s="421"/>
      <c r="I93" s="336"/>
      <c r="J93" s="337"/>
      <c r="K93" s="337"/>
      <c r="L93" s="338">
        <f>SUM(L87:L92)</f>
        <v>185061</v>
      </c>
      <c r="M93" s="337"/>
      <c r="N93" s="338">
        <f>SUM(N87:N92)</f>
        <v>93900</v>
      </c>
      <c r="O93" s="339"/>
      <c r="P93" s="340">
        <f>SUM(P87:P92)</f>
        <v>83900</v>
      </c>
      <c r="Q93" s="339"/>
      <c r="R93" s="340">
        <f>SUM(R87:R92)</f>
        <v>83400</v>
      </c>
      <c r="S93" s="339"/>
      <c r="T93" s="340">
        <f>SUM(T87:T92)</f>
        <v>42900</v>
      </c>
      <c r="U93" s="340">
        <f>SUM(U87:U92)</f>
        <v>489161</v>
      </c>
      <c r="V93" s="341"/>
    </row>
    <row r="94" spans="2:22" ht="22.5" customHeight="1" x14ac:dyDescent="0.25">
      <c r="B94" s="319" t="s">
        <v>139</v>
      </c>
      <c r="C94" s="115" t="s">
        <v>139</v>
      </c>
      <c r="D94" s="118" t="s">
        <v>140</v>
      </c>
      <c r="E94" s="115" t="s">
        <v>164</v>
      </c>
      <c r="F94" s="116" t="s">
        <v>31</v>
      </c>
      <c r="G94" s="117" t="s">
        <v>165</v>
      </c>
      <c r="H94" s="118" t="s">
        <v>166</v>
      </c>
      <c r="I94" s="116" t="s">
        <v>167</v>
      </c>
      <c r="J94" s="124">
        <v>1000</v>
      </c>
      <c r="K94" s="125">
        <v>1000</v>
      </c>
      <c r="L94" s="122">
        <f t="shared" ref="L94" si="67">+J94*K94</f>
        <v>1000000</v>
      </c>
      <c r="M94" s="125">
        <v>2000</v>
      </c>
      <c r="N94" s="122">
        <f t="shared" ref="N94" si="68">+$J94*M94</f>
        <v>2000000</v>
      </c>
      <c r="O94" s="125">
        <v>1448</v>
      </c>
      <c r="P94" s="122">
        <f t="shared" ref="P94" si="69">+$J94*O94</f>
        <v>1448000</v>
      </c>
      <c r="Q94" s="125"/>
      <c r="R94" s="122">
        <f t="shared" ref="R94" si="70">+$J94*Q94</f>
        <v>0</v>
      </c>
      <c r="S94" s="125"/>
      <c r="T94" s="122">
        <f t="shared" ref="T94" si="71">+$J94*S94</f>
        <v>0</v>
      </c>
      <c r="U94" s="122">
        <f t="shared" ref="U94" si="72">+L94+N94+P94+R94+T94</f>
        <v>4448000</v>
      </c>
      <c r="V94" s="175" t="s">
        <v>168</v>
      </c>
    </row>
    <row r="95" spans="2:22" ht="22.5" customHeight="1" thickBot="1" x14ac:dyDescent="0.3">
      <c r="B95" s="418" t="s">
        <v>169</v>
      </c>
      <c r="C95" s="419"/>
      <c r="D95" s="420"/>
      <c r="E95" s="419"/>
      <c r="F95" s="420"/>
      <c r="G95" s="420"/>
      <c r="H95" s="420"/>
      <c r="I95" s="324"/>
      <c r="J95" s="325"/>
      <c r="K95" s="325"/>
      <c r="L95" s="326">
        <f>SUM(L94)</f>
        <v>1000000</v>
      </c>
      <c r="M95" s="325"/>
      <c r="N95" s="326">
        <f>SUM(N94)</f>
        <v>2000000</v>
      </c>
      <c r="O95" s="327"/>
      <c r="P95" s="328">
        <f>SUM(P94)</f>
        <v>1448000</v>
      </c>
      <c r="Q95" s="327"/>
      <c r="R95" s="328">
        <f>SUM(R94)</f>
        <v>0</v>
      </c>
      <c r="S95" s="327"/>
      <c r="T95" s="328">
        <f>SUM(T94)</f>
        <v>0</v>
      </c>
      <c r="U95" s="328">
        <f>+U94</f>
        <v>4448000</v>
      </c>
      <c r="V95" s="329"/>
    </row>
    <row r="96" spans="2:22" ht="22.5" customHeight="1" x14ac:dyDescent="0.25">
      <c r="B96" s="460" t="s">
        <v>170</v>
      </c>
      <c r="C96" s="461"/>
      <c r="D96" s="461"/>
      <c r="E96" s="462"/>
      <c r="F96" s="428" t="s">
        <v>31</v>
      </c>
      <c r="G96" s="429"/>
      <c r="H96" s="430"/>
      <c r="I96" s="352"/>
      <c r="J96" s="353"/>
      <c r="K96" s="353"/>
      <c r="L96" s="354">
        <f>L81+L87+L88+L89+L90+L91+L94+L92</f>
        <v>1235061</v>
      </c>
      <c r="M96" s="354"/>
      <c r="N96" s="354">
        <f>N81+N87+N88+N89+N90+N91+N94+N92</f>
        <v>2143900</v>
      </c>
      <c r="O96" s="354"/>
      <c r="P96" s="354">
        <f>P81+P87+P88+P89+P90+P91+P94+P92</f>
        <v>1586900</v>
      </c>
      <c r="Q96" s="354"/>
      <c r="R96" s="354">
        <f>R81+R87+R88+R89+R90+R91+R94+R92</f>
        <v>138400</v>
      </c>
      <c r="S96" s="354"/>
      <c r="T96" s="354">
        <f>T81+T87+T88+T89+T90+T91+T94+T92</f>
        <v>92900</v>
      </c>
      <c r="U96" s="354">
        <f>U93+U95+U81</f>
        <v>5197161</v>
      </c>
      <c r="V96" s="355"/>
    </row>
    <row r="97" spans="2:22" ht="22.5" customHeight="1" x14ac:dyDescent="0.25">
      <c r="B97" s="463"/>
      <c r="C97" s="464"/>
      <c r="D97" s="464"/>
      <c r="E97" s="465"/>
      <c r="F97" s="431" t="s">
        <v>687</v>
      </c>
      <c r="G97" s="432"/>
      <c r="H97" s="433"/>
      <c r="I97" s="356"/>
      <c r="J97" s="357"/>
      <c r="K97" s="357"/>
      <c r="L97" s="358">
        <f>L82+L83+L84+L85</f>
        <v>4100000</v>
      </c>
      <c r="M97" s="357"/>
      <c r="N97" s="358">
        <f>N82+N83+N84+N85</f>
        <v>4100000</v>
      </c>
      <c r="O97" s="371"/>
      <c r="P97" s="358">
        <f>P82+P83+P84+P85</f>
        <v>4100000</v>
      </c>
      <c r="Q97" s="371"/>
      <c r="R97" s="358">
        <f>R82+R83+R84+R85</f>
        <v>4100000</v>
      </c>
      <c r="S97" s="371"/>
      <c r="T97" s="358">
        <f>T82+T83+T84+T85</f>
        <v>4100000</v>
      </c>
      <c r="U97" s="358">
        <f>U86-U81</f>
        <v>20500000</v>
      </c>
      <c r="V97" s="359"/>
    </row>
    <row r="98" spans="2:22" ht="22.5" customHeight="1" thickBot="1" x14ac:dyDescent="0.3">
      <c r="B98" s="466"/>
      <c r="C98" s="467"/>
      <c r="D98" s="467"/>
      <c r="E98" s="468"/>
      <c r="F98" s="457" t="s">
        <v>689</v>
      </c>
      <c r="G98" s="458"/>
      <c r="H98" s="459"/>
      <c r="I98" s="360"/>
      <c r="J98" s="361"/>
      <c r="K98" s="361"/>
      <c r="L98" s="362">
        <v>0</v>
      </c>
      <c r="M98" s="361"/>
      <c r="N98" s="362">
        <v>0</v>
      </c>
      <c r="O98" s="363"/>
      <c r="P98" s="362">
        <v>0</v>
      </c>
      <c r="Q98" s="363"/>
      <c r="R98" s="362">
        <v>0</v>
      </c>
      <c r="S98" s="363"/>
      <c r="T98" s="362">
        <v>0</v>
      </c>
      <c r="U98" s="362">
        <v>0</v>
      </c>
      <c r="V98" s="365"/>
    </row>
    <row r="99" spans="2:22" ht="22.5" customHeight="1" thickBot="1" x14ac:dyDescent="0.3">
      <c r="B99" s="522" t="s">
        <v>170</v>
      </c>
      <c r="C99" s="523"/>
      <c r="D99" s="523"/>
      <c r="E99" s="523"/>
      <c r="F99" s="523"/>
      <c r="G99" s="523"/>
      <c r="H99" s="524"/>
      <c r="I99" s="330"/>
      <c r="J99" s="331"/>
      <c r="K99" s="331"/>
      <c r="L99" s="332">
        <f>L96+L97</f>
        <v>5335061</v>
      </c>
      <c r="M99" s="331"/>
      <c r="N99" s="332">
        <f>N96+N97</f>
        <v>6243900</v>
      </c>
      <c r="O99" s="333"/>
      <c r="P99" s="332">
        <f>P96+P97</f>
        <v>5686900</v>
      </c>
      <c r="Q99" s="333"/>
      <c r="R99" s="332">
        <f>R96+R97</f>
        <v>4238400</v>
      </c>
      <c r="S99" s="333"/>
      <c r="T99" s="332">
        <f>T96+T97</f>
        <v>4192900</v>
      </c>
      <c r="U99" s="332">
        <f>U96+U97</f>
        <v>25697161</v>
      </c>
      <c r="V99" s="334"/>
    </row>
    <row r="100" spans="2:22" ht="22.5" customHeight="1" x14ac:dyDescent="0.25">
      <c r="B100" s="516" t="s">
        <v>139</v>
      </c>
      <c r="C100" s="514" t="s">
        <v>523</v>
      </c>
      <c r="D100" s="116" t="s">
        <v>171</v>
      </c>
      <c r="E100" s="116" t="s">
        <v>172</v>
      </c>
      <c r="F100" s="116" t="s">
        <v>31</v>
      </c>
      <c r="G100" s="117" t="s">
        <v>32</v>
      </c>
      <c r="H100" s="244" t="s">
        <v>635</v>
      </c>
      <c r="I100" s="129" t="s">
        <v>34</v>
      </c>
      <c r="J100" s="130">
        <v>2100</v>
      </c>
      <c r="K100" s="130">
        <v>3</v>
      </c>
      <c r="L100" s="131">
        <f t="shared" ref="L100:L123" si="73">+J100*K100</f>
        <v>6300</v>
      </c>
      <c r="M100" s="130">
        <v>3</v>
      </c>
      <c r="N100" s="131">
        <f t="shared" ref="N100:N123" si="74">+$J100*M100</f>
        <v>6300</v>
      </c>
      <c r="O100" s="132">
        <v>3</v>
      </c>
      <c r="P100" s="133">
        <f t="shared" ref="P100:P123" si="75">+$J100*O100</f>
        <v>6300</v>
      </c>
      <c r="Q100" s="132">
        <v>3</v>
      </c>
      <c r="R100" s="133">
        <f t="shared" ref="R100:R123" si="76">+$J100*Q100</f>
        <v>6300</v>
      </c>
      <c r="S100" s="132">
        <v>3</v>
      </c>
      <c r="T100" s="133">
        <f t="shared" ref="T100:T123" si="77">+$J100*S100</f>
        <v>6300</v>
      </c>
      <c r="U100" s="133">
        <f t="shared" ref="U100:U101" si="78">+L100+N100+P100+R100+T100</f>
        <v>31500</v>
      </c>
      <c r="V100" s="385" t="s">
        <v>173</v>
      </c>
    </row>
    <row r="101" spans="2:22" ht="22.5" customHeight="1" x14ac:dyDescent="0.25">
      <c r="B101" s="517"/>
      <c r="C101" s="515"/>
      <c r="D101" s="66" t="s">
        <v>171</v>
      </c>
      <c r="E101" s="66" t="s">
        <v>172</v>
      </c>
      <c r="F101" s="66" t="s">
        <v>31</v>
      </c>
      <c r="G101" s="67" t="s">
        <v>32</v>
      </c>
      <c r="H101" s="68" t="s">
        <v>634</v>
      </c>
      <c r="I101" s="66" t="s">
        <v>34</v>
      </c>
      <c r="J101" s="69">
        <v>2000</v>
      </c>
      <c r="K101" s="69"/>
      <c r="L101" s="70">
        <f t="shared" si="73"/>
        <v>0</v>
      </c>
      <c r="M101" s="69">
        <v>3</v>
      </c>
      <c r="N101" s="70">
        <f t="shared" si="74"/>
        <v>6000</v>
      </c>
      <c r="O101" s="71">
        <v>4</v>
      </c>
      <c r="P101" s="72">
        <f t="shared" si="75"/>
        <v>8000</v>
      </c>
      <c r="Q101" s="71">
        <v>4</v>
      </c>
      <c r="R101" s="72">
        <f t="shared" si="76"/>
        <v>8000</v>
      </c>
      <c r="S101" s="71">
        <v>4</v>
      </c>
      <c r="T101" s="72">
        <f t="shared" si="77"/>
        <v>8000</v>
      </c>
      <c r="U101" s="81">
        <f t="shared" si="78"/>
        <v>30000</v>
      </c>
      <c r="V101" s="105" t="s">
        <v>174</v>
      </c>
    </row>
    <row r="102" spans="2:22" ht="22.5" customHeight="1" x14ac:dyDescent="0.25">
      <c r="B102" s="517"/>
      <c r="C102" s="515"/>
      <c r="D102" s="66" t="s">
        <v>171</v>
      </c>
      <c r="E102" s="66" t="s">
        <v>172</v>
      </c>
      <c r="F102" s="66" t="s">
        <v>31</v>
      </c>
      <c r="G102" s="67" t="s">
        <v>32</v>
      </c>
      <c r="H102" s="68" t="s">
        <v>175</v>
      </c>
      <c r="I102" s="66" t="s">
        <v>176</v>
      </c>
      <c r="J102" s="69">
        <v>1000</v>
      </c>
      <c r="K102" s="69">
        <v>50</v>
      </c>
      <c r="L102" s="70">
        <f t="shared" si="73"/>
        <v>50000</v>
      </c>
      <c r="M102" s="69">
        <v>100</v>
      </c>
      <c r="N102" s="70">
        <f t="shared" si="74"/>
        <v>100000</v>
      </c>
      <c r="O102" s="71">
        <v>100</v>
      </c>
      <c r="P102" s="72">
        <f t="shared" si="75"/>
        <v>100000</v>
      </c>
      <c r="Q102" s="71">
        <v>50</v>
      </c>
      <c r="R102" s="72">
        <f t="shared" si="76"/>
        <v>50000</v>
      </c>
      <c r="S102" s="71">
        <v>0</v>
      </c>
      <c r="T102" s="72">
        <f t="shared" si="77"/>
        <v>0</v>
      </c>
      <c r="U102" s="72">
        <f t="shared" si="40"/>
        <v>300000</v>
      </c>
      <c r="V102" s="105" t="s">
        <v>177</v>
      </c>
    </row>
    <row r="103" spans="2:22" ht="22.5" customHeight="1" x14ac:dyDescent="0.25">
      <c r="B103" s="517"/>
      <c r="C103" s="515"/>
      <c r="D103" s="66" t="s">
        <v>171</v>
      </c>
      <c r="E103" s="66" t="s">
        <v>172</v>
      </c>
      <c r="F103" s="66" t="s">
        <v>31</v>
      </c>
      <c r="G103" s="84" t="s">
        <v>165</v>
      </c>
      <c r="H103" s="68" t="s">
        <v>468</v>
      </c>
      <c r="I103" s="66" t="s">
        <v>178</v>
      </c>
      <c r="J103" s="78">
        <v>47100</v>
      </c>
      <c r="K103" s="78"/>
      <c r="L103" s="79">
        <f t="shared" si="73"/>
        <v>0</v>
      </c>
      <c r="M103" s="78">
        <v>2</v>
      </c>
      <c r="N103" s="79">
        <f t="shared" si="74"/>
        <v>94200</v>
      </c>
      <c r="O103" s="80">
        <v>1</v>
      </c>
      <c r="P103" s="81">
        <f t="shared" si="75"/>
        <v>47100</v>
      </c>
      <c r="Q103" s="80">
        <v>2</v>
      </c>
      <c r="R103" s="81">
        <f t="shared" si="76"/>
        <v>94200</v>
      </c>
      <c r="S103" s="80">
        <v>0</v>
      </c>
      <c r="T103" s="81">
        <f t="shared" si="77"/>
        <v>0</v>
      </c>
      <c r="U103" s="81">
        <f t="shared" si="40"/>
        <v>235500</v>
      </c>
      <c r="V103" s="105" t="s">
        <v>179</v>
      </c>
    </row>
    <row r="104" spans="2:22" ht="22.5" customHeight="1" x14ac:dyDescent="0.25">
      <c r="B104" s="517"/>
      <c r="C104" s="515"/>
      <c r="D104" s="66" t="s">
        <v>171</v>
      </c>
      <c r="E104" s="66" t="s">
        <v>172</v>
      </c>
      <c r="F104" s="66" t="s">
        <v>31</v>
      </c>
      <c r="G104" s="85" t="s">
        <v>74</v>
      </c>
      <c r="H104" s="68" t="s">
        <v>180</v>
      </c>
      <c r="I104" s="66" t="s">
        <v>80</v>
      </c>
      <c r="J104" s="69">
        <v>500</v>
      </c>
      <c r="K104" s="69"/>
      <c r="L104" s="70">
        <f t="shared" si="73"/>
        <v>0</v>
      </c>
      <c r="M104" s="69">
        <v>248</v>
      </c>
      <c r="N104" s="70">
        <f t="shared" si="74"/>
        <v>124000</v>
      </c>
      <c r="O104" s="71">
        <v>200</v>
      </c>
      <c r="P104" s="72">
        <f t="shared" si="75"/>
        <v>100000</v>
      </c>
      <c r="Q104" s="71">
        <v>0</v>
      </c>
      <c r="R104" s="72">
        <f t="shared" si="76"/>
        <v>0</v>
      </c>
      <c r="S104" s="71">
        <v>0</v>
      </c>
      <c r="T104" s="72">
        <f t="shared" si="77"/>
        <v>0</v>
      </c>
      <c r="U104" s="72">
        <f t="shared" si="40"/>
        <v>224000</v>
      </c>
      <c r="V104" s="105" t="s">
        <v>181</v>
      </c>
    </row>
    <row r="105" spans="2:22" ht="22.5" customHeight="1" x14ac:dyDescent="0.25">
      <c r="B105" s="517"/>
      <c r="C105" s="515"/>
      <c r="D105" s="66" t="s">
        <v>171</v>
      </c>
      <c r="E105" s="66" t="s">
        <v>172</v>
      </c>
      <c r="F105" s="66" t="s">
        <v>31</v>
      </c>
      <c r="G105" s="67" t="s">
        <v>41</v>
      </c>
      <c r="H105" s="68" t="s">
        <v>82</v>
      </c>
      <c r="I105" s="66" t="s">
        <v>43</v>
      </c>
      <c r="J105" s="69">
        <v>100</v>
      </c>
      <c r="K105" s="69">
        <v>100</v>
      </c>
      <c r="L105" s="70">
        <f t="shared" si="73"/>
        <v>10000</v>
      </c>
      <c r="M105" s="69">
        <v>100</v>
      </c>
      <c r="N105" s="70">
        <f t="shared" si="74"/>
        <v>10000</v>
      </c>
      <c r="O105" s="71">
        <v>100</v>
      </c>
      <c r="P105" s="72">
        <f t="shared" si="75"/>
        <v>10000</v>
      </c>
      <c r="Q105" s="71">
        <v>50</v>
      </c>
      <c r="R105" s="72">
        <f t="shared" si="76"/>
        <v>5000</v>
      </c>
      <c r="S105" s="71">
        <v>0</v>
      </c>
      <c r="T105" s="72">
        <f t="shared" si="77"/>
        <v>0</v>
      </c>
      <c r="U105" s="72">
        <f t="shared" si="40"/>
        <v>35000</v>
      </c>
      <c r="V105" s="105" t="s">
        <v>182</v>
      </c>
    </row>
    <row r="106" spans="2:22" ht="30" customHeight="1" x14ac:dyDescent="0.25">
      <c r="B106" s="517"/>
      <c r="C106" s="515"/>
      <c r="D106" s="66" t="s">
        <v>171</v>
      </c>
      <c r="E106" s="66" t="s">
        <v>172</v>
      </c>
      <c r="F106" s="66" t="s">
        <v>31</v>
      </c>
      <c r="G106" s="67" t="s">
        <v>41</v>
      </c>
      <c r="H106" s="68" t="s">
        <v>42</v>
      </c>
      <c r="I106" s="66" t="s">
        <v>43</v>
      </c>
      <c r="J106" s="75">
        <v>50</v>
      </c>
      <c r="K106" s="69">
        <v>100</v>
      </c>
      <c r="L106" s="70">
        <f t="shared" si="73"/>
        <v>5000</v>
      </c>
      <c r="M106" s="69">
        <v>100</v>
      </c>
      <c r="N106" s="70">
        <f t="shared" si="74"/>
        <v>5000</v>
      </c>
      <c r="O106" s="71">
        <v>150</v>
      </c>
      <c r="P106" s="72">
        <f t="shared" si="75"/>
        <v>7500</v>
      </c>
      <c r="Q106" s="71">
        <v>150</v>
      </c>
      <c r="R106" s="72">
        <f t="shared" si="76"/>
        <v>7500</v>
      </c>
      <c r="S106" s="71">
        <v>150</v>
      </c>
      <c r="T106" s="72">
        <f t="shared" si="77"/>
        <v>7500</v>
      </c>
      <c r="U106" s="72">
        <f t="shared" si="40"/>
        <v>32500</v>
      </c>
      <c r="V106" s="105" t="s">
        <v>183</v>
      </c>
    </row>
    <row r="107" spans="2:22" ht="25.5" customHeight="1" x14ac:dyDescent="0.25">
      <c r="B107" s="517"/>
      <c r="C107" s="515"/>
      <c r="D107" s="66" t="s">
        <v>171</v>
      </c>
      <c r="E107" s="66" t="s">
        <v>172</v>
      </c>
      <c r="F107" s="66" t="s">
        <v>31</v>
      </c>
      <c r="G107" s="67" t="s">
        <v>45</v>
      </c>
      <c r="H107" s="68" t="s">
        <v>184</v>
      </c>
      <c r="I107" s="66" t="s">
        <v>185</v>
      </c>
      <c r="J107" s="75">
        <v>5000</v>
      </c>
      <c r="K107" s="69"/>
      <c r="L107" s="70">
        <f t="shared" si="73"/>
        <v>0</v>
      </c>
      <c r="M107" s="69">
        <v>30</v>
      </c>
      <c r="N107" s="70">
        <f t="shared" si="74"/>
        <v>150000</v>
      </c>
      <c r="O107" s="71">
        <v>30</v>
      </c>
      <c r="P107" s="72">
        <f t="shared" si="75"/>
        <v>150000</v>
      </c>
      <c r="Q107" s="71">
        <v>30</v>
      </c>
      <c r="R107" s="72">
        <f t="shared" si="76"/>
        <v>150000</v>
      </c>
      <c r="S107" s="71">
        <v>10</v>
      </c>
      <c r="T107" s="72">
        <f t="shared" si="77"/>
        <v>50000</v>
      </c>
      <c r="U107" s="72">
        <f t="shared" si="40"/>
        <v>500000</v>
      </c>
      <c r="V107" s="105" t="s">
        <v>186</v>
      </c>
    </row>
    <row r="108" spans="2:22" ht="28.5" customHeight="1" x14ac:dyDescent="0.25">
      <c r="B108" s="517"/>
      <c r="C108" s="515"/>
      <c r="D108" s="66" t="s">
        <v>171</v>
      </c>
      <c r="E108" s="66" t="s">
        <v>172</v>
      </c>
      <c r="F108" s="66" t="s">
        <v>31</v>
      </c>
      <c r="G108" s="67" t="s">
        <v>53</v>
      </c>
      <c r="H108" s="68" t="s">
        <v>187</v>
      </c>
      <c r="I108" s="66" t="s">
        <v>188</v>
      </c>
      <c r="J108" s="75">
        <v>10000</v>
      </c>
      <c r="K108" s="69">
        <v>3</v>
      </c>
      <c r="L108" s="70">
        <f t="shared" si="73"/>
        <v>30000</v>
      </c>
      <c r="M108" s="69">
        <v>2</v>
      </c>
      <c r="N108" s="70">
        <f t="shared" si="74"/>
        <v>20000</v>
      </c>
      <c r="O108" s="71"/>
      <c r="P108" s="72">
        <f t="shared" si="75"/>
        <v>0</v>
      </c>
      <c r="Q108" s="71"/>
      <c r="R108" s="72">
        <f t="shared" si="76"/>
        <v>0</v>
      </c>
      <c r="S108" s="71"/>
      <c r="T108" s="72">
        <f t="shared" si="77"/>
        <v>0</v>
      </c>
      <c r="U108" s="72">
        <f t="shared" si="40"/>
        <v>50000</v>
      </c>
      <c r="V108" s="105" t="s">
        <v>189</v>
      </c>
    </row>
    <row r="109" spans="2:22" ht="15.75" customHeight="1" x14ac:dyDescent="0.25">
      <c r="B109" s="517"/>
      <c r="C109" s="515"/>
      <c r="D109" s="66" t="s">
        <v>171</v>
      </c>
      <c r="E109" s="66" t="s">
        <v>172</v>
      </c>
      <c r="F109" s="66" t="s">
        <v>31</v>
      </c>
      <c r="G109" s="67" t="s">
        <v>53</v>
      </c>
      <c r="H109" s="68" t="s">
        <v>56</v>
      </c>
      <c r="I109" s="66" t="s">
        <v>190</v>
      </c>
      <c r="J109" s="75">
        <v>900</v>
      </c>
      <c r="K109" s="69">
        <v>3</v>
      </c>
      <c r="L109" s="70">
        <f t="shared" si="73"/>
        <v>2700</v>
      </c>
      <c r="M109" s="69"/>
      <c r="N109" s="70">
        <f t="shared" si="74"/>
        <v>0</v>
      </c>
      <c r="O109" s="71"/>
      <c r="P109" s="72">
        <f t="shared" si="75"/>
        <v>0</v>
      </c>
      <c r="Q109" s="71"/>
      <c r="R109" s="72">
        <f t="shared" si="76"/>
        <v>0</v>
      </c>
      <c r="S109" s="71"/>
      <c r="T109" s="72">
        <f t="shared" si="77"/>
        <v>0</v>
      </c>
      <c r="U109" s="72">
        <f t="shared" si="40"/>
        <v>2700</v>
      </c>
      <c r="V109" s="105" t="s">
        <v>191</v>
      </c>
    </row>
    <row r="110" spans="2:22" ht="18" customHeight="1" thickBot="1" x14ac:dyDescent="0.3">
      <c r="B110" s="386" t="s">
        <v>192</v>
      </c>
      <c r="C110" s="387"/>
      <c r="D110" s="324"/>
      <c r="E110" s="388"/>
      <c r="F110" s="324"/>
      <c r="G110" s="324"/>
      <c r="H110" s="389"/>
      <c r="I110" s="324"/>
      <c r="J110" s="325"/>
      <c r="K110" s="325"/>
      <c r="L110" s="326">
        <f>+SUM(L100:L109)</f>
        <v>104000</v>
      </c>
      <c r="M110" s="325"/>
      <c r="N110" s="326">
        <f>+SUM(N100:N109)</f>
        <v>515500</v>
      </c>
      <c r="O110" s="327"/>
      <c r="P110" s="328">
        <f>+SUM(P100:P109)</f>
        <v>428900</v>
      </c>
      <c r="Q110" s="327"/>
      <c r="R110" s="328">
        <f>+SUM(R100:R109)</f>
        <v>321000</v>
      </c>
      <c r="S110" s="327"/>
      <c r="T110" s="328">
        <f>+SUM(T100:T109)</f>
        <v>71800</v>
      </c>
      <c r="U110" s="328">
        <f>SUM(U100:U109)</f>
        <v>1441200</v>
      </c>
      <c r="V110" s="329"/>
    </row>
    <row r="111" spans="2:22" s="9" customFormat="1" ht="69" customHeight="1" x14ac:dyDescent="0.25">
      <c r="B111" s="440" t="s">
        <v>139</v>
      </c>
      <c r="C111" s="416" t="s">
        <v>523</v>
      </c>
      <c r="D111" s="116" t="s">
        <v>171</v>
      </c>
      <c r="E111" s="115" t="s">
        <v>193</v>
      </c>
      <c r="F111" s="115" t="s">
        <v>687</v>
      </c>
      <c r="G111" s="117" t="s">
        <v>45</v>
      </c>
      <c r="H111" s="318" t="s">
        <v>194</v>
      </c>
      <c r="I111" s="382" t="s">
        <v>47</v>
      </c>
      <c r="J111" s="383">
        <v>5000</v>
      </c>
      <c r="K111" s="383">
        <v>20</v>
      </c>
      <c r="L111" s="133">
        <f t="shared" si="73"/>
        <v>100000</v>
      </c>
      <c r="M111" s="383">
        <v>20</v>
      </c>
      <c r="N111" s="133">
        <f t="shared" si="74"/>
        <v>100000</v>
      </c>
      <c r="O111" s="383">
        <v>20</v>
      </c>
      <c r="P111" s="133">
        <f t="shared" si="75"/>
        <v>100000</v>
      </c>
      <c r="Q111" s="383">
        <v>20</v>
      </c>
      <c r="R111" s="133">
        <f t="shared" si="76"/>
        <v>100000</v>
      </c>
      <c r="S111" s="383">
        <v>20</v>
      </c>
      <c r="T111" s="133">
        <f t="shared" si="77"/>
        <v>100000</v>
      </c>
      <c r="U111" s="122">
        <f t="shared" si="40"/>
        <v>500000</v>
      </c>
      <c r="V111" s="175" t="s">
        <v>195</v>
      </c>
    </row>
    <row r="112" spans="2:22" s="9" customFormat="1" ht="69" customHeight="1" x14ac:dyDescent="0.25">
      <c r="B112" s="441"/>
      <c r="C112" s="417"/>
      <c r="D112" s="66" t="s">
        <v>171</v>
      </c>
      <c r="E112" s="320" t="s">
        <v>193</v>
      </c>
      <c r="F112" s="320" t="s">
        <v>687</v>
      </c>
      <c r="G112" s="67" t="s">
        <v>196</v>
      </c>
      <c r="H112" s="317" t="s">
        <v>197</v>
      </c>
      <c r="I112" s="86" t="s">
        <v>34</v>
      </c>
      <c r="J112" s="87">
        <v>2500</v>
      </c>
      <c r="K112" s="87">
        <v>36</v>
      </c>
      <c r="L112" s="81">
        <f t="shared" si="73"/>
        <v>90000</v>
      </c>
      <c r="M112" s="87">
        <v>36</v>
      </c>
      <c r="N112" s="81">
        <f t="shared" si="74"/>
        <v>90000</v>
      </c>
      <c r="O112" s="87">
        <v>36</v>
      </c>
      <c r="P112" s="81">
        <f t="shared" si="75"/>
        <v>90000</v>
      </c>
      <c r="Q112" s="87">
        <v>36</v>
      </c>
      <c r="R112" s="81">
        <f t="shared" si="76"/>
        <v>90000</v>
      </c>
      <c r="S112" s="87">
        <v>36</v>
      </c>
      <c r="T112" s="81">
        <f t="shared" si="77"/>
        <v>90000</v>
      </c>
      <c r="U112" s="72">
        <f t="shared" si="40"/>
        <v>450000</v>
      </c>
      <c r="V112" s="105" t="s">
        <v>198</v>
      </c>
    </row>
    <row r="113" spans="2:22" s="9" customFormat="1" ht="18" customHeight="1" x14ac:dyDescent="0.25">
      <c r="B113" s="441"/>
      <c r="C113" s="417"/>
      <c r="D113" s="66" t="s">
        <v>171</v>
      </c>
      <c r="E113" s="320" t="s">
        <v>193</v>
      </c>
      <c r="F113" s="320" t="s">
        <v>687</v>
      </c>
      <c r="G113" s="67" t="s">
        <v>41</v>
      </c>
      <c r="H113" s="317" t="s">
        <v>199</v>
      </c>
      <c r="I113" s="86" t="s">
        <v>200</v>
      </c>
      <c r="J113" s="87">
        <v>250</v>
      </c>
      <c r="K113" s="88">
        <v>40</v>
      </c>
      <c r="L113" s="76">
        <f t="shared" si="73"/>
        <v>10000</v>
      </c>
      <c r="M113" s="88">
        <v>40</v>
      </c>
      <c r="N113" s="76">
        <f t="shared" si="74"/>
        <v>10000</v>
      </c>
      <c r="O113" s="88">
        <v>40</v>
      </c>
      <c r="P113" s="76">
        <f t="shared" si="75"/>
        <v>10000</v>
      </c>
      <c r="Q113" s="88">
        <v>40</v>
      </c>
      <c r="R113" s="76">
        <f t="shared" si="76"/>
        <v>10000</v>
      </c>
      <c r="S113" s="88">
        <v>40</v>
      </c>
      <c r="T113" s="76">
        <f t="shared" si="77"/>
        <v>10000</v>
      </c>
      <c r="U113" s="72">
        <f t="shared" si="40"/>
        <v>50000</v>
      </c>
      <c r="V113" s="105" t="s">
        <v>201</v>
      </c>
    </row>
    <row r="114" spans="2:22" ht="18" customHeight="1" thickBot="1" x14ac:dyDescent="0.3">
      <c r="B114" s="418" t="s">
        <v>202</v>
      </c>
      <c r="C114" s="419"/>
      <c r="D114" s="420"/>
      <c r="E114" s="419"/>
      <c r="F114" s="420"/>
      <c r="G114" s="420"/>
      <c r="H114" s="420"/>
      <c r="I114" s="324"/>
      <c r="J114" s="325"/>
      <c r="K114" s="325"/>
      <c r="L114" s="326">
        <f t="shared" ref="L114:M114" si="79">SUM(L111:L113)</f>
        <v>200000</v>
      </c>
      <c r="M114" s="326">
        <f t="shared" si="79"/>
        <v>96</v>
      </c>
      <c r="N114" s="326">
        <f>SUM(N111:N113)</f>
        <v>200000</v>
      </c>
      <c r="O114" s="328">
        <f t="shared" ref="O114:T114" si="80">SUM(O111:O113)</f>
        <v>96</v>
      </c>
      <c r="P114" s="328">
        <f t="shared" si="80"/>
        <v>200000</v>
      </c>
      <c r="Q114" s="328">
        <f t="shared" si="80"/>
        <v>96</v>
      </c>
      <c r="R114" s="328">
        <f t="shared" si="80"/>
        <v>200000</v>
      </c>
      <c r="S114" s="328">
        <f t="shared" si="80"/>
        <v>96</v>
      </c>
      <c r="T114" s="328">
        <f t="shared" si="80"/>
        <v>200000</v>
      </c>
      <c r="U114" s="328">
        <f>SUM(U111:U113)</f>
        <v>1000000</v>
      </c>
      <c r="V114" s="329"/>
    </row>
    <row r="115" spans="2:22" ht="18" customHeight="1" x14ac:dyDescent="0.25">
      <c r="B115" s="434" t="s">
        <v>139</v>
      </c>
      <c r="C115" s="416" t="s">
        <v>523</v>
      </c>
      <c r="D115" s="116" t="s">
        <v>171</v>
      </c>
      <c r="E115" s="115" t="s">
        <v>203</v>
      </c>
      <c r="F115" s="116" t="s">
        <v>31</v>
      </c>
      <c r="G115" s="116" t="s">
        <v>32</v>
      </c>
      <c r="H115" s="244" t="s">
        <v>98</v>
      </c>
      <c r="I115" s="129" t="s">
        <v>34</v>
      </c>
      <c r="J115" s="130">
        <v>1500</v>
      </c>
      <c r="K115" s="384">
        <v>6</v>
      </c>
      <c r="L115" s="131">
        <f t="shared" si="73"/>
        <v>9000</v>
      </c>
      <c r="M115" s="384">
        <v>12</v>
      </c>
      <c r="N115" s="131">
        <f t="shared" si="74"/>
        <v>18000</v>
      </c>
      <c r="O115" s="383">
        <v>12</v>
      </c>
      <c r="P115" s="133">
        <f t="shared" si="75"/>
        <v>18000</v>
      </c>
      <c r="Q115" s="383">
        <v>12</v>
      </c>
      <c r="R115" s="133">
        <f t="shared" si="76"/>
        <v>18000</v>
      </c>
      <c r="S115" s="383">
        <v>6</v>
      </c>
      <c r="T115" s="133">
        <f t="shared" si="77"/>
        <v>9000</v>
      </c>
      <c r="U115" s="133">
        <f t="shared" si="40"/>
        <v>72000</v>
      </c>
      <c r="V115" s="385" t="s">
        <v>204</v>
      </c>
    </row>
    <row r="116" spans="2:22" ht="18" customHeight="1" x14ac:dyDescent="0.25">
      <c r="B116" s="435"/>
      <c r="C116" s="417"/>
      <c r="D116" s="66" t="s">
        <v>171</v>
      </c>
      <c r="E116" s="320" t="s">
        <v>203</v>
      </c>
      <c r="F116" s="66" t="s">
        <v>31</v>
      </c>
      <c r="G116" s="66" t="s">
        <v>32</v>
      </c>
      <c r="H116" s="68" t="s">
        <v>633</v>
      </c>
      <c r="I116" s="82" t="s">
        <v>34</v>
      </c>
      <c r="J116" s="78">
        <v>2000</v>
      </c>
      <c r="K116" s="89"/>
      <c r="L116" s="79">
        <f t="shared" si="73"/>
        <v>0</v>
      </c>
      <c r="M116" s="89">
        <v>3</v>
      </c>
      <c r="N116" s="79">
        <f t="shared" si="74"/>
        <v>6000</v>
      </c>
      <c r="O116" s="87">
        <v>4</v>
      </c>
      <c r="P116" s="81">
        <f t="shared" si="75"/>
        <v>8000</v>
      </c>
      <c r="Q116" s="87">
        <v>4</v>
      </c>
      <c r="R116" s="81">
        <f t="shared" si="76"/>
        <v>8000</v>
      </c>
      <c r="S116" s="87">
        <v>4</v>
      </c>
      <c r="T116" s="81">
        <f t="shared" si="77"/>
        <v>8000</v>
      </c>
      <c r="U116" s="81">
        <f t="shared" si="40"/>
        <v>30000</v>
      </c>
      <c r="V116" s="105" t="s">
        <v>205</v>
      </c>
    </row>
    <row r="117" spans="2:22" ht="32.25" customHeight="1" x14ac:dyDescent="0.25">
      <c r="B117" s="435"/>
      <c r="C117" s="417"/>
      <c r="D117" s="66" t="s">
        <v>171</v>
      </c>
      <c r="E117" s="320" t="s">
        <v>203</v>
      </c>
      <c r="F117" s="66" t="s">
        <v>31</v>
      </c>
      <c r="G117" s="77" t="s">
        <v>165</v>
      </c>
      <c r="H117" s="68" t="s">
        <v>469</v>
      </c>
      <c r="I117" s="82" t="s">
        <v>206</v>
      </c>
      <c r="J117" s="78">
        <v>248000</v>
      </c>
      <c r="K117" s="89">
        <v>0.25</v>
      </c>
      <c r="L117" s="79">
        <f t="shared" si="73"/>
        <v>62000</v>
      </c>
      <c r="M117" s="89">
        <v>0.25</v>
      </c>
      <c r="N117" s="79">
        <f t="shared" si="74"/>
        <v>62000</v>
      </c>
      <c r="O117" s="87">
        <v>0.25</v>
      </c>
      <c r="P117" s="81">
        <f t="shared" si="75"/>
        <v>62000</v>
      </c>
      <c r="Q117" s="87">
        <v>0.25</v>
      </c>
      <c r="R117" s="81">
        <f t="shared" si="76"/>
        <v>62000</v>
      </c>
      <c r="S117" s="87"/>
      <c r="T117" s="81">
        <f t="shared" si="77"/>
        <v>0</v>
      </c>
      <c r="U117" s="81">
        <f t="shared" si="40"/>
        <v>248000</v>
      </c>
      <c r="V117" s="105" t="s">
        <v>207</v>
      </c>
    </row>
    <row r="118" spans="2:22" ht="37.5" customHeight="1" x14ac:dyDescent="0.25">
      <c r="B118" s="435"/>
      <c r="C118" s="417"/>
      <c r="D118" s="66" t="s">
        <v>171</v>
      </c>
      <c r="E118" s="320" t="s">
        <v>203</v>
      </c>
      <c r="F118" s="66" t="s">
        <v>31</v>
      </c>
      <c r="G118" s="66" t="s">
        <v>53</v>
      </c>
      <c r="H118" s="68" t="s">
        <v>56</v>
      </c>
      <c r="I118" s="82" t="s">
        <v>208</v>
      </c>
      <c r="J118" s="78">
        <v>900</v>
      </c>
      <c r="K118" s="89">
        <v>3</v>
      </c>
      <c r="L118" s="79">
        <f t="shared" si="73"/>
        <v>2700</v>
      </c>
      <c r="M118" s="89"/>
      <c r="N118" s="79">
        <f t="shared" si="74"/>
        <v>0</v>
      </c>
      <c r="O118" s="87"/>
      <c r="P118" s="81">
        <f t="shared" si="75"/>
        <v>0</v>
      </c>
      <c r="Q118" s="87"/>
      <c r="R118" s="81">
        <f t="shared" si="76"/>
        <v>0</v>
      </c>
      <c r="S118" s="87"/>
      <c r="T118" s="81">
        <f t="shared" si="77"/>
        <v>0</v>
      </c>
      <c r="U118" s="81">
        <f t="shared" si="40"/>
        <v>2700</v>
      </c>
      <c r="V118" s="105" t="s">
        <v>209</v>
      </c>
    </row>
    <row r="119" spans="2:22" ht="38.25" customHeight="1" x14ac:dyDescent="0.25">
      <c r="B119" s="436"/>
      <c r="C119" s="417"/>
      <c r="D119" s="66" t="s">
        <v>171</v>
      </c>
      <c r="E119" s="320" t="s">
        <v>203</v>
      </c>
      <c r="F119" s="66" t="s">
        <v>31</v>
      </c>
      <c r="G119" s="66" t="s">
        <v>45</v>
      </c>
      <c r="H119" s="68" t="s">
        <v>521</v>
      </c>
      <c r="I119" s="77" t="s">
        <v>134</v>
      </c>
      <c r="J119" s="78">
        <v>7734.2</v>
      </c>
      <c r="K119" s="78">
        <v>1</v>
      </c>
      <c r="L119" s="79">
        <f t="shared" si="73"/>
        <v>7734.2</v>
      </c>
      <c r="M119" s="78">
        <v>1</v>
      </c>
      <c r="N119" s="79">
        <f t="shared" si="74"/>
        <v>7734.2</v>
      </c>
      <c r="O119" s="80">
        <v>1</v>
      </c>
      <c r="P119" s="81">
        <f t="shared" si="75"/>
        <v>7734.2</v>
      </c>
      <c r="Q119" s="80">
        <v>1</v>
      </c>
      <c r="R119" s="81">
        <f t="shared" si="76"/>
        <v>7734.2</v>
      </c>
      <c r="S119" s="80">
        <v>1</v>
      </c>
      <c r="T119" s="81">
        <f t="shared" si="77"/>
        <v>7734.2</v>
      </c>
      <c r="U119" s="81">
        <f t="shared" si="40"/>
        <v>38671</v>
      </c>
      <c r="V119" s="105" t="s">
        <v>210</v>
      </c>
    </row>
    <row r="120" spans="2:22" ht="18" customHeight="1" thickBot="1" x14ac:dyDescent="0.3">
      <c r="B120" s="418" t="s">
        <v>211</v>
      </c>
      <c r="C120" s="419"/>
      <c r="D120" s="420"/>
      <c r="E120" s="419"/>
      <c r="F120" s="420"/>
      <c r="G120" s="420"/>
      <c r="H120" s="420"/>
      <c r="I120" s="324"/>
      <c r="J120" s="325"/>
      <c r="K120" s="325"/>
      <c r="L120" s="326">
        <f>SUM(L115:L119)</f>
        <v>81434.2</v>
      </c>
      <c r="M120" s="325"/>
      <c r="N120" s="326">
        <f>SUM(N115:N119)</f>
        <v>93734.2</v>
      </c>
      <c r="O120" s="327"/>
      <c r="P120" s="328">
        <f>SUM(P115:P119)</f>
        <v>95734.2</v>
      </c>
      <c r="Q120" s="327"/>
      <c r="R120" s="328">
        <f>SUM(R115:R119)</f>
        <v>95734.2</v>
      </c>
      <c r="S120" s="327"/>
      <c r="T120" s="328">
        <f>SUM(T115:T119)</f>
        <v>24734.2</v>
      </c>
      <c r="U120" s="328">
        <f>SUM(U115:U119)</f>
        <v>391371</v>
      </c>
      <c r="V120" s="329"/>
    </row>
    <row r="121" spans="2:22" s="9" customFormat="1" ht="78" customHeight="1" x14ac:dyDescent="0.25">
      <c r="B121" s="440" t="s">
        <v>139</v>
      </c>
      <c r="C121" s="416" t="s">
        <v>523</v>
      </c>
      <c r="D121" s="116" t="s">
        <v>171</v>
      </c>
      <c r="E121" s="115" t="s">
        <v>212</v>
      </c>
      <c r="F121" s="115" t="s">
        <v>689</v>
      </c>
      <c r="G121" s="116" t="s">
        <v>45</v>
      </c>
      <c r="H121" s="318" t="s">
        <v>213</v>
      </c>
      <c r="I121" s="382" t="s">
        <v>214</v>
      </c>
      <c r="J121" s="383">
        <v>500</v>
      </c>
      <c r="K121" s="383">
        <v>40</v>
      </c>
      <c r="L121" s="133">
        <f t="shared" si="73"/>
        <v>20000</v>
      </c>
      <c r="M121" s="383">
        <v>20</v>
      </c>
      <c r="N121" s="133">
        <f t="shared" si="74"/>
        <v>10000</v>
      </c>
      <c r="O121" s="383">
        <v>20</v>
      </c>
      <c r="P121" s="133">
        <f t="shared" si="75"/>
        <v>10000</v>
      </c>
      <c r="Q121" s="383">
        <v>20</v>
      </c>
      <c r="R121" s="133">
        <f t="shared" si="76"/>
        <v>10000</v>
      </c>
      <c r="S121" s="383">
        <v>20</v>
      </c>
      <c r="T121" s="133">
        <f t="shared" si="77"/>
        <v>10000</v>
      </c>
      <c r="U121" s="133">
        <f t="shared" si="40"/>
        <v>60000</v>
      </c>
      <c r="V121" s="175" t="s">
        <v>215</v>
      </c>
    </row>
    <row r="122" spans="2:22" s="9" customFormat="1" ht="20.25" customHeight="1" x14ac:dyDescent="0.25">
      <c r="B122" s="441"/>
      <c r="C122" s="417"/>
      <c r="D122" s="66" t="s">
        <v>171</v>
      </c>
      <c r="E122" s="320" t="s">
        <v>212</v>
      </c>
      <c r="F122" s="320" t="s">
        <v>689</v>
      </c>
      <c r="G122" s="66" t="s">
        <v>41</v>
      </c>
      <c r="H122" s="317" t="s">
        <v>216</v>
      </c>
      <c r="I122" s="86" t="s">
        <v>200</v>
      </c>
      <c r="J122" s="87">
        <v>250</v>
      </c>
      <c r="K122" s="88">
        <v>16</v>
      </c>
      <c r="L122" s="76">
        <f t="shared" si="73"/>
        <v>4000</v>
      </c>
      <c r="M122" s="88">
        <v>16</v>
      </c>
      <c r="N122" s="76">
        <f t="shared" si="74"/>
        <v>4000</v>
      </c>
      <c r="O122" s="88">
        <v>16</v>
      </c>
      <c r="P122" s="76">
        <f t="shared" si="75"/>
        <v>4000</v>
      </c>
      <c r="Q122" s="88">
        <v>16</v>
      </c>
      <c r="R122" s="76">
        <f t="shared" si="76"/>
        <v>4000</v>
      </c>
      <c r="S122" s="88">
        <v>16</v>
      </c>
      <c r="T122" s="76">
        <f t="shared" si="77"/>
        <v>4000</v>
      </c>
      <c r="U122" s="76">
        <f t="shared" si="40"/>
        <v>20000</v>
      </c>
      <c r="V122" s="105" t="s">
        <v>217</v>
      </c>
    </row>
    <row r="123" spans="2:22" s="9" customFormat="1" ht="78" customHeight="1" x14ac:dyDescent="0.25">
      <c r="B123" s="441"/>
      <c r="C123" s="417"/>
      <c r="D123" s="66" t="s">
        <v>171</v>
      </c>
      <c r="E123" s="320" t="s">
        <v>212</v>
      </c>
      <c r="F123" s="320" t="s">
        <v>689</v>
      </c>
      <c r="G123" s="66" t="s">
        <v>196</v>
      </c>
      <c r="H123" s="317" t="s">
        <v>218</v>
      </c>
      <c r="I123" s="83" t="s">
        <v>34</v>
      </c>
      <c r="J123" s="87">
        <v>2000</v>
      </c>
      <c r="K123" s="87">
        <v>12</v>
      </c>
      <c r="L123" s="81">
        <f t="shared" si="73"/>
        <v>24000</v>
      </c>
      <c r="M123" s="87">
        <v>12</v>
      </c>
      <c r="N123" s="81">
        <f t="shared" si="74"/>
        <v>24000</v>
      </c>
      <c r="O123" s="87">
        <v>12</v>
      </c>
      <c r="P123" s="81">
        <f t="shared" si="75"/>
        <v>24000</v>
      </c>
      <c r="Q123" s="87">
        <v>12</v>
      </c>
      <c r="R123" s="81">
        <f t="shared" si="76"/>
        <v>24000</v>
      </c>
      <c r="S123" s="87">
        <v>12</v>
      </c>
      <c r="T123" s="81">
        <f t="shared" si="77"/>
        <v>24000</v>
      </c>
      <c r="U123" s="81">
        <f t="shared" si="40"/>
        <v>120000</v>
      </c>
      <c r="V123" s="105" t="s">
        <v>219</v>
      </c>
    </row>
    <row r="124" spans="2:22" ht="18" customHeight="1" thickBot="1" x14ac:dyDescent="0.3">
      <c r="B124" s="418" t="s">
        <v>220</v>
      </c>
      <c r="C124" s="419"/>
      <c r="D124" s="420"/>
      <c r="E124" s="419"/>
      <c r="F124" s="420"/>
      <c r="G124" s="420"/>
      <c r="H124" s="420"/>
      <c r="I124" s="324"/>
      <c r="J124" s="325"/>
      <c r="K124" s="325"/>
      <c r="L124" s="326">
        <f>SUM(L121:L123)</f>
        <v>48000</v>
      </c>
      <c r="M124" s="326">
        <f t="shared" ref="M124:T124" si="81">SUM(M121:M123)</f>
        <v>48</v>
      </c>
      <c r="N124" s="326">
        <f t="shared" si="81"/>
        <v>38000</v>
      </c>
      <c r="O124" s="328">
        <f t="shared" si="81"/>
        <v>48</v>
      </c>
      <c r="P124" s="328">
        <f t="shared" si="81"/>
        <v>38000</v>
      </c>
      <c r="Q124" s="328">
        <f t="shared" si="81"/>
        <v>48</v>
      </c>
      <c r="R124" s="328">
        <f t="shared" si="81"/>
        <v>38000</v>
      </c>
      <c r="S124" s="328">
        <f t="shared" si="81"/>
        <v>48</v>
      </c>
      <c r="T124" s="328">
        <f t="shared" si="81"/>
        <v>38000</v>
      </c>
      <c r="U124" s="328">
        <f>SUM(U121:U123)</f>
        <v>200000</v>
      </c>
      <c r="V124" s="329"/>
    </row>
    <row r="125" spans="2:22" ht="18" customHeight="1" x14ac:dyDescent="0.25">
      <c r="B125" s="407" t="s">
        <v>221</v>
      </c>
      <c r="C125" s="408"/>
      <c r="D125" s="408"/>
      <c r="E125" s="408"/>
      <c r="F125" s="428" t="s">
        <v>31</v>
      </c>
      <c r="G125" s="429"/>
      <c r="H125" s="430"/>
      <c r="I125" s="352"/>
      <c r="J125" s="353"/>
      <c r="K125" s="353"/>
      <c r="L125" s="354">
        <f>L100+L101+L102+L103+L104+L105+L106+L107+L108+L109+L115+L116+L117+L118+L119</f>
        <v>185434.2</v>
      </c>
      <c r="M125" s="354"/>
      <c r="N125" s="354">
        <f>N100+N101+N102+N103+N104+N105+N106+N107+N108+N109+N115+N116+N117+N118+N119</f>
        <v>609234.19999999995</v>
      </c>
      <c r="O125" s="354"/>
      <c r="P125" s="354">
        <f>P100+P101+P102+P103+P104+P105+P106+P107+P108+P109+P115+P116+P117+P118+P119</f>
        <v>524634.19999999995</v>
      </c>
      <c r="Q125" s="354"/>
      <c r="R125" s="354">
        <f>R100+R101+R102+R103+R104+R105+R106+R107+R108+R109+R115+R116+R117+R118+R119</f>
        <v>416734.2</v>
      </c>
      <c r="S125" s="354"/>
      <c r="T125" s="354">
        <f>T100+T101+T102+T103+T104+T105+T106+T107+T108+T109+T115+T116+T117+T118+T119</f>
        <v>96534.2</v>
      </c>
      <c r="U125" s="354">
        <f>U120+U110</f>
        <v>1832571</v>
      </c>
      <c r="V125" s="355"/>
    </row>
    <row r="126" spans="2:22" ht="18" customHeight="1" x14ac:dyDescent="0.25">
      <c r="B126" s="409"/>
      <c r="C126" s="410"/>
      <c r="D126" s="410"/>
      <c r="E126" s="410"/>
      <c r="F126" s="431" t="s">
        <v>687</v>
      </c>
      <c r="G126" s="432"/>
      <c r="H126" s="433"/>
      <c r="I126" s="356"/>
      <c r="J126" s="357"/>
      <c r="K126" s="357"/>
      <c r="L126" s="358">
        <f>L111+L112+L113</f>
        <v>200000</v>
      </c>
      <c r="M126" s="358"/>
      <c r="N126" s="358">
        <f>N111+N112+N113</f>
        <v>200000</v>
      </c>
      <c r="O126" s="358"/>
      <c r="P126" s="358">
        <f>P111+P112+P113</f>
        <v>200000</v>
      </c>
      <c r="Q126" s="358"/>
      <c r="R126" s="358">
        <f>R111+R112+R113</f>
        <v>200000</v>
      </c>
      <c r="S126" s="358"/>
      <c r="T126" s="358">
        <f>T111+T112+T113</f>
        <v>200000</v>
      </c>
      <c r="U126" s="358">
        <f>U111+U112+U113</f>
        <v>1000000</v>
      </c>
      <c r="V126" s="359"/>
    </row>
    <row r="127" spans="2:22" ht="18" customHeight="1" x14ac:dyDescent="0.25">
      <c r="B127" s="409"/>
      <c r="C127" s="410"/>
      <c r="D127" s="410"/>
      <c r="E127" s="410"/>
      <c r="F127" s="431" t="s">
        <v>689</v>
      </c>
      <c r="G127" s="432"/>
      <c r="H127" s="433"/>
      <c r="I127" s="356"/>
      <c r="J127" s="357"/>
      <c r="K127" s="357"/>
      <c r="L127" s="358">
        <f>L121+L122+L123</f>
        <v>48000</v>
      </c>
      <c r="M127" s="357"/>
      <c r="N127" s="358">
        <f>N121+N122+N123</f>
        <v>38000</v>
      </c>
      <c r="O127" s="371"/>
      <c r="P127" s="358">
        <f>P121+P122+P123</f>
        <v>38000</v>
      </c>
      <c r="Q127" s="371"/>
      <c r="R127" s="358">
        <f>R121+R122+R123</f>
        <v>38000</v>
      </c>
      <c r="S127" s="371"/>
      <c r="T127" s="358">
        <f>T121+T122+T123</f>
        <v>38000</v>
      </c>
      <c r="U127" s="358">
        <f>U121+U122+U123</f>
        <v>200000</v>
      </c>
      <c r="V127" s="359"/>
    </row>
    <row r="128" spans="2:22" ht="18" customHeight="1" thickBot="1" x14ac:dyDescent="0.3">
      <c r="B128" s="498" t="s">
        <v>221</v>
      </c>
      <c r="C128" s="499"/>
      <c r="D128" s="499"/>
      <c r="E128" s="499"/>
      <c r="F128" s="499"/>
      <c r="G128" s="499"/>
      <c r="H128" s="500"/>
      <c r="I128" s="134"/>
      <c r="J128" s="135"/>
      <c r="K128" s="135"/>
      <c r="L128" s="136">
        <f>L110+L114+L120+L124</f>
        <v>433434.2</v>
      </c>
      <c r="M128" s="135"/>
      <c r="N128" s="136">
        <f>N110+N114+N120+N124</f>
        <v>847234.2</v>
      </c>
      <c r="O128" s="137"/>
      <c r="P128" s="136">
        <f>P110+P114+P120+P124</f>
        <v>762634.2</v>
      </c>
      <c r="Q128" s="137"/>
      <c r="R128" s="136">
        <f>R110+R114+R120+R124</f>
        <v>654734.19999999995</v>
      </c>
      <c r="S128" s="137"/>
      <c r="T128" s="136">
        <f>T110+T114+T120+T124</f>
        <v>334534.2</v>
      </c>
      <c r="U128" s="136">
        <f>U110+U114+U120+U124</f>
        <v>3032571</v>
      </c>
      <c r="V128" s="174"/>
    </row>
    <row r="129" spans="2:23" ht="18" customHeight="1" x14ac:dyDescent="0.25">
      <c r="B129" s="453" t="s">
        <v>222</v>
      </c>
      <c r="C129" s="454"/>
      <c r="D129" s="454"/>
      <c r="E129" s="455"/>
      <c r="F129" s="451" t="s">
        <v>31</v>
      </c>
      <c r="G129" s="451"/>
      <c r="H129" s="451"/>
      <c r="I129" s="309"/>
      <c r="J129" s="310"/>
      <c r="K129" s="310"/>
      <c r="L129" s="311">
        <f>L96+L125</f>
        <v>1420495.2</v>
      </c>
      <c r="M129" s="310"/>
      <c r="N129" s="311">
        <f>N96+N125</f>
        <v>2753134.2</v>
      </c>
      <c r="O129" s="312"/>
      <c r="P129" s="311">
        <f>P96+P125</f>
        <v>2111534.2000000002</v>
      </c>
      <c r="Q129" s="312"/>
      <c r="R129" s="311">
        <f>R96+R125</f>
        <v>555134.19999999995</v>
      </c>
      <c r="S129" s="312"/>
      <c r="T129" s="311">
        <f>T96+T125</f>
        <v>189434.2</v>
      </c>
      <c r="U129" s="311">
        <f>U125+U96</f>
        <v>7029732</v>
      </c>
      <c r="V129" s="313"/>
      <c r="W129" s="43"/>
    </row>
    <row r="130" spans="2:23" ht="18" customHeight="1" x14ac:dyDescent="0.25">
      <c r="B130" s="456"/>
      <c r="C130" s="446"/>
      <c r="D130" s="446"/>
      <c r="E130" s="447"/>
      <c r="F130" s="451" t="s">
        <v>691</v>
      </c>
      <c r="G130" s="451"/>
      <c r="H130" s="451"/>
      <c r="I130" s="309"/>
      <c r="J130" s="310"/>
      <c r="K130" s="310"/>
      <c r="L130" s="311">
        <f>L126+L97</f>
        <v>4300000</v>
      </c>
      <c r="M130" s="310"/>
      <c r="N130" s="311">
        <f>N126+N97</f>
        <v>4300000</v>
      </c>
      <c r="O130" s="312"/>
      <c r="P130" s="311">
        <f>P126+P97</f>
        <v>4300000</v>
      </c>
      <c r="Q130" s="312"/>
      <c r="R130" s="311">
        <f>R126+R97</f>
        <v>4300000</v>
      </c>
      <c r="S130" s="312"/>
      <c r="T130" s="311">
        <f>T126+T97</f>
        <v>4300000</v>
      </c>
      <c r="U130" s="311">
        <f>U126+U97</f>
        <v>21500000</v>
      </c>
      <c r="V130" s="313"/>
      <c r="W130" s="43"/>
    </row>
    <row r="131" spans="2:23" ht="18" customHeight="1" thickBot="1" x14ac:dyDescent="0.3">
      <c r="B131" s="456"/>
      <c r="C131" s="446"/>
      <c r="D131" s="446"/>
      <c r="E131" s="447"/>
      <c r="F131" s="504" t="s">
        <v>683</v>
      </c>
      <c r="G131" s="504"/>
      <c r="H131" s="504"/>
      <c r="I131" s="372"/>
      <c r="J131" s="373"/>
      <c r="K131" s="373"/>
      <c r="L131" s="374">
        <f>L121+L122+L123</f>
        <v>48000</v>
      </c>
      <c r="M131" s="373"/>
      <c r="N131" s="374">
        <f>N121+N122+N123</f>
        <v>38000</v>
      </c>
      <c r="O131" s="375"/>
      <c r="P131" s="374">
        <f>P121+P122+P123</f>
        <v>38000</v>
      </c>
      <c r="Q131" s="375"/>
      <c r="R131" s="374">
        <f>R121+R122+R123</f>
        <v>38000</v>
      </c>
      <c r="S131" s="375"/>
      <c r="T131" s="374">
        <f>T121+T122+T123</f>
        <v>38000</v>
      </c>
      <c r="U131" s="374">
        <f>U121+U122+U123</f>
        <v>200000</v>
      </c>
      <c r="V131" s="376"/>
      <c r="W131" s="43"/>
    </row>
    <row r="132" spans="2:23" s="271" customFormat="1" ht="18" customHeight="1" thickBot="1" x14ac:dyDescent="0.3">
      <c r="B132" s="422" t="s">
        <v>222</v>
      </c>
      <c r="C132" s="423"/>
      <c r="D132" s="423"/>
      <c r="E132" s="423"/>
      <c r="F132" s="423"/>
      <c r="G132" s="423"/>
      <c r="H132" s="424"/>
      <c r="I132" s="377"/>
      <c r="J132" s="378"/>
      <c r="K132" s="378"/>
      <c r="L132" s="379">
        <f>L99+L128</f>
        <v>5768495.2000000002</v>
      </c>
      <c r="M132" s="380"/>
      <c r="N132" s="379">
        <f>N99+N128</f>
        <v>7091134.2000000002</v>
      </c>
      <c r="O132" s="380"/>
      <c r="P132" s="379">
        <f>P99+P128</f>
        <v>6449534.2000000002</v>
      </c>
      <c r="Q132" s="380"/>
      <c r="R132" s="379">
        <f>R99+R128</f>
        <v>4893134.2</v>
      </c>
      <c r="S132" s="380"/>
      <c r="T132" s="379">
        <f>T99+T128</f>
        <v>4527434.2</v>
      </c>
      <c r="U132" s="379">
        <f>U99+U128</f>
        <v>28729732</v>
      </c>
      <c r="V132" s="381"/>
    </row>
    <row r="133" spans="2:23" ht="54.75" customHeight="1" x14ac:dyDescent="0.25">
      <c r="B133" s="434" t="s">
        <v>223</v>
      </c>
      <c r="C133" s="437" t="s">
        <v>524</v>
      </c>
      <c r="D133" s="116" t="s">
        <v>224</v>
      </c>
      <c r="E133" s="115" t="s">
        <v>225</v>
      </c>
      <c r="F133" s="116" t="s">
        <v>31</v>
      </c>
      <c r="G133" s="127" t="s">
        <v>165</v>
      </c>
      <c r="H133" s="128" t="s">
        <v>473</v>
      </c>
      <c r="I133" s="116" t="s">
        <v>269</v>
      </c>
      <c r="J133" s="130">
        <v>42000</v>
      </c>
      <c r="K133" s="130">
        <v>5</v>
      </c>
      <c r="L133" s="131">
        <f t="shared" ref="L133:L142" si="82">+J133*K133</f>
        <v>210000</v>
      </c>
      <c r="M133" s="130">
        <v>5</v>
      </c>
      <c r="N133" s="131">
        <f t="shared" ref="N133:T142" si="83">+$J133*M133</f>
        <v>210000</v>
      </c>
      <c r="O133" s="132">
        <v>4</v>
      </c>
      <c r="P133" s="133">
        <f t="shared" ref="P133:P136" si="84">+$J133*O133</f>
        <v>168000</v>
      </c>
      <c r="Q133" s="132"/>
      <c r="R133" s="133">
        <f t="shared" ref="R133:R136" si="85">+$J133*Q133</f>
        <v>0</v>
      </c>
      <c r="S133" s="132">
        <v>0</v>
      </c>
      <c r="T133" s="133">
        <f t="shared" ref="T133:T136" si="86">+$J133*S133</f>
        <v>0</v>
      </c>
      <c r="U133" s="133">
        <f t="shared" ref="U133:U152" si="87">+L133+N133+P133+R133+T133</f>
        <v>588000</v>
      </c>
      <c r="V133" s="177" t="s">
        <v>226</v>
      </c>
    </row>
    <row r="134" spans="2:23" ht="33.75" customHeight="1" x14ac:dyDescent="0.25">
      <c r="B134" s="435"/>
      <c r="C134" s="438"/>
      <c r="D134" s="66" t="s">
        <v>224</v>
      </c>
      <c r="E134" s="320" t="s">
        <v>225</v>
      </c>
      <c r="F134" s="66" t="s">
        <v>31</v>
      </c>
      <c r="G134" s="84" t="s">
        <v>165</v>
      </c>
      <c r="H134" s="68" t="s">
        <v>227</v>
      </c>
      <c r="I134" s="66" t="s">
        <v>228</v>
      </c>
      <c r="J134" s="78">
        <v>100000</v>
      </c>
      <c r="K134" s="78"/>
      <c r="L134" s="79">
        <f t="shared" si="82"/>
        <v>0</v>
      </c>
      <c r="M134" s="78"/>
      <c r="N134" s="79">
        <f t="shared" si="83"/>
        <v>0</v>
      </c>
      <c r="O134" s="80">
        <v>1</v>
      </c>
      <c r="P134" s="81">
        <f t="shared" si="84"/>
        <v>100000</v>
      </c>
      <c r="Q134" s="80"/>
      <c r="R134" s="81">
        <f t="shared" si="85"/>
        <v>0</v>
      </c>
      <c r="S134" s="80">
        <v>0</v>
      </c>
      <c r="T134" s="81">
        <f t="shared" si="86"/>
        <v>0</v>
      </c>
      <c r="U134" s="81">
        <f t="shared" si="87"/>
        <v>100000</v>
      </c>
      <c r="V134" s="178" t="s">
        <v>229</v>
      </c>
    </row>
    <row r="135" spans="2:23" ht="39.75" customHeight="1" x14ac:dyDescent="0.25">
      <c r="B135" s="435"/>
      <c r="C135" s="438"/>
      <c r="D135" s="66" t="s">
        <v>224</v>
      </c>
      <c r="E135" s="320" t="s">
        <v>225</v>
      </c>
      <c r="F135" s="82" t="s">
        <v>31</v>
      </c>
      <c r="G135" s="93" t="s">
        <v>165</v>
      </c>
      <c r="H135" s="94" t="s">
        <v>638</v>
      </c>
      <c r="I135" s="82" t="s">
        <v>460</v>
      </c>
      <c r="J135" s="78">
        <v>70000</v>
      </c>
      <c r="K135" s="78">
        <v>7</v>
      </c>
      <c r="L135" s="79">
        <f t="shared" si="82"/>
        <v>490000</v>
      </c>
      <c r="M135" s="78">
        <v>9</v>
      </c>
      <c r="N135" s="79">
        <f t="shared" si="83"/>
        <v>630000</v>
      </c>
      <c r="O135" s="80"/>
      <c r="P135" s="81">
        <f t="shared" si="84"/>
        <v>0</v>
      </c>
      <c r="Q135" s="80"/>
      <c r="R135" s="81">
        <f t="shared" si="85"/>
        <v>0</v>
      </c>
      <c r="S135" s="80"/>
      <c r="T135" s="81">
        <f t="shared" si="86"/>
        <v>0</v>
      </c>
      <c r="U135" s="81">
        <f t="shared" si="87"/>
        <v>1120000</v>
      </c>
      <c r="V135" s="176" t="s">
        <v>537</v>
      </c>
    </row>
    <row r="136" spans="2:23" ht="32.25" customHeight="1" x14ac:dyDescent="0.25">
      <c r="B136" s="435"/>
      <c r="C136" s="438"/>
      <c r="D136" s="66" t="s">
        <v>224</v>
      </c>
      <c r="E136" s="320" t="s">
        <v>225</v>
      </c>
      <c r="F136" s="82" t="s">
        <v>31</v>
      </c>
      <c r="G136" s="93" t="s">
        <v>165</v>
      </c>
      <c r="H136" s="94" t="s">
        <v>639</v>
      </c>
      <c r="I136" s="82" t="s">
        <v>460</v>
      </c>
      <c r="J136" s="78">
        <v>45000</v>
      </c>
      <c r="K136" s="78">
        <v>7</v>
      </c>
      <c r="L136" s="79">
        <f t="shared" si="82"/>
        <v>315000</v>
      </c>
      <c r="M136" s="78">
        <v>9</v>
      </c>
      <c r="N136" s="79">
        <f t="shared" si="83"/>
        <v>405000</v>
      </c>
      <c r="O136" s="80">
        <v>6</v>
      </c>
      <c r="P136" s="81">
        <f t="shared" si="84"/>
        <v>270000</v>
      </c>
      <c r="Q136" s="80"/>
      <c r="R136" s="81">
        <f t="shared" si="85"/>
        <v>0</v>
      </c>
      <c r="S136" s="80"/>
      <c r="T136" s="81">
        <f t="shared" si="86"/>
        <v>0</v>
      </c>
      <c r="U136" s="81">
        <f t="shared" si="87"/>
        <v>990000</v>
      </c>
      <c r="V136" s="176" t="s">
        <v>538</v>
      </c>
    </row>
    <row r="137" spans="2:23" ht="32.25" customHeight="1" x14ac:dyDescent="0.25">
      <c r="B137" s="435"/>
      <c r="C137" s="438"/>
      <c r="D137" s="66" t="s">
        <v>224</v>
      </c>
      <c r="E137" s="320" t="s">
        <v>225</v>
      </c>
      <c r="F137" s="82" t="s">
        <v>31</v>
      </c>
      <c r="G137" s="93" t="s">
        <v>165</v>
      </c>
      <c r="H137" s="94" t="s">
        <v>640</v>
      </c>
      <c r="I137" s="82" t="s">
        <v>460</v>
      </c>
      <c r="J137" s="78">
        <v>45000</v>
      </c>
      <c r="K137" s="78">
        <v>7</v>
      </c>
      <c r="L137" s="79">
        <f t="shared" ref="L137" si="88">+J137*K137</f>
        <v>315000</v>
      </c>
      <c r="M137" s="78">
        <v>7</v>
      </c>
      <c r="N137" s="79">
        <f t="shared" ref="N137" si="89">+$J137*M137</f>
        <v>315000</v>
      </c>
      <c r="O137" s="80">
        <v>7</v>
      </c>
      <c r="P137" s="81">
        <f t="shared" ref="P137" si="90">+$J137*O137</f>
        <v>315000</v>
      </c>
      <c r="Q137" s="80"/>
      <c r="R137" s="81">
        <f t="shared" ref="R137" si="91">+$J137*Q137</f>
        <v>0</v>
      </c>
      <c r="S137" s="80"/>
      <c r="T137" s="81">
        <f t="shared" ref="T137" si="92">+$J137*S137</f>
        <v>0</v>
      </c>
      <c r="U137" s="81">
        <f t="shared" ref="U137" si="93">+L137+N137+P137+R137+T137</f>
        <v>945000</v>
      </c>
      <c r="V137" s="176" t="s">
        <v>539</v>
      </c>
    </row>
    <row r="138" spans="2:23" ht="18" customHeight="1" thickBot="1" x14ac:dyDescent="0.3">
      <c r="B138" s="418" t="s">
        <v>230</v>
      </c>
      <c r="C138" s="419"/>
      <c r="D138" s="420"/>
      <c r="E138" s="419"/>
      <c r="F138" s="420"/>
      <c r="G138" s="421"/>
      <c r="H138" s="421"/>
      <c r="I138" s="336"/>
      <c r="J138" s="337"/>
      <c r="K138" s="337"/>
      <c r="L138" s="338">
        <f>SUM(L133:L137)</f>
        <v>1330000</v>
      </c>
      <c r="M138" s="337"/>
      <c r="N138" s="338">
        <f>SUM(N133:N137)</f>
        <v>1560000</v>
      </c>
      <c r="O138" s="339"/>
      <c r="P138" s="338">
        <f>SUM(P133:P137)</f>
        <v>853000</v>
      </c>
      <c r="Q138" s="339"/>
      <c r="R138" s="338">
        <f>SUM(R133:R137)</f>
        <v>0</v>
      </c>
      <c r="S138" s="339"/>
      <c r="T138" s="338">
        <f>SUM(T133:T137)</f>
        <v>0</v>
      </c>
      <c r="U138" s="340">
        <f>SUM(U133:U137)</f>
        <v>3743000</v>
      </c>
      <c r="V138" s="392">
        <f>SUM(V133:V135)</f>
        <v>0</v>
      </c>
    </row>
    <row r="139" spans="2:23" ht="69.75" customHeight="1" x14ac:dyDescent="0.25">
      <c r="B139" s="512" t="s">
        <v>223</v>
      </c>
      <c r="C139" s="510" t="s">
        <v>525</v>
      </c>
      <c r="D139" s="116" t="s">
        <v>224</v>
      </c>
      <c r="E139" s="115" t="s">
        <v>231</v>
      </c>
      <c r="F139" s="116" t="s">
        <v>31</v>
      </c>
      <c r="G139" s="390" t="s">
        <v>165</v>
      </c>
      <c r="H139" s="128" t="s">
        <v>475</v>
      </c>
      <c r="I139" s="390" t="s">
        <v>266</v>
      </c>
      <c r="J139" s="130">
        <v>1</v>
      </c>
      <c r="K139" s="130">
        <v>35000</v>
      </c>
      <c r="L139" s="131">
        <f t="shared" ref="L139" si="94">+J139*K139</f>
        <v>35000</v>
      </c>
      <c r="M139" s="130">
        <v>35000</v>
      </c>
      <c r="N139" s="131">
        <f t="shared" ref="N139" si="95">+$J139*M139</f>
        <v>35000</v>
      </c>
      <c r="O139" s="132">
        <v>35000</v>
      </c>
      <c r="P139" s="133">
        <f t="shared" ref="P139" si="96">+$J139*O139</f>
        <v>35000</v>
      </c>
      <c r="Q139" s="132"/>
      <c r="R139" s="133">
        <f t="shared" ref="R139" si="97">+$J139*Q139</f>
        <v>0</v>
      </c>
      <c r="S139" s="132"/>
      <c r="T139" s="133">
        <f t="shared" ref="T139" si="98">+$J139*S139</f>
        <v>0</v>
      </c>
      <c r="U139" s="133">
        <f t="shared" ref="U139" si="99">+L139+N139+P139+R139+T139</f>
        <v>105000</v>
      </c>
      <c r="V139" s="175" t="s">
        <v>232</v>
      </c>
    </row>
    <row r="140" spans="2:23" s="9" customFormat="1" ht="69.75" customHeight="1" x14ac:dyDescent="0.25">
      <c r="B140" s="513"/>
      <c r="C140" s="511"/>
      <c r="D140" s="66" t="s">
        <v>224</v>
      </c>
      <c r="E140" s="320" t="s">
        <v>231</v>
      </c>
      <c r="F140" s="320" t="s">
        <v>687</v>
      </c>
      <c r="G140" s="77" t="s">
        <v>32</v>
      </c>
      <c r="H140" s="73" t="s">
        <v>530</v>
      </c>
      <c r="I140" s="91" t="s">
        <v>34</v>
      </c>
      <c r="J140" s="88">
        <v>3000</v>
      </c>
      <c r="K140" s="88">
        <v>200</v>
      </c>
      <c r="L140" s="72">
        <f t="shared" ref="L140" si="100">+J140*K140</f>
        <v>600000</v>
      </c>
      <c r="M140" s="88">
        <v>350</v>
      </c>
      <c r="N140" s="72">
        <f t="shared" ref="N140" si="101">+$J140*M140</f>
        <v>1050000</v>
      </c>
      <c r="O140" s="88">
        <v>350</v>
      </c>
      <c r="P140" s="72">
        <f t="shared" ref="P140" si="102">+$J140*O140</f>
        <v>1050000</v>
      </c>
      <c r="Q140" s="88"/>
      <c r="R140" s="72">
        <f t="shared" ref="R140" si="103">+$J140*Q140</f>
        <v>0</v>
      </c>
      <c r="S140" s="88"/>
      <c r="T140" s="72">
        <f t="shared" ref="T140" si="104">+$J140*S140</f>
        <v>0</v>
      </c>
      <c r="U140" s="72">
        <f t="shared" ref="U140" si="105">+L140+N140+P140+R140+T140</f>
        <v>2700000</v>
      </c>
      <c r="V140" s="105" t="s">
        <v>233</v>
      </c>
    </row>
    <row r="141" spans="2:23" s="9" customFormat="1" ht="20.25" customHeight="1" x14ac:dyDescent="0.25">
      <c r="B141" s="513"/>
      <c r="C141" s="511"/>
      <c r="D141" s="66" t="s">
        <v>224</v>
      </c>
      <c r="E141" s="320" t="s">
        <v>231</v>
      </c>
      <c r="F141" s="320" t="s">
        <v>687</v>
      </c>
      <c r="G141" s="66" t="s">
        <v>41</v>
      </c>
      <c r="H141" s="317" t="s">
        <v>234</v>
      </c>
      <c r="I141" s="86" t="s">
        <v>200</v>
      </c>
      <c r="J141" s="87">
        <v>250</v>
      </c>
      <c r="K141" s="88">
        <v>2800</v>
      </c>
      <c r="L141" s="76">
        <f t="shared" si="82"/>
        <v>700000</v>
      </c>
      <c r="M141" s="88">
        <v>3000</v>
      </c>
      <c r="N141" s="76">
        <f t="shared" si="83"/>
        <v>750000</v>
      </c>
      <c r="O141" s="88">
        <v>3000</v>
      </c>
      <c r="P141" s="76">
        <f t="shared" si="83"/>
        <v>750000</v>
      </c>
      <c r="Q141" s="88">
        <v>2800</v>
      </c>
      <c r="R141" s="76">
        <f t="shared" si="83"/>
        <v>700000</v>
      </c>
      <c r="S141" s="88">
        <v>2800</v>
      </c>
      <c r="T141" s="76">
        <f t="shared" si="83"/>
        <v>700000</v>
      </c>
      <c r="U141" s="76">
        <f t="shared" si="87"/>
        <v>3600000</v>
      </c>
      <c r="V141" s="105" t="s">
        <v>235</v>
      </c>
    </row>
    <row r="142" spans="2:23" s="9" customFormat="1" ht="69.75" customHeight="1" x14ac:dyDescent="0.25">
      <c r="B142" s="513"/>
      <c r="C142" s="511"/>
      <c r="D142" s="66" t="s">
        <v>224</v>
      </c>
      <c r="E142" s="320" t="s">
        <v>231</v>
      </c>
      <c r="F142" s="320" t="s">
        <v>687</v>
      </c>
      <c r="G142" s="67" t="s">
        <v>146</v>
      </c>
      <c r="H142" s="317" t="s">
        <v>147</v>
      </c>
      <c r="I142" s="86" t="s">
        <v>34</v>
      </c>
      <c r="J142" s="87">
        <v>4999.87</v>
      </c>
      <c r="K142" s="87">
        <v>12</v>
      </c>
      <c r="L142" s="81">
        <f t="shared" si="82"/>
        <v>59998.44</v>
      </c>
      <c r="M142" s="87">
        <v>12</v>
      </c>
      <c r="N142" s="81">
        <f t="shared" si="83"/>
        <v>59998.44</v>
      </c>
      <c r="O142" s="87">
        <v>12</v>
      </c>
      <c r="P142" s="81">
        <f t="shared" si="83"/>
        <v>59998.44</v>
      </c>
      <c r="Q142" s="87">
        <v>12</v>
      </c>
      <c r="R142" s="81">
        <f t="shared" si="83"/>
        <v>59998.44</v>
      </c>
      <c r="S142" s="87">
        <v>12</v>
      </c>
      <c r="T142" s="81">
        <f t="shared" si="83"/>
        <v>59998.44</v>
      </c>
      <c r="U142" s="81">
        <f t="shared" si="87"/>
        <v>299992.2</v>
      </c>
      <c r="V142" s="105" t="s">
        <v>236</v>
      </c>
    </row>
    <row r="143" spans="2:23" ht="18" customHeight="1" thickBot="1" x14ac:dyDescent="0.3">
      <c r="B143" s="418" t="s">
        <v>237</v>
      </c>
      <c r="C143" s="419"/>
      <c r="D143" s="420"/>
      <c r="E143" s="419"/>
      <c r="F143" s="420"/>
      <c r="G143" s="420"/>
      <c r="H143" s="420"/>
      <c r="I143" s="324"/>
      <c r="J143" s="325"/>
      <c r="K143" s="325"/>
      <c r="L143" s="326">
        <f>SUM(L139:L142)</f>
        <v>1394998.44</v>
      </c>
      <c r="M143" s="326"/>
      <c r="N143" s="326">
        <f>SUM(N139:N142)</f>
        <v>1894998.44</v>
      </c>
      <c r="O143" s="328"/>
      <c r="P143" s="328">
        <f>SUM(P139:P142)</f>
        <v>1894998.44</v>
      </c>
      <c r="Q143" s="328"/>
      <c r="R143" s="328">
        <f>SUM(R139:R142)</f>
        <v>759998.44</v>
      </c>
      <c r="S143" s="328"/>
      <c r="T143" s="328">
        <f>SUM(T139:T142)</f>
        <v>759998.44</v>
      </c>
      <c r="U143" s="328">
        <f>SUM(U139:U142)</f>
        <v>6704992.2000000002</v>
      </c>
      <c r="V143" s="391">
        <f>SUM(V135:V139)</f>
        <v>0</v>
      </c>
    </row>
    <row r="144" spans="2:23" ht="18" customHeight="1" x14ac:dyDescent="0.25">
      <c r="B144" s="407" t="s">
        <v>238</v>
      </c>
      <c r="C144" s="408"/>
      <c r="D144" s="408"/>
      <c r="E144" s="408"/>
      <c r="F144" s="428" t="s">
        <v>31</v>
      </c>
      <c r="G144" s="429"/>
      <c r="H144" s="430"/>
      <c r="I144" s="352"/>
      <c r="J144" s="353"/>
      <c r="K144" s="353"/>
      <c r="L144" s="354">
        <f>L139+L138</f>
        <v>1365000</v>
      </c>
      <c r="M144" s="354"/>
      <c r="N144" s="354">
        <f>N139+N138</f>
        <v>1595000</v>
      </c>
      <c r="O144" s="354"/>
      <c r="P144" s="354">
        <f>P139+P138</f>
        <v>888000</v>
      </c>
      <c r="Q144" s="354"/>
      <c r="R144" s="354">
        <f>R139+R138</f>
        <v>0</v>
      </c>
      <c r="S144" s="354"/>
      <c r="T144" s="354">
        <f>T139+T138</f>
        <v>0</v>
      </c>
      <c r="U144" s="354">
        <f>U133+U134+U135+U139+U136+U137</f>
        <v>3848000</v>
      </c>
      <c r="V144" s="355"/>
    </row>
    <row r="145" spans="2:23" ht="18" customHeight="1" x14ac:dyDescent="0.25">
      <c r="B145" s="409"/>
      <c r="C145" s="410"/>
      <c r="D145" s="410"/>
      <c r="E145" s="410"/>
      <c r="F145" s="431" t="s">
        <v>687</v>
      </c>
      <c r="G145" s="432"/>
      <c r="H145" s="433"/>
      <c r="I145" s="356"/>
      <c r="J145" s="357"/>
      <c r="K145" s="357"/>
      <c r="L145" s="358">
        <f>L140+L141+L142</f>
        <v>1359998.44</v>
      </c>
      <c r="M145" s="358"/>
      <c r="N145" s="358">
        <f>N140+N141+N142</f>
        <v>1859998.44</v>
      </c>
      <c r="O145" s="358"/>
      <c r="P145" s="358">
        <f>P140+P141+P142</f>
        <v>1859998.44</v>
      </c>
      <c r="Q145" s="358"/>
      <c r="R145" s="358">
        <f>R140+R141+R142</f>
        <v>759998.44</v>
      </c>
      <c r="S145" s="358"/>
      <c r="T145" s="358">
        <f>T140+T141+T142</f>
        <v>759998.44</v>
      </c>
      <c r="U145" s="358">
        <f>U140+U141+U142</f>
        <v>6599992.2000000002</v>
      </c>
      <c r="V145" s="359"/>
    </row>
    <row r="146" spans="2:23" ht="18" customHeight="1" x14ac:dyDescent="0.25">
      <c r="B146" s="409"/>
      <c r="C146" s="410"/>
      <c r="D146" s="410"/>
      <c r="E146" s="410"/>
      <c r="F146" s="431" t="s">
        <v>689</v>
      </c>
      <c r="G146" s="432"/>
      <c r="H146" s="433"/>
      <c r="I146" s="356"/>
      <c r="J146" s="357"/>
      <c r="K146" s="357"/>
      <c r="L146" s="358">
        <v>0</v>
      </c>
      <c r="M146" s="357"/>
      <c r="N146" s="358">
        <v>0</v>
      </c>
      <c r="O146" s="371"/>
      <c r="P146" s="358">
        <v>0</v>
      </c>
      <c r="Q146" s="371"/>
      <c r="R146" s="358">
        <v>0</v>
      </c>
      <c r="S146" s="371"/>
      <c r="T146" s="358">
        <v>0</v>
      </c>
      <c r="U146" s="358">
        <v>0</v>
      </c>
      <c r="V146" s="359"/>
    </row>
    <row r="147" spans="2:23" ht="18" customHeight="1" thickBot="1" x14ac:dyDescent="0.3">
      <c r="B147" s="498" t="s">
        <v>238</v>
      </c>
      <c r="C147" s="499"/>
      <c r="D147" s="499"/>
      <c r="E147" s="499"/>
      <c r="F147" s="499"/>
      <c r="G147" s="499"/>
      <c r="H147" s="500"/>
      <c r="I147" s="134"/>
      <c r="J147" s="135"/>
      <c r="K147" s="135"/>
      <c r="L147" s="136">
        <f>L144+L146+L145</f>
        <v>2724998.44</v>
      </c>
      <c r="M147" s="135"/>
      <c r="N147" s="136">
        <f>N144+N146+N145</f>
        <v>3454998.44</v>
      </c>
      <c r="O147" s="137"/>
      <c r="P147" s="136">
        <f>P144+P146+P145</f>
        <v>2747998.44</v>
      </c>
      <c r="Q147" s="137"/>
      <c r="R147" s="136">
        <f>R144+R146+R145</f>
        <v>759998.44</v>
      </c>
      <c r="S147" s="137"/>
      <c r="T147" s="136">
        <f>T144+T146+T145</f>
        <v>759998.44</v>
      </c>
      <c r="U147" s="136">
        <f>U144+U146+U145</f>
        <v>10447992.199999999</v>
      </c>
      <c r="V147" s="174"/>
    </row>
    <row r="148" spans="2:23" ht="33" customHeight="1" x14ac:dyDescent="0.25">
      <c r="B148" s="505" t="s">
        <v>223</v>
      </c>
      <c r="C148" s="416" t="s">
        <v>525</v>
      </c>
      <c r="D148" s="116" t="s">
        <v>239</v>
      </c>
      <c r="E148" s="115" t="s">
        <v>240</v>
      </c>
      <c r="F148" s="116" t="s">
        <v>31</v>
      </c>
      <c r="G148" s="117" t="s">
        <v>32</v>
      </c>
      <c r="H148" s="128" t="s">
        <v>478</v>
      </c>
      <c r="I148" s="390" t="s">
        <v>34</v>
      </c>
      <c r="J148" s="124">
        <v>2000</v>
      </c>
      <c r="K148" s="124">
        <v>12</v>
      </c>
      <c r="L148" s="120">
        <f t="shared" ref="L148:L151" si="106">+J148*K148</f>
        <v>24000</v>
      </c>
      <c r="M148" s="124">
        <v>12</v>
      </c>
      <c r="N148" s="120">
        <f t="shared" ref="N148:N151" si="107">+$J148*M148</f>
        <v>24000</v>
      </c>
      <c r="O148" s="125">
        <v>12</v>
      </c>
      <c r="P148" s="122">
        <f t="shared" ref="P148:P151" si="108">+$J148*O148</f>
        <v>24000</v>
      </c>
      <c r="Q148" s="125">
        <v>12</v>
      </c>
      <c r="R148" s="122">
        <f t="shared" ref="R148:R151" si="109">+$J148*Q148</f>
        <v>24000</v>
      </c>
      <c r="S148" s="125">
        <v>12</v>
      </c>
      <c r="T148" s="122">
        <f t="shared" ref="L148:T152" si="110">+$J148*S148</f>
        <v>24000</v>
      </c>
      <c r="U148" s="122">
        <f t="shared" si="87"/>
        <v>120000</v>
      </c>
      <c r="V148" s="177" t="s">
        <v>241</v>
      </c>
    </row>
    <row r="149" spans="2:23" ht="45.75" customHeight="1" x14ac:dyDescent="0.25">
      <c r="B149" s="506"/>
      <c r="C149" s="417"/>
      <c r="D149" s="66" t="s">
        <v>239</v>
      </c>
      <c r="E149" s="320" t="s">
        <v>240</v>
      </c>
      <c r="F149" s="66" t="s">
        <v>31</v>
      </c>
      <c r="G149" s="84" t="s">
        <v>165</v>
      </c>
      <c r="H149" s="68" t="s">
        <v>242</v>
      </c>
      <c r="I149" s="66" t="s">
        <v>206</v>
      </c>
      <c r="J149" s="69">
        <v>200000</v>
      </c>
      <c r="K149" s="69">
        <v>1</v>
      </c>
      <c r="L149" s="70">
        <f t="shared" si="106"/>
        <v>200000</v>
      </c>
      <c r="M149" s="69"/>
      <c r="N149" s="70">
        <f t="shared" si="107"/>
        <v>0</v>
      </c>
      <c r="O149" s="71"/>
      <c r="P149" s="72">
        <f t="shared" si="108"/>
        <v>0</v>
      </c>
      <c r="Q149" s="71"/>
      <c r="R149" s="72">
        <f t="shared" si="109"/>
        <v>0</v>
      </c>
      <c r="S149" s="71"/>
      <c r="T149" s="72">
        <f t="shared" si="110"/>
        <v>0</v>
      </c>
      <c r="U149" s="72">
        <f t="shared" si="87"/>
        <v>200000</v>
      </c>
      <c r="V149" s="178" t="s">
        <v>243</v>
      </c>
    </row>
    <row r="150" spans="2:23" ht="23.25" customHeight="1" x14ac:dyDescent="0.25">
      <c r="B150" s="506"/>
      <c r="C150" s="417"/>
      <c r="D150" s="66" t="s">
        <v>239</v>
      </c>
      <c r="E150" s="320" t="s">
        <v>240</v>
      </c>
      <c r="F150" s="66" t="s">
        <v>31</v>
      </c>
      <c r="G150" s="67" t="s">
        <v>41</v>
      </c>
      <c r="H150" s="68" t="s">
        <v>42</v>
      </c>
      <c r="I150" s="82" t="s">
        <v>43</v>
      </c>
      <c r="J150" s="69">
        <v>50</v>
      </c>
      <c r="K150" s="75">
        <v>150</v>
      </c>
      <c r="L150" s="90">
        <f t="shared" si="106"/>
        <v>7500</v>
      </c>
      <c r="M150" s="75">
        <v>200</v>
      </c>
      <c r="N150" s="90">
        <f t="shared" si="107"/>
        <v>10000</v>
      </c>
      <c r="O150" s="92">
        <v>200</v>
      </c>
      <c r="P150" s="76">
        <f t="shared" si="108"/>
        <v>10000</v>
      </c>
      <c r="Q150" s="92">
        <v>200</v>
      </c>
      <c r="R150" s="76">
        <f t="shared" si="109"/>
        <v>10000</v>
      </c>
      <c r="S150" s="92">
        <v>200</v>
      </c>
      <c r="T150" s="76">
        <f t="shared" si="110"/>
        <v>10000</v>
      </c>
      <c r="U150" s="76">
        <f t="shared" si="87"/>
        <v>47500</v>
      </c>
      <c r="V150" s="176" t="s">
        <v>244</v>
      </c>
    </row>
    <row r="151" spans="2:23" ht="38.25" customHeight="1" x14ac:dyDescent="0.25">
      <c r="B151" s="506"/>
      <c r="C151" s="417"/>
      <c r="D151" s="66" t="s">
        <v>239</v>
      </c>
      <c r="E151" s="320" t="s">
        <v>240</v>
      </c>
      <c r="F151" s="82" t="s">
        <v>31</v>
      </c>
      <c r="G151" s="93" t="s">
        <v>45</v>
      </c>
      <c r="H151" s="94" t="s">
        <v>245</v>
      </c>
      <c r="I151" s="82" t="s">
        <v>47</v>
      </c>
      <c r="J151" s="78">
        <v>10000</v>
      </c>
      <c r="K151" s="78">
        <v>3</v>
      </c>
      <c r="L151" s="79">
        <f t="shared" si="106"/>
        <v>30000</v>
      </c>
      <c r="M151" s="78">
        <v>3</v>
      </c>
      <c r="N151" s="79">
        <f t="shared" si="107"/>
        <v>30000</v>
      </c>
      <c r="O151" s="80">
        <v>3</v>
      </c>
      <c r="P151" s="81">
        <f t="shared" si="108"/>
        <v>30000</v>
      </c>
      <c r="Q151" s="80">
        <v>1</v>
      </c>
      <c r="R151" s="81">
        <f t="shared" si="109"/>
        <v>10000</v>
      </c>
      <c r="S151" s="80">
        <v>0</v>
      </c>
      <c r="T151" s="81">
        <f t="shared" si="110"/>
        <v>0</v>
      </c>
      <c r="U151" s="81">
        <f t="shared" si="87"/>
        <v>100000</v>
      </c>
      <c r="V151" s="178" t="s">
        <v>246</v>
      </c>
    </row>
    <row r="152" spans="2:23" ht="38.25" customHeight="1" x14ac:dyDescent="0.25">
      <c r="B152" s="506"/>
      <c r="C152" s="417"/>
      <c r="D152" s="66" t="s">
        <v>239</v>
      </c>
      <c r="E152" s="320" t="s">
        <v>240</v>
      </c>
      <c r="F152" s="82" t="s">
        <v>31</v>
      </c>
      <c r="G152" s="93" t="s">
        <v>45</v>
      </c>
      <c r="H152" s="94" t="s">
        <v>526</v>
      </c>
      <c r="I152" s="77" t="s">
        <v>134</v>
      </c>
      <c r="J152" s="75">
        <v>7797.8</v>
      </c>
      <c r="K152" s="78">
        <v>1</v>
      </c>
      <c r="L152" s="79">
        <f t="shared" si="110"/>
        <v>7797.8</v>
      </c>
      <c r="M152" s="78">
        <v>1</v>
      </c>
      <c r="N152" s="79">
        <f t="shared" si="110"/>
        <v>7797.8</v>
      </c>
      <c r="O152" s="80">
        <v>1</v>
      </c>
      <c r="P152" s="81">
        <f t="shared" si="110"/>
        <v>7797.8</v>
      </c>
      <c r="Q152" s="80">
        <v>1</v>
      </c>
      <c r="R152" s="81">
        <f t="shared" si="110"/>
        <v>7797.8</v>
      </c>
      <c r="S152" s="80">
        <v>1</v>
      </c>
      <c r="T152" s="81">
        <f t="shared" si="110"/>
        <v>7797.8</v>
      </c>
      <c r="U152" s="81">
        <f t="shared" si="87"/>
        <v>38989</v>
      </c>
      <c r="V152" s="176" t="s">
        <v>247</v>
      </c>
    </row>
    <row r="153" spans="2:23" ht="18" customHeight="1" thickBot="1" x14ac:dyDescent="0.3">
      <c r="B153" s="418" t="s">
        <v>248</v>
      </c>
      <c r="C153" s="419"/>
      <c r="D153" s="420"/>
      <c r="E153" s="419"/>
      <c r="F153" s="420"/>
      <c r="G153" s="420"/>
      <c r="H153" s="420"/>
      <c r="I153" s="324"/>
      <c r="J153" s="325"/>
      <c r="K153" s="325"/>
      <c r="L153" s="326">
        <f>SUM(L148:L152)</f>
        <v>269297.8</v>
      </c>
      <c r="M153" s="325"/>
      <c r="N153" s="326">
        <f>SUM(N148:N152)</f>
        <v>71797.8</v>
      </c>
      <c r="O153" s="327"/>
      <c r="P153" s="328">
        <f>SUM(P148:P152)</f>
        <v>71797.8</v>
      </c>
      <c r="Q153" s="327"/>
      <c r="R153" s="328">
        <f>SUM(R148:R152)</f>
        <v>51797.8</v>
      </c>
      <c r="S153" s="327"/>
      <c r="T153" s="328">
        <f>SUM(T148:T152)</f>
        <v>41797.800000000003</v>
      </c>
      <c r="U153" s="328">
        <f>SUM(U148:U152)</f>
        <v>506489</v>
      </c>
      <c r="V153" s="391">
        <f>SUM(V149:V151)</f>
        <v>0</v>
      </c>
    </row>
    <row r="154" spans="2:23" ht="18" customHeight="1" x14ac:dyDescent="0.25">
      <c r="B154" s="407" t="s">
        <v>249</v>
      </c>
      <c r="C154" s="408"/>
      <c r="D154" s="408"/>
      <c r="E154" s="408"/>
      <c r="F154" s="428" t="s">
        <v>31</v>
      </c>
      <c r="G154" s="429"/>
      <c r="H154" s="430"/>
      <c r="I154" s="352"/>
      <c r="J154" s="353"/>
      <c r="K154" s="353"/>
      <c r="L154" s="354">
        <f>L148+L149+L150+L151+L152</f>
        <v>269297.8</v>
      </c>
      <c r="M154" s="354"/>
      <c r="N154" s="354">
        <f>N148+N149+N150+N151+N152</f>
        <v>71797.8</v>
      </c>
      <c r="O154" s="354"/>
      <c r="P154" s="354">
        <f>P148+P149+P150+P151+P152</f>
        <v>71797.8</v>
      </c>
      <c r="Q154" s="354"/>
      <c r="R154" s="354">
        <f>R148+R149+R150+R151+R152</f>
        <v>51797.8</v>
      </c>
      <c r="S154" s="354"/>
      <c r="T154" s="354">
        <f>T148+T149+T150+T151+T152</f>
        <v>41797.800000000003</v>
      </c>
      <c r="U154" s="354">
        <f>U153</f>
        <v>506489</v>
      </c>
      <c r="V154" s="355"/>
    </row>
    <row r="155" spans="2:23" ht="18" customHeight="1" x14ac:dyDescent="0.25">
      <c r="B155" s="507"/>
      <c r="C155" s="508"/>
      <c r="D155" s="508"/>
      <c r="E155" s="508"/>
      <c r="F155" s="431" t="s">
        <v>687</v>
      </c>
      <c r="G155" s="432"/>
      <c r="H155" s="433"/>
      <c r="I155" s="393"/>
      <c r="J155" s="394"/>
      <c r="K155" s="394"/>
      <c r="L155" s="395">
        <v>0</v>
      </c>
      <c r="M155" s="395"/>
      <c r="N155" s="395">
        <v>0</v>
      </c>
      <c r="O155" s="395"/>
      <c r="P155" s="395">
        <v>0</v>
      </c>
      <c r="Q155" s="395"/>
      <c r="R155" s="395">
        <v>0</v>
      </c>
      <c r="S155" s="395"/>
      <c r="T155" s="395">
        <v>0</v>
      </c>
      <c r="U155" s="395">
        <v>0</v>
      </c>
      <c r="V155" s="396"/>
    </row>
    <row r="156" spans="2:23" ht="18" customHeight="1" x14ac:dyDescent="0.25">
      <c r="B156" s="409"/>
      <c r="C156" s="410"/>
      <c r="D156" s="410"/>
      <c r="E156" s="410"/>
      <c r="F156" s="431" t="s">
        <v>689</v>
      </c>
      <c r="G156" s="432"/>
      <c r="H156" s="433"/>
      <c r="I156" s="356"/>
      <c r="J156" s="357"/>
      <c r="K156" s="357"/>
      <c r="L156" s="358">
        <v>0</v>
      </c>
      <c r="M156" s="357"/>
      <c r="N156" s="358">
        <v>0</v>
      </c>
      <c r="O156" s="371"/>
      <c r="P156" s="358">
        <v>0</v>
      </c>
      <c r="Q156" s="371"/>
      <c r="R156" s="358">
        <v>0</v>
      </c>
      <c r="S156" s="371"/>
      <c r="T156" s="358">
        <v>0</v>
      </c>
      <c r="U156" s="358">
        <v>0</v>
      </c>
      <c r="V156" s="359"/>
    </row>
    <row r="157" spans="2:23" ht="18" customHeight="1" thickBot="1" x14ac:dyDescent="0.3">
      <c r="B157" s="498" t="s">
        <v>250</v>
      </c>
      <c r="C157" s="499"/>
      <c r="D157" s="499"/>
      <c r="E157" s="499"/>
      <c r="F157" s="499"/>
      <c r="G157" s="499"/>
      <c r="H157" s="500"/>
      <c r="I157" s="134"/>
      <c r="J157" s="135"/>
      <c r="K157" s="135"/>
      <c r="L157" s="136">
        <f>L154+L156</f>
        <v>269297.8</v>
      </c>
      <c r="M157" s="135"/>
      <c r="N157" s="136">
        <f>N154+N156</f>
        <v>71797.8</v>
      </c>
      <c r="O157" s="137"/>
      <c r="P157" s="136">
        <f>P154+P156</f>
        <v>71797.8</v>
      </c>
      <c r="Q157" s="137"/>
      <c r="R157" s="136">
        <f>R154+R156</f>
        <v>51797.8</v>
      </c>
      <c r="S157" s="137"/>
      <c r="T157" s="136">
        <f>T154+T156</f>
        <v>41797.800000000003</v>
      </c>
      <c r="U157" s="136">
        <f>U154+U156</f>
        <v>506489</v>
      </c>
      <c r="V157" s="174"/>
    </row>
    <row r="158" spans="2:23" ht="18" customHeight="1" x14ac:dyDescent="0.25">
      <c r="B158" s="442" t="s">
        <v>643</v>
      </c>
      <c r="C158" s="443"/>
      <c r="D158" s="443"/>
      <c r="E158" s="444"/>
      <c r="F158" s="439" t="s">
        <v>31</v>
      </c>
      <c r="G158" s="439"/>
      <c r="H158" s="439"/>
      <c r="I158" s="342"/>
      <c r="J158" s="343"/>
      <c r="K158" s="343"/>
      <c r="L158" s="344">
        <f>L139+L153+L138</f>
        <v>1634297.8</v>
      </c>
      <c r="M158" s="343"/>
      <c r="N158" s="344">
        <f>N139+N153+N138</f>
        <v>1666797.8</v>
      </c>
      <c r="O158" s="345"/>
      <c r="P158" s="344">
        <f>P139+P153+P138</f>
        <v>959797.8</v>
      </c>
      <c r="Q158" s="345"/>
      <c r="R158" s="344">
        <f>R139+R153+R138</f>
        <v>51797.8</v>
      </c>
      <c r="S158" s="345"/>
      <c r="T158" s="344">
        <f>T139+T153+T138</f>
        <v>41797.800000000003</v>
      </c>
      <c r="U158" s="344">
        <f>U139+U153+U138</f>
        <v>4354489</v>
      </c>
      <c r="V158" s="346"/>
      <c r="W158" s="43"/>
    </row>
    <row r="159" spans="2:23" ht="18" customHeight="1" x14ac:dyDescent="0.25">
      <c r="B159" s="445"/>
      <c r="C159" s="446"/>
      <c r="D159" s="446"/>
      <c r="E159" s="447"/>
      <c r="F159" s="451" t="s">
        <v>691</v>
      </c>
      <c r="G159" s="451"/>
      <c r="H159" s="451"/>
      <c r="I159" s="309"/>
      <c r="J159" s="310"/>
      <c r="K159" s="310"/>
      <c r="L159" s="311">
        <f>L142+L141+L140</f>
        <v>1359998.44</v>
      </c>
      <c r="M159" s="310"/>
      <c r="N159" s="311">
        <f>N142+N141+N140</f>
        <v>1859998.44</v>
      </c>
      <c r="O159" s="312"/>
      <c r="P159" s="311">
        <f>P142+P141+P140</f>
        <v>1859998.44</v>
      </c>
      <c r="Q159" s="312"/>
      <c r="R159" s="311">
        <f>R142+R141+R140</f>
        <v>759998.44</v>
      </c>
      <c r="S159" s="312"/>
      <c r="T159" s="311">
        <f>T142+T141+T140</f>
        <v>759998.44</v>
      </c>
      <c r="U159" s="311">
        <f>U142+U141+U140</f>
        <v>6599992.2000000002</v>
      </c>
      <c r="V159" s="173"/>
      <c r="W159" s="43"/>
    </row>
    <row r="160" spans="2:23" ht="18" customHeight="1" thickBot="1" x14ac:dyDescent="0.3">
      <c r="B160" s="445"/>
      <c r="C160" s="446"/>
      <c r="D160" s="446"/>
      <c r="E160" s="447"/>
      <c r="F160" s="504" t="s">
        <v>683</v>
      </c>
      <c r="G160" s="504"/>
      <c r="H160" s="504"/>
      <c r="I160" s="372"/>
      <c r="J160" s="373"/>
      <c r="K160" s="373"/>
      <c r="L160" s="374">
        <v>0</v>
      </c>
      <c r="M160" s="373"/>
      <c r="N160" s="374">
        <v>0</v>
      </c>
      <c r="O160" s="375"/>
      <c r="P160" s="374">
        <v>0</v>
      </c>
      <c r="Q160" s="375"/>
      <c r="R160" s="374">
        <v>0</v>
      </c>
      <c r="S160" s="375"/>
      <c r="T160" s="374">
        <v>0</v>
      </c>
      <c r="U160" s="374">
        <v>0</v>
      </c>
      <c r="V160" s="308"/>
      <c r="W160" s="43"/>
    </row>
    <row r="161" spans="2:22" s="271" customFormat="1" ht="18" customHeight="1" thickBot="1" x14ac:dyDescent="0.3">
      <c r="B161" s="422" t="s">
        <v>251</v>
      </c>
      <c r="C161" s="423"/>
      <c r="D161" s="423"/>
      <c r="E161" s="423"/>
      <c r="F161" s="423"/>
      <c r="G161" s="423"/>
      <c r="H161" s="424"/>
      <c r="I161" s="377"/>
      <c r="J161" s="378"/>
      <c r="K161" s="380"/>
      <c r="L161" s="379">
        <f>L147+L157</f>
        <v>2994296.2399999998</v>
      </c>
      <c r="M161" s="380"/>
      <c r="N161" s="379">
        <f>N147+N157</f>
        <v>3526796.2399999998</v>
      </c>
      <c r="O161" s="380"/>
      <c r="P161" s="379">
        <f>P147+P157</f>
        <v>2819796.2399999998</v>
      </c>
      <c r="Q161" s="380"/>
      <c r="R161" s="379">
        <f>R147+R157</f>
        <v>811796.24</v>
      </c>
      <c r="S161" s="380"/>
      <c r="T161" s="379">
        <f>T147+T157</f>
        <v>801796.24</v>
      </c>
      <c r="U161" s="379">
        <f>U147+U157</f>
        <v>10954481.199999999</v>
      </c>
      <c r="V161" s="381"/>
    </row>
    <row r="162" spans="2:22" ht="15" customHeight="1" x14ac:dyDescent="0.25">
      <c r="B162" s="505" t="s">
        <v>252</v>
      </c>
      <c r="C162" s="416" t="s">
        <v>588</v>
      </c>
      <c r="D162" s="116" t="s">
        <v>253</v>
      </c>
      <c r="E162" s="115" t="s">
        <v>254</v>
      </c>
      <c r="F162" s="116" t="s">
        <v>31</v>
      </c>
      <c r="G162" s="123" t="s">
        <v>165</v>
      </c>
      <c r="H162" s="118" t="s">
        <v>255</v>
      </c>
      <c r="I162" s="116" t="s">
        <v>269</v>
      </c>
      <c r="J162" s="124">
        <v>15000</v>
      </c>
      <c r="K162" s="124">
        <v>12</v>
      </c>
      <c r="L162" s="120">
        <f t="shared" ref="L162:L163" si="111">+J162*K162</f>
        <v>180000</v>
      </c>
      <c r="M162" s="124"/>
      <c r="N162" s="120">
        <f t="shared" ref="N162" si="112">+$J162*M162</f>
        <v>0</v>
      </c>
      <c r="O162" s="125">
        <v>0</v>
      </c>
      <c r="P162" s="122">
        <f t="shared" ref="P162" si="113">+$J162*O162</f>
        <v>0</v>
      </c>
      <c r="Q162" s="125">
        <v>0</v>
      </c>
      <c r="R162" s="122">
        <f t="shared" ref="R162" si="114">+$J162*Q162</f>
        <v>0</v>
      </c>
      <c r="S162" s="125">
        <v>0</v>
      </c>
      <c r="T162" s="122">
        <f t="shared" ref="T162" si="115">+$J162*S162</f>
        <v>0</v>
      </c>
      <c r="U162" s="122">
        <f>+L162+N162+P162+R162+T162</f>
        <v>180000</v>
      </c>
      <c r="V162" s="126" t="s">
        <v>256</v>
      </c>
    </row>
    <row r="163" spans="2:22" ht="82.5" customHeight="1" x14ac:dyDescent="0.25">
      <c r="B163" s="506"/>
      <c r="C163" s="417"/>
      <c r="D163" s="66" t="s">
        <v>253</v>
      </c>
      <c r="E163" s="320" t="s">
        <v>254</v>
      </c>
      <c r="F163" s="66" t="s">
        <v>31</v>
      </c>
      <c r="G163" s="85" t="s">
        <v>74</v>
      </c>
      <c r="H163" s="68" t="s">
        <v>257</v>
      </c>
      <c r="I163" s="66" t="s">
        <v>258</v>
      </c>
      <c r="J163" s="69">
        <v>10</v>
      </c>
      <c r="K163" s="78">
        <v>10005</v>
      </c>
      <c r="L163" s="79">
        <f t="shared" si="111"/>
        <v>100050</v>
      </c>
      <c r="M163" s="69"/>
      <c r="N163" s="70"/>
      <c r="O163" s="71"/>
      <c r="P163" s="72"/>
      <c r="Q163" s="71"/>
      <c r="R163" s="72"/>
      <c r="S163" s="71"/>
      <c r="T163" s="72"/>
      <c r="U163" s="72">
        <f>+L163+N163+P163+R163+T163</f>
        <v>100050</v>
      </c>
      <c r="V163" s="103" t="s">
        <v>259</v>
      </c>
    </row>
    <row r="164" spans="2:22" ht="15.75" customHeight="1" thickBot="1" x14ac:dyDescent="0.3">
      <c r="B164" s="418" t="s">
        <v>260</v>
      </c>
      <c r="C164" s="419"/>
      <c r="D164" s="420"/>
      <c r="E164" s="419"/>
      <c r="F164" s="420"/>
      <c r="G164" s="420"/>
      <c r="H164" s="420"/>
      <c r="I164" s="324"/>
      <c r="J164" s="325"/>
      <c r="K164" s="325"/>
      <c r="L164" s="326">
        <f>SUM(L162:L163)</f>
        <v>280050</v>
      </c>
      <c r="M164" s="325"/>
      <c r="N164" s="326">
        <f>SUM(N162:N163)</f>
        <v>0</v>
      </c>
      <c r="O164" s="327"/>
      <c r="P164" s="328">
        <f>SUM(P162:P163)</f>
        <v>0</v>
      </c>
      <c r="Q164" s="327"/>
      <c r="R164" s="328">
        <f>SUM(R162:R163)</f>
        <v>0</v>
      </c>
      <c r="S164" s="327"/>
      <c r="T164" s="328">
        <f>SUM(T162:T163)</f>
        <v>0</v>
      </c>
      <c r="U164" s="328">
        <f>SUM(U162:U163)</f>
        <v>280050</v>
      </c>
      <c r="V164" s="391">
        <f>SUM(V153:V163)</f>
        <v>0</v>
      </c>
    </row>
    <row r="165" spans="2:22" ht="15.75" customHeight="1" x14ac:dyDescent="0.25">
      <c r="B165" s="407" t="s">
        <v>275</v>
      </c>
      <c r="C165" s="408"/>
      <c r="D165" s="408"/>
      <c r="E165" s="408"/>
      <c r="F165" s="428" t="s">
        <v>31</v>
      </c>
      <c r="G165" s="429"/>
      <c r="H165" s="430"/>
      <c r="I165" s="352"/>
      <c r="J165" s="353"/>
      <c r="K165" s="353"/>
      <c r="L165" s="354">
        <f>L164</f>
        <v>280050</v>
      </c>
      <c r="M165" s="354"/>
      <c r="N165" s="354">
        <f>N164</f>
        <v>0</v>
      </c>
      <c r="O165" s="354"/>
      <c r="P165" s="354">
        <f>P164</f>
        <v>0</v>
      </c>
      <c r="Q165" s="354"/>
      <c r="R165" s="354">
        <f>R164</f>
        <v>0</v>
      </c>
      <c r="S165" s="354"/>
      <c r="T165" s="354">
        <f>T164</f>
        <v>0</v>
      </c>
      <c r="U165" s="354">
        <f>U164</f>
        <v>280050</v>
      </c>
      <c r="V165" s="355"/>
    </row>
    <row r="166" spans="2:22" ht="15.75" customHeight="1" x14ac:dyDescent="0.25">
      <c r="B166" s="409"/>
      <c r="C166" s="410"/>
      <c r="D166" s="410"/>
      <c r="E166" s="410"/>
      <c r="F166" s="431" t="s">
        <v>687</v>
      </c>
      <c r="G166" s="432"/>
      <c r="H166" s="433"/>
      <c r="I166" s="356"/>
      <c r="J166" s="357"/>
      <c r="K166" s="357"/>
      <c r="L166" s="358">
        <v>0</v>
      </c>
      <c r="M166" s="358"/>
      <c r="N166" s="358">
        <v>0</v>
      </c>
      <c r="O166" s="358"/>
      <c r="P166" s="358">
        <v>0</v>
      </c>
      <c r="Q166" s="358"/>
      <c r="R166" s="358">
        <v>0</v>
      </c>
      <c r="S166" s="358"/>
      <c r="T166" s="358">
        <v>0</v>
      </c>
      <c r="U166" s="358">
        <v>0</v>
      </c>
      <c r="V166" s="359"/>
    </row>
    <row r="167" spans="2:22" ht="15.75" customHeight="1" x14ac:dyDescent="0.25">
      <c r="B167" s="409"/>
      <c r="C167" s="410"/>
      <c r="D167" s="410"/>
      <c r="E167" s="410"/>
      <c r="F167" s="431" t="s">
        <v>689</v>
      </c>
      <c r="G167" s="432"/>
      <c r="H167" s="433"/>
      <c r="I167" s="356"/>
      <c r="J167" s="357"/>
      <c r="K167" s="357"/>
      <c r="L167" s="358">
        <v>0</v>
      </c>
      <c r="M167" s="357"/>
      <c r="N167" s="358">
        <v>0</v>
      </c>
      <c r="O167" s="371"/>
      <c r="P167" s="358">
        <v>0</v>
      </c>
      <c r="Q167" s="371"/>
      <c r="R167" s="358">
        <v>0</v>
      </c>
      <c r="S167" s="371"/>
      <c r="T167" s="358">
        <v>0</v>
      </c>
      <c r="U167" s="358">
        <v>0</v>
      </c>
      <c r="V167" s="359"/>
    </row>
    <row r="168" spans="2:22" ht="15.75" customHeight="1" thickBot="1" x14ac:dyDescent="0.3">
      <c r="B168" s="498" t="s">
        <v>275</v>
      </c>
      <c r="C168" s="499"/>
      <c r="D168" s="499"/>
      <c r="E168" s="499"/>
      <c r="F168" s="499"/>
      <c r="G168" s="499"/>
      <c r="H168" s="500"/>
      <c r="I168" s="134"/>
      <c r="J168" s="135"/>
      <c r="K168" s="135"/>
      <c r="L168" s="136">
        <f>L165+L167</f>
        <v>280050</v>
      </c>
      <c r="M168" s="135"/>
      <c r="N168" s="136">
        <f>N165+N167</f>
        <v>0</v>
      </c>
      <c r="O168" s="137"/>
      <c r="P168" s="136">
        <f>P165+P167</f>
        <v>0</v>
      </c>
      <c r="Q168" s="137"/>
      <c r="R168" s="136">
        <f>R165+R167</f>
        <v>0</v>
      </c>
      <c r="S168" s="137"/>
      <c r="T168" s="136">
        <f>T165+T167</f>
        <v>0</v>
      </c>
      <c r="U168" s="136">
        <f>U165+U167</f>
        <v>280050</v>
      </c>
      <c r="V168" s="174"/>
    </row>
    <row r="169" spans="2:22" ht="15" customHeight="1" x14ac:dyDescent="0.25">
      <c r="B169" s="505" t="s">
        <v>252</v>
      </c>
      <c r="C169" s="416" t="s">
        <v>589</v>
      </c>
      <c r="D169" s="116" t="s">
        <v>261</v>
      </c>
      <c r="E169" s="115" t="s">
        <v>262</v>
      </c>
      <c r="F169" s="116" t="s">
        <v>31</v>
      </c>
      <c r="G169" s="117" t="s">
        <v>32</v>
      </c>
      <c r="H169" s="118" t="s">
        <v>263</v>
      </c>
      <c r="I169" s="116" t="s">
        <v>176</v>
      </c>
      <c r="J169" s="124">
        <v>170</v>
      </c>
      <c r="K169" s="124">
        <v>100</v>
      </c>
      <c r="L169" s="120">
        <f t="shared" ref="L169:L173" si="116">+J169*K169</f>
        <v>17000</v>
      </c>
      <c r="M169" s="124">
        <v>100</v>
      </c>
      <c r="N169" s="120">
        <f t="shared" ref="N169:N177" si="117">+$J169*M169</f>
        <v>17000</v>
      </c>
      <c r="O169" s="125">
        <v>50</v>
      </c>
      <c r="P169" s="122">
        <f t="shared" ref="P169:P177" si="118">+$J169*O169</f>
        <v>8500</v>
      </c>
      <c r="Q169" s="125">
        <v>0</v>
      </c>
      <c r="R169" s="122">
        <f t="shared" ref="R169:R177" si="119">+$J169*Q169</f>
        <v>0</v>
      </c>
      <c r="S169" s="125">
        <v>0</v>
      </c>
      <c r="T169" s="122">
        <f t="shared" ref="T169:T182" si="120">+$J169*S169</f>
        <v>0</v>
      </c>
      <c r="U169" s="122">
        <f t="shared" ref="U169" si="121">+L169+N169+P169+R169+T169</f>
        <v>42500</v>
      </c>
      <c r="V169" s="126" t="s">
        <v>264</v>
      </c>
    </row>
    <row r="170" spans="2:22" ht="24" customHeight="1" x14ac:dyDescent="0.25">
      <c r="B170" s="506"/>
      <c r="C170" s="417"/>
      <c r="D170" s="66" t="s">
        <v>261</v>
      </c>
      <c r="E170" s="320" t="s">
        <v>262</v>
      </c>
      <c r="F170" s="66" t="s">
        <v>31</v>
      </c>
      <c r="G170" s="84" t="s">
        <v>165</v>
      </c>
      <c r="H170" s="68" t="s">
        <v>265</v>
      </c>
      <c r="I170" s="66" t="s">
        <v>266</v>
      </c>
      <c r="J170" s="69">
        <v>350000</v>
      </c>
      <c r="K170" s="69"/>
      <c r="L170" s="70">
        <f t="shared" si="116"/>
        <v>0</v>
      </c>
      <c r="M170" s="69">
        <v>1</v>
      </c>
      <c r="N170" s="70">
        <f t="shared" si="117"/>
        <v>350000</v>
      </c>
      <c r="O170" s="71">
        <v>1</v>
      </c>
      <c r="P170" s="72">
        <f t="shared" si="118"/>
        <v>350000</v>
      </c>
      <c r="Q170" s="71"/>
      <c r="R170" s="72">
        <f t="shared" si="119"/>
        <v>0</v>
      </c>
      <c r="S170" s="71"/>
      <c r="T170" s="72">
        <f t="shared" si="120"/>
        <v>0</v>
      </c>
      <c r="U170" s="72">
        <f t="shared" ref="U170:U173" si="122">+L170+N170+P170+R170+T170</f>
        <v>700000</v>
      </c>
      <c r="V170" s="103" t="s">
        <v>267</v>
      </c>
    </row>
    <row r="171" spans="2:22" ht="24" customHeight="1" x14ac:dyDescent="0.25">
      <c r="B171" s="506"/>
      <c r="C171" s="417"/>
      <c r="D171" s="66" t="s">
        <v>261</v>
      </c>
      <c r="E171" s="320" t="s">
        <v>262</v>
      </c>
      <c r="F171" s="66" t="s">
        <v>31</v>
      </c>
      <c r="G171" s="246" t="s">
        <v>165</v>
      </c>
      <c r="H171" s="94" t="s">
        <v>268</v>
      </c>
      <c r="I171" s="82" t="s">
        <v>269</v>
      </c>
      <c r="J171" s="78">
        <v>25000</v>
      </c>
      <c r="K171" s="78">
        <v>1</v>
      </c>
      <c r="L171" s="79">
        <f t="shared" si="116"/>
        <v>25000</v>
      </c>
      <c r="M171" s="78"/>
      <c r="N171" s="79">
        <f t="shared" si="117"/>
        <v>0</v>
      </c>
      <c r="O171" s="80">
        <v>0</v>
      </c>
      <c r="P171" s="81">
        <f t="shared" si="118"/>
        <v>0</v>
      </c>
      <c r="Q171" s="80">
        <v>0</v>
      </c>
      <c r="R171" s="81">
        <f t="shared" si="119"/>
        <v>0</v>
      </c>
      <c r="S171" s="80">
        <v>0</v>
      </c>
      <c r="T171" s="81">
        <f t="shared" si="120"/>
        <v>0</v>
      </c>
      <c r="U171" s="81">
        <f t="shared" si="122"/>
        <v>25000</v>
      </c>
      <c r="V171" s="103" t="s">
        <v>270</v>
      </c>
    </row>
    <row r="172" spans="2:22" ht="15" customHeight="1" x14ac:dyDescent="0.25">
      <c r="B172" s="506"/>
      <c r="C172" s="417"/>
      <c r="D172" s="66" t="s">
        <v>261</v>
      </c>
      <c r="E172" s="320" t="s">
        <v>262</v>
      </c>
      <c r="F172" s="66" t="s">
        <v>31</v>
      </c>
      <c r="G172" s="93" t="s">
        <v>45</v>
      </c>
      <c r="H172" s="94" t="s">
        <v>271</v>
      </c>
      <c r="I172" s="82" t="s">
        <v>188</v>
      </c>
      <c r="J172" s="78">
        <v>1738.47</v>
      </c>
      <c r="K172" s="78">
        <v>100</v>
      </c>
      <c r="L172" s="79">
        <f t="shared" si="116"/>
        <v>173847</v>
      </c>
      <c r="M172" s="78">
        <v>100</v>
      </c>
      <c r="N172" s="79">
        <f t="shared" si="117"/>
        <v>173847</v>
      </c>
      <c r="O172" s="80">
        <v>99</v>
      </c>
      <c r="P172" s="81">
        <f t="shared" si="118"/>
        <v>172108.53</v>
      </c>
      <c r="Q172" s="80">
        <v>50</v>
      </c>
      <c r="R172" s="81">
        <f t="shared" si="119"/>
        <v>86923.5</v>
      </c>
      <c r="S172" s="80">
        <v>50</v>
      </c>
      <c r="T172" s="81">
        <f t="shared" si="120"/>
        <v>86923.5</v>
      </c>
      <c r="U172" s="81">
        <f t="shared" si="122"/>
        <v>693649.53</v>
      </c>
      <c r="V172" s="104" t="s">
        <v>272</v>
      </c>
    </row>
    <row r="173" spans="2:22" ht="15.75" customHeight="1" x14ac:dyDescent="0.25">
      <c r="B173" s="506"/>
      <c r="C173" s="417"/>
      <c r="D173" s="66" t="s">
        <v>261</v>
      </c>
      <c r="E173" s="320" t="s">
        <v>262</v>
      </c>
      <c r="F173" s="66" t="s">
        <v>31</v>
      </c>
      <c r="G173" s="93" t="s">
        <v>53</v>
      </c>
      <c r="H173" s="94" t="s">
        <v>56</v>
      </c>
      <c r="I173" s="82" t="s">
        <v>190</v>
      </c>
      <c r="J173" s="78">
        <v>900</v>
      </c>
      <c r="K173" s="78">
        <v>2</v>
      </c>
      <c r="L173" s="79">
        <f t="shared" si="116"/>
        <v>1800</v>
      </c>
      <c r="M173" s="78"/>
      <c r="N173" s="79">
        <f t="shared" si="117"/>
        <v>0</v>
      </c>
      <c r="O173" s="80">
        <v>0</v>
      </c>
      <c r="P173" s="81">
        <f t="shared" si="118"/>
        <v>0</v>
      </c>
      <c r="Q173" s="80">
        <v>0</v>
      </c>
      <c r="R173" s="81">
        <f t="shared" si="119"/>
        <v>0</v>
      </c>
      <c r="S173" s="80">
        <v>0</v>
      </c>
      <c r="T173" s="81">
        <f t="shared" si="120"/>
        <v>0</v>
      </c>
      <c r="U173" s="81">
        <f t="shared" si="122"/>
        <v>1800</v>
      </c>
      <c r="V173" s="103" t="s">
        <v>273</v>
      </c>
    </row>
    <row r="174" spans="2:22" ht="15.75" customHeight="1" thickBot="1" x14ac:dyDescent="0.3">
      <c r="B174" s="418" t="s">
        <v>274</v>
      </c>
      <c r="C174" s="419"/>
      <c r="D174" s="420"/>
      <c r="E174" s="419"/>
      <c r="F174" s="420"/>
      <c r="G174" s="420"/>
      <c r="H174" s="420"/>
      <c r="I174" s="324"/>
      <c r="J174" s="325"/>
      <c r="K174" s="325"/>
      <c r="L174" s="326">
        <f>+SUM(L169:L173)</f>
        <v>217647</v>
      </c>
      <c r="M174" s="325"/>
      <c r="N174" s="326">
        <f>+SUM(N169:N173)</f>
        <v>540847</v>
      </c>
      <c r="O174" s="327"/>
      <c r="P174" s="328">
        <f>+SUM(P169:P173)</f>
        <v>530608.53</v>
      </c>
      <c r="Q174" s="327"/>
      <c r="R174" s="328">
        <f>+SUM(R169:R173)</f>
        <v>86923.5</v>
      </c>
      <c r="S174" s="327"/>
      <c r="T174" s="328">
        <f>+SUM(T169:T173)</f>
        <v>86923.5</v>
      </c>
      <c r="U174" s="328">
        <f>+SUM(U169:U173)</f>
        <v>1462949.53</v>
      </c>
      <c r="V174" s="391">
        <f>SUM(V169:V173)</f>
        <v>0</v>
      </c>
    </row>
    <row r="175" spans="2:22" ht="36.75" customHeight="1" x14ac:dyDescent="0.25">
      <c r="B175" s="505" t="s">
        <v>252</v>
      </c>
      <c r="C175" s="416" t="s">
        <v>590</v>
      </c>
      <c r="D175" s="116" t="s">
        <v>276</v>
      </c>
      <c r="E175" s="115" t="s">
        <v>277</v>
      </c>
      <c r="F175" s="116" t="s">
        <v>31</v>
      </c>
      <c r="G175" s="243" t="s">
        <v>45</v>
      </c>
      <c r="H175" s="244" t="s">
        <v>599</v>
      </c>
      <c r="I175" s="129" t="s">
        <v>278</v>
      </c>
      <c r="J175" s="130">
        <v>6250</v>
      </c>
      <c r="K175" s="130">
        <v>4</v>
      </c>
      <c r="L175" s="131">
        <f>+J175*K175</f>
        <v>25000</v>
      </c>
      <c r="M175" s="130">
        <v>4</v>
      </c>
      <c r="N175" s="131">
        <f t="shared" si="117"/>
        <v>25000</v>
      </c>
      <c r="O175" s="132">
        <v>5</v>
      </c>
      <c r="P175" s="133">
        <f t="shared" si="118"/>
        <v>31250</v>
      </c>
      <c r="Q175" s="132">
        <v>4</v>
      </c>
      <c r="R175" s="133">
        <f t="shared" si="119"/>
        <v>25000</v>
      </c>
      <c r="S175" s="132"/>
      <c r="T175" s="133">
        <f t="shared" si="120"/>
        <v>0</v>
      </c>
      <c r="U175" s="133">
        <f t="shared" ref="U175:U182" si="123">+L175+N175+P175+R175+T175</f>
        <v>106250</v>
      </c>
      <c r="V175" s="335" t="s">
        <v>279</v>
      </c>
    </row>
    <row r="176" spans="2:22" ht="28.5" customHeight="1" x14ac:dyDescent="0.25">
      <c r="B176" s="506"/>
      <c r="C176" s="417"/>
      <c r="D176" s="66" t="s">
        <v>276</v>
      </c>
      <c r="E176" s="320" t="s">
        <v>277</v>
      </c>
      <c r="F176" s="66" t="s">
        <v>31</v>
      </c>
      <c r="G176" s="93" t="s">
        <v>45</v>
      </c>
      <c r="H176" s="94" t="s">
        <v>600</v>
      </c>
      <c r="I176" s="82" t="s">
        <v>278</v>
      </c>
      <c r="J176" s="78">
        <v>698.57</v>
      </c>
      <c r="K176" s="78">
        <v>28</v>
      </c>
      <c r="L176" s="79">
        <f>+J176*K176</f>
        <v>19559.960000000003</v>
      </c>
      <c r="M176" s="78">
        <v>28</v>
      </c>
      <c r="N176" s="79">
        <f t="shared" si="117"/>
        <v>19559.960000000003</v>
      </c>
      <c r="O176" s="80">
        <v>28</v>
      </c>
      <c r="P176" s="81">
        <f t="shared" si="118"/>
        <v>19559.960000000003</v>
      </c>
      <c r="Q176" s="80">
        <v>28</v>
      </c>
      <c r="R176" s="81">
        <f t="shared" si="119"/>
        <v>19559.960000000003</v>
      </c>
      <c r="S176" s="80">
        <v>28</v>
      </c>
      <c r="T176" s="81">
        <f t="shared" si="120"/>
        <v>19559.960000000003</v>
      </c>
      <c r="U176" s="81">
        <f t="shared" si="123"/>
        <v>97799.800000000017</v>
      </c>
      <c r="V176" s="104" t="s">
        <v>601</v>
      </c>
    </row>
    <row r="177" spans="2:22" ht="38.25" customHeight="1" x14ac:dyDescent="0.25">
      <c r="B177" s="506"/>
      <c r="C177" s="417"/>
      <c r="D177" s="66" t="s">
        <v>276</v>
      </c>
      <c r="E177" s="320" t="s">
        <v>277</v>
      </c>
      <c r="F177" s="66" t="s">
        <v>31</v>
      </c>
      <c r="G177" s="93" t="s">
        <v>32</v>
      </c>
      <c r="H177" s="94" t="s">
        <v>604</v>
      </c>
      <c r="I177" s="82" t="s">
        <v>34</v>
      </c>
      <c r="J177" s="78">
        <v>1500</v>
      </c>
      <c r="K177" s="78">
        <v>24</v>
      </c>
      <c r="L177" s="79">
        <f>+J177*K177</f>
        <v>36000</v>
      </c>
      <c r="M177" s="78">
        <v>24</v>
      </c>
      <c r="N177" s="79">
        <f t="shared" si="117"/>
        <v>36000</v>
      </c>
      <c r="O177" s="80">
        <v>24</v>
      </c>
      <c r="P177" s="81">
        <f t="shared" si="118"/>
        <v>36000</v>
      </c>
      <c r="Q177" s="78">
        <v>0</v>
      </c>
      <c r="R177" s="79">
        <f t="shared" si="119"/>
        <v>0</v>
      </c>
      <c r="S177" s="78">
        <v>0</v>
      </c>
      <c r="T177" s="79">
        <f t="shared" si="120"/>
        <v>0</v>
      </c>
      <c r="U177" s="81">
        <f t="shared" si="123"/>
        <v>108000</v>
      </c>
      <c r="V177" s="104" t="s">
        <v>602</v>
      </c>
    </row>
    <row r="178" spans="2:22" ht="28.5" customHeight="1" x14ac:dyDescent="0.25">
      <c r="B178" s="506"/>
      <c r="C178" s="417"/>
      <c r="D178" s="66" t="s">
        <v>276</v>
      </c>
      <c r="E178" s="320" t="s">
        <v>277</v>
      </c>
      <c r="F178" s="66" t="s">
        <v>31</v>
      </c>
      <c r="G178" s="93" t="s">
        <v>53</v>
      </c>
      <c r="H178" s="94" t="s">
        <v>603</v>
      </c>
      <c r="I178" s="82" t="s">
        <v>76</v>
      </c>
      <c r="J178" s="78">
        <v>1</v>
      </c>
      <c r="K178" s="78">
        <v>20000</v>
      </c>
      <c r="L178" s="79">
        <f>+J178*K178</f>
        <v>20000</v>
      </c>
      <c r="M178" s="78">
        <v>0</v>
      </c>
      <c r="N178" s="79">
        <f t="shared" ref="N178" si="124">+$J178*M178</f>
        <v>0</v>
      </c>
      <c r="O178" s="80">
        <v>0</v>
      </c>
      <c r="P178" s="81">
        <f t="shared" ref="P178" si="125">+$J178*O178</f>
        <v>0</v>
      </c>
      <c r="Q178" s="78">
        <v>0</v>
      </c>
      <c r="R178" s="79">
        <f t="shared" ref="R178" si="126">+$J178*Q178</f>
        <v>0</v>
      </c>
      <c r="S178" s="78">
        <v>0</v>
      </c>
      <c r="T178" s="79">
        <f t="shared" si="120"/>
        <v>0</v>
      </c>
      <c r="U178" s="81">
        <f t="shared" si="123"/>
        <v>20000</v>
      </c>
      <c r="V178" s="104" t="s">
        <v>606</v>
      </c>
    </row>
    <row r="179" spans="2:22" ht="39" customHeight="1" x14ac:dyDescent="0.25">
      <c r="B179" s="506"/>
      <c r="C179" s="417"/>
      <c r="D179" s="66" t="s">
        <v>276</v>
      </c>
      <c r="E179" s="320" t="s">
        <v>277</v>
      </c>
      <c r="F179" s="66" t="s">
        <v>31</v>
      </c>
      <c r="G179" s="93" t="s">
        <v>32</v>
      </c>
      <c r="H179" s="94" t="s">
        <v>654</v>
      </c>
      <c r="I179" s="82" t="s">
        <v>34</v>
      </c>
      <c r="J179" s="78">
        <v>2100</v>
      </c>
      <c r="K179" s="78">
        <v>6</v>
      </c>
      <c r="L179" s="79">
        <f>+J179*K179</f>
        <v>12600</v>
      </c>
      <c r="M179" s="78">
        <v>0</v>
      </c>
      <c r="N179" s="79">
        <f t="shared" ref="N179:N181" si="127">+$J179*M179</f>
        <v>0</v>
      </c>
      <c r="O179" s="80">
        <v>0</v>
      </c>
      <c r="P179" s="81">
        <f t="shared" ref="P179:P181" si="128">+$J179*O179</f>
        <v>0</v>
      </c>
      <c r="Q179" s="78">
        <v>0</v>
      </c>
      <c r="R179" s="79">
        <f t="shared" ref="R179:R181" si="129">+$J179*Q179</f>
        <v>0</v>
      </c>
      <c r="S179" s="78">
        <v>0</v>
      </c>
      <c r="T179" s="79">
        <f t="shared" ref="T179:T181" si="130">+$J179*S179</f>
        <v>0</v>
      </c>
      <c r="U179" s="81">
        <f t="shared" si="123"/>
        <v>12600</v>
      </c>
      <c r="V179" s="104" t="s">
        <v>649</v>
      </c>
    </row>
    <row r="180" spans="2:22" ht="28.5" customHeight="1" x14ac:dyDescent="0.25">
      <c r="B180" s="506"/>
      <c r="C180" s="417"/>
      <c r="D180" s="66" t="s">
        <v>276</v>
      </c>
      <c r="E180" s="320" t="s">
        <v>277</v>
      </c>
      <c r="F180" s="66" t="s">
        <v>31</v>
      </c>
      <c r="G180" s="246" t="s">
        <v>165</v>
      </c>
      <c r="H180" s="94" t="s">
        <v>648</v>
      </c>
      <c r="I180" s="82" t="s">
        <v>76</v>
      </c>
      <c r="J180" s="78">
        <v>10000</v>
      </c>
      <c r="K180" s="78">
        <v>1</v>
      </c>
      <c r="L180" s="79">
        <f>J180*K180</f>
        <v>10000</v>
      </c>
      <c r="M180" s="78">
        <v>0</v>
      </c>
      <c r="N180" s="79">
        <f t="shared" si="127"/>
        <v>0</v>
      </c>
      <c r="O180" s="80">
        <v>0</v>
      </c>
      <c r="P180" s="81">
        <f t="shared" si="128"/>
        <v>0</v>
      </c>
      <c r="Q180" s="78">
        <v>0</v>
      </c>
      <c r="R180" s="79">
        <f t="shared" si="129"/>
        <v>0</v>
      </c>
      <c r="S180" s="78">
        <v>0</v>
      </c>
      <c r="T180" s="79">
        <f t="shared" si="130"/>
        <v>0</v>
      </c>
      <c r="U180" s="81">
        <f t="shared" si="123"/>
        <v>10000</v>
      </c>
      <c r="V180" s="104" t="s">
        <v>650</v>
      </c>
    </row>
    <row r="181" spans="2:22" ht="28.5" customHeight="1" x14ac:dyDescent="0.25">
      <c r="B181" s="506"/>
      <c r="C181" s="417"/>
      <c r="D181" s="66" t="s">
        <v>276</v>
      </c>
      <c r="E181" s="320" t="s">
        <v>277</v>
      </c>
      <c r="F181" s="66" t="s">
        <v>31</v>
      </c>
      <c r="G181" s="93" t="s">
        <v>45</v>
      </c>
      <c r="H181" s="94" t="s">
        <v>657</v>
      </c>
      <c r="I181" s="82" t="s">
        <v>47</v>
      </c>
      <c r="J181" s="78">
        <v>650</v>
      </c>
      <c r="K181" s="78">
        <v>16</v>
      </c>
      <c r="L181" s="79">
        <f>J181*K181</f>
        <v>10400</v>
      </c>
      <c r="M181" s="78">
        <v>0</v>
      </c>
      <c r="N181" s="79">
        <f t="shared" si="127"/>
        <v>0</v>
      </c>
      <c r="O181" s="80">
        <v>0</v>
      </c>
      <c r="P181" s="81">
        <f t="shared" si="128"/>
        <v>0</v>
      </c>
      <c r="Q181" s="78">
        <v>0</v>
      </c>
      <c r="R181" s="79">
        <f t="shared" si="129"/>
        <v>0</v>
      </c>
      <c r="S181" s="78">
        <v>0</v>
      </c>
      <c r="T181" s="79">
        <f t="shared" si="130"/>
        <v>0</v>
      </c>
      <c r="U181" s="81">
        <f t="shared" si="123"/>
        <v>10400</v>
      </c>
      <c r="V181" s="104" t="s">
        <v>651</v>
      </c>
    </row>
    <row r="182" spans="2:22" ht="35.25" customHeight="1" x14ac:dyDescent="0.25">
      <c r="B182" s="506"/>
      <c r="C182" s="417"/>
      <c r="D182" s="66" t="s">
        <v>276</v>
      </c>
      <c r="E182" s="320" t="s">
        <v>277</v>
      </c>
      <c r="F182" s="82" t="s">
        <v>31</v>
      </c>
      <c r="G182" s="93" t="s">
        <v>45</v>
      </c>
      <c r="H182" s="94" t="s">
        <v>280</v>
      </c>
      <c r="I182" s="82" t="s">
        <v>278</v>
      </c>
      <c r="J182" s="78">
        <v>2400</v>
      </c>
      <c r="K182" s="78">
        <v>1</v>
      </c>
      <c r="L182" s="79">
        <f>+J182*K182</f>
        <v>2400</v>
      </c>
      <c r="M182" s="78">
        <v>1</v>
      </c>
      <c r="N182" s="79">
        <f>+L182*M182</f>
        <v>2400</v>
      </c>
      <c r="O182" s="80">
        <v>1</v>
      </c>
      <c r="P182" s="81">
        <f>+N182*O182</f>
        <v>2400</v>
      </c>
      <c r="Q182" s="80">
        <v>1</v>
      </c>
      <c r="R182" s="81">
        <f>+P182*Q182</f>
        <v>2400</v>
      </c>
      <c r="S182" s="80">
        <v>1</v>
      </c>
      <c r="T182" s="81">
        <f t="shared" si="120"/>
        <v>2400</v>
      </c>
      <c r="U182" s="81">
        <f t="shared" si="123"/>
        <v>12000</v>
      </c>
      <c r="V182" s="104" t="s">
        <v>281</v>
      </c>
    </row>
    <row r="183" spans="2:22" ht="15.75" customHeight="1" thickBot="1" x14ac:dyDescent="0.3">
      <c r="B183" s="418" t="s">
        <v>282</v>
      </c>
      <c r="C183" s="419"/>
      <c r="D183" s="420"/>
      <c r="E183" s="419"/>
      <c r="F183" s="420"/>
      <c r="G183" s="420"/>
      <c r="H183" s="420"/>
      <c r="I183" s="324"/>
      <c r="J183" s="325"/>
      <c r="K183" s="325"/>
      <c r="L183" s="326">
        <f>SUM(L175:L182)</f>
        <v>135959.96000000002</v>
      </c>
      <c r="M183" s="325"/>
      <c r="N183" s="326">
        <f>SUM(N175:N182)</f>
        <v>82959.960000000006</v>
      </c>
      <c r="O183" s="327"/>
      <c r="P183" s="326">
        <f>SUM(P175:P182)</f>
        <v>89209.96</v>
      </c>
      <c r="Q183" s="327"/>
      <c r="R183" s="326">
        <f>SUM(R175:R182)</f>
        <v>46959.960000000006</v>
      </c>
      <c r="S183" s="327"/>
      <c r="T183" s="326">
        <f>SUM(T175:T182)</f>
        <v>21959.960000000003</v>
      </c>
      <c r="U183" s="326">
        <f>SUM(U175:U182)</f>
        <v>377049.80000000005</v>
      </c>
      <c r="V183" s="391">
        <f>SUM(V171:V175)</f>
        <v>0</v>
      </c>
    </row>
    <row r="184" spans="2:22" ht="15" customHeight="1" x14ac:dyDescent="0.25">
      <c r="B184" s="507" t="s">
        <v>283</v>
      </c>
      <c r="C184" s="508"/>
      <c r="D184" s="508"/>
      <c r="E184" s="508"/>
      <c r="F184" s="469" t="s">
        <v>31</v>
      </c>
      <c r="G184" s="470"/>
      <c r="H184" s="471"/>
      <c r="I184" s="393"/>
      <c r="J184" s="394"/>
      <c r="K184" s="394"/>
      <c r="L184" s="395">
        <f>L174+L183</f>
        <v>353606.96</v>
      </c>
      <c r="M184" s="395"/>
      <c r="N184" s="395">
        <f>N174+N183</f>
        <v>623806.96</v>
      </c>
      <c r="O184" s="395"/>
      <c r="P184" s="395">
        <f>P174+P183</f>
        <v>619818.49</v>
      </c>
      <c r="Q184" s="395"/>
      <c r="R184" s="395">
        <f>R174+R183</f>
        <v>133883.46000000002</v>
      </c>
      <c r="S184" s="395"/>
      <c r="T184" s="395">
        <f>T174+T183</f>
        <v>108883.46</v>
      </c>
      <c r="U184" s="395">
        <f>U174+U183</f>
        <v>1839999.33</v>
      </c>
      <c r="V184" s="396"/>
    </row>
    <row r="185" spans="2:22" ht="15" customHeight="1" x14ac:dyDescent="0.25">
      <c r="B185" s="507"/>
      <c r="C185" s="508"/>
      <c r="D185" s="508"/>
      <c r="E185" s="508"/>
      <c r="F185" s="431" t="s">
        <v>687</v>
      </c>
      <c r="G185" s="432"/>
      <c r="H185" s="433"/>
      <c r="I185" s="393"/>
      <c r="J185" s="394"/>
      <c r="K185" s="394"/>
      <c r="L185" s="395">
        <v>0</v>
      </c>
      <c r="M185" s="395"/>
      <c r="N185" s="395">
        <v>0</v>
      </c>
      <c r="O185" s="395"/>
      <c r="P185" s="395">
        <v>0</v>
      </c>
      <c r="Q185" s="395"/>
      <c r="R185" s="395">
        <v>0</v>
      </c>
      <c r="S185" s="395"/>
      <c r="T185" s="395">
        <v>0</v>
      </c>
      <c r="U185" s="395">
        <v>0</v>
      </c>
      <c r="V185" s="396"/>
    </row>
    <row r="186" spans="2:22" ht="15.75" customHeight="1" x14ac:dyDescent="0.25">
      <c r="B186" s="409"/>
      <c r="C186" s="410"/>
      <c r="D186" s="410"/>
      <c r="E186" s="410"/>
      <c r="F186" s="431" t="s">
        <v>689</v>
      </c>
      <c r="G186" s="432"/>
      <c r="H186" s="433"/>
      <c r="I186" s="356"/>
      <c r="J186" s="357"/>
      <c r="K186" s="357"/>
      <c r="L186" s="358">
        <v>0</v>
      </c>
      <c r="M186" s="357"/>
      <c r="N186" s="358">
        <v>0</v>
      </c>
      <c r="O186" s="371"/>
      <c r="P186" s="358">
        <v>0</v>
      </c>
      <c r="Q186" s="371"/>
      <c r="R186" s="358">
        <v>0</v>
      </c>
      <c r="S186" s="371"/>
      <c r="T186" s="358">
        <v>0</v>
      </c>
      <c r="U186" s="358">
        <v>0</v>
      </c>
      <c r="V186" s="359"/>
    </row>
    <row r="187" spans="2:22" ht="15.75" customHeight="1" thickBot="1" x14ac:dyDescent="0.3">
      <c r="B187" s="501" t="s">
        <v>283</v>
      </c>
      <c r="C187" s="502"/>
      <c r="D187" s="502"/>
      <c r="E187" s="502"/>
      <c r="F187" s="502"/>
      <c r="G187" s="502"/>
      <c r="H187" s="503"/>
      <c r="I187" s="265"/>
      <c r="J187" s="266"/>
      <c r="K187" s="266"/>
      <c r="L187" s="267">
        <f>L184+L186</f>
        <v>353606.96</v>
      </c>
      <c r="M187" s="266"/>
      <c r="N187" s="267">
        <f>N184+N186</f>
        <v>623806.96</v>
      </c>
      <c r="O187" s="268"/>
      <c r="P187" s="267">
        <f>P184+P186</f>
        <v>619818.49</v>
      </c>
      <c r="Q187" s="268"/>
      <c r="R187" s="267">
        <f>R184+R186</f>
        <v>133883.46000000002</v>
      </c>
      <c r="S187" s="268"/>
      <c r="T187" s="267">
        <f>T184+T186</f>
        <v>108883.46</v>
      </c>
      <c r="U187" s="267">
        <f>U184+U186</f>
        <v>1839999.33</v>
      </c>
      <c r="V187" s="269"/>
    </row>
    <row r="188" spans="2:22" ht="56.25" customHeight="1" x14ac:dyDescent="0.25">
      <c r="B188" s="401" t="s">
        <v>252</v>
      </c>
      <c r="C188" s="318" t="s">
        <v>590</v>
      </c>
      <c r="D188" s="116" t="s">
        <v>284</v>
      </c>
      <c r="E188" s="115" t="s">
        <v>285</v>
      </c>
      <c r="F188" s="116" t="s">
        <v>31</v>
      </c>
      <c r="G188" s="117" t="s">
        <v>45</v>
      </c>
      <c r="H188" s="118" t="s">
        <v>286</v>
      </c>
      <c r="I188" s="116" t="s">
        <v>287</v>
      </c>
      <c r="J188" s="124">
        <v>15000</v>
      </c>
      <c r="K188" s="124">
        <v>5</v>
      </c>
      <c r="L188" s="120">
        <f t="shared" ref="L188" si="131">+J188*K188</f>
        <v>75000</v>
      </c>
      <c r="M188" s="124">
        <v>5</v>
      </c>
      <c r="N188" s="120">
        <f t="shared" ref="N188" si="132">+$J188*M188</f>
        <v>75000</v>
      </c>
      <c r="O188" s="402"/>
      <c r="P188" s="403"/>
      <c r="Q188" s="402"/>
      <c r="R188" s="403"/>
      <c r="S188" s="402"/>
      <c r="T188" s="403"/>
      <c r="U188" s="122">
        <f t="shared" ref="U188:U195" si="133">+L188+N188+P188+R188+T188</f>
        <v>150000</v>
      </c>
      <c r="V188" s="175" t="s">
        <v>288</v>
      </c>
    </row>
    <row r="189" spans="2:22" ht="15.75" customHeight="1" thickBot="1" x14ac:dyDescent="0.3">
      <c r="B189" s="418" t="s">
        <v>289</v>
      </c>
      <c r="C189" s="419"/>
      <c r="D189" s="420"/>
      <c r="E189" s="419"/>
      <c r="F189" s="420"/>
      <c r="G189" s="420"/>
      <c r="H189" s="420"/>
      <c r="I189" s="324"/>
      <c r="J189" s="325"/>
      <c r="K189" s="325"/>
      <c r="L189" s="326">
        <f>+L188</f>
        <v>75000</v>
      </c>
      <c r="M189" s="325"/>
      <c r="N189" s="326">
        <f>+N188</f>
        <v>75000</v>
      </c>
      <c r="O189" s="327"/>
      <c r="P189" s="328">
        <f>+P188</f>
        <v>0</v>
      </c>
      <c r="Q189" s="327"/>
      <c r="R189" s="328">
        <f>+R188</f>
        <v>0</v>
      </c>
      <c r="S189" s="327"/>
      <c r="T189" s="328">
        <f>+T188</f>
        <v>0</v>
      </c>
      <c r="U189" s="328">
        <f>+U188</f>
        <v>150000</v>
      </c>
      <c r="V189" s="391">
        <f>SUM(V174:V188)</f>
        <v>0</v>
      </c>
    </row>
    <row r="190" spans="2:22" ht="15" customHeight="1" x14ac:dyDescent="0.25">
      <c r="B190" s="550" t="s">
        <v>252</v>
      </c>
      <c r="C190" s="416" t="s">
        <v>590</v>
      </c>
      <c r="D190" s="116" t="s">
        <v>284</v>
      </c>
      <c r="E190" s="115" t="s">
        <v>290</v>
      </c>
      <c r="F190" s="116" t="s">
        <v>31</v>
      </c>
      <c r="G190" s="117" t="s">
        <v>32</v>
      </c>
      <c r="H190" s="118" t="s">
        <v>291</v>
      </c>
      <c r="I190" s="116" t="s">
        <v>176</v>
      </c>
      <c r="J190" s="124">
        <v>170</v>
      </c>
      <c r="K190" s="124">
        <v>100</v>
      </c>
      <c r="L190" s="120">
        <f t="shared" ref="L190:L191" si="134">+J190*K190</f>
        <v>17000</v>
      </c>
      <c r="M190" s="124">
        <v>100</v>
      </c>
      <c r="N190" s="120">
        <f t="shared" ref="N190:N191" si="135">+$J190*M190</f>
        <v>17000</v>
      </c>
      <c r="O190" s="125">
        <v>50</v>
      </c>
      <c r="P190" s="122">
        <f t="shared" ref="P190:P191" si="136">+$J190*O190</f>
        <v>8500</v>
      </c>
      <c r="Q190" s="125">
        <v>0</v>
      </c>
      <c r="R190" s="122">
        <f t="shared" ref="R190:R191" si="137">+$J190*Q190</f>
        <v>0</v>
      </c>
      <c r="S190" s="125">
        <v>0</v>
      </c>
      <c r="T190" s="122">
        <f t="shared" ref="T190:T191" si="138">+$J190*S190</f>
        <v>0</v>
      </c>
      <c r="U190" s="122">
        <f t="shared" ref="U190" si="139">+L190+N190+P190+R190+T190</f>
        <v>42500</v>
      </c>
      <c r="V190" s="126" t="s">
        <v>292</v>
      </c>
    </row>
    <row r="191" spans="2:22" ht="96" customHeight="1" x14ac:dyDescent="0.25">
      <c r="B191" s="551"/>
      <c r="C191" s="417"/>
      <c r="D191" s="66" t="s">
        <v>284</v>
      </c>
      <c r="E191" s="320" t="s">
        <v>290</v>
      </c>
      <c r="F191" s="66" t="s">
        <v>31</v>
      </c>
      <c r="G191" s="93" t="s">
        <v>45</v>
      </c>
      <c r="H191" s="94" t="s">
        <v>609</v>
      </c>
      <c r="I191" s="82" t="s">
        <v>47</v>
      </c>
      <c r="J191" s="78">
        <v>10000</v>
      </c>
      <c r="K191" s="78">
        <v>10</v>
      </c>
      <c r="L191" s="79">
        <f t="shared" si="134"/>
        <v>100000</v>
      </c>
      <c r="M191" s="78">
        <v>30</v>
      </c>
      <c r="N191" s="79">
        <f t="shared" si="135"/>
        <v>300000</v>
      </c>
      <c r="O191" s="80">
        <v>25</v>
      </c>
      <c r="P191" s="81">
        <f t="shared" si="136"/>
        <v>250000</v>
      </c>
      <c r="Q191" s="80">
        <v>20</v>
      </c>
      <c r="R191" s="81">
        <f t="shared" si="137"/>
        <v>200000</v>
      </c>
      <c r="S191" s="80">
        <v>10</v>
      </c>
      <c r="T191" s="81">
        <f t="shared" si="138"/>
        <v>100000</v>
      </c>
      <c r="U191" s="81">
        <f t="shared" si="133"/>
        <v>950000</v>
      </c>
      <c r="V191" s="103" t="s">
        <v>293</v>
      </c>
    </row>
    <row r="192" spans="2:22" ht="15.75" customHeight="1" thickBot="1" x14ac:dyDescent="0.3">
      <c r="B192" s="418" t="s">
        <v>294</v>
      </c>
      <c r="C192" s="419"/>
      <c r="D192" s="420"/>
      <c r="E192" s="419"/>
      <c r="F192" s="420"/>
      <c r="G192" s="420"/>
      <c r="H192" s="420"/>
      <c r="I192" s="324"/>
      <c r="J192" s="325"/>
      <c r="K192" s="325"/>
      <c r="L192" s="326">
        <f>+L190+L191</f>
        <v>117000</v>
      </c>
      <c r="M192" s="325"/>
      <c r="N192" s="326">
        <f>+N190+N191</f>
        <v>317000</v>
      </c>
      <c r="O192" s="327"/>
      <c r="P192" s="328">
        <f>+P190+P191</f>
        <v>258500</v>
      </c>
      <c r="Q192" s="327"/>
      <c r="R192" s="328">
        <f>+R190+R191</f>
        <v>200000</v>
      </c>
      <c r="S192" s="327"/>
      <c r="T192" s="328">
        <f>+T190+T191</f>
        <v>100000</v>
      </c>
      <c r="U192" s="328">
        <f>SUM(U190:U191)</f>
        <v>992500</v>
      </c>
      <c r="V192" s="391">
        <f>SUM(V184:V191)</f>
        <v>0</v>
      </c>
    </row>
    <row r="193" spans="2:23" s="9" customFormat="1" ht="58.5" customHeight="1" x14ac:dyDescent="0.25">
      <c r="B193" s="440" t="s">
        <v>295</v>
      </c>
      <c r="C193" s="416" t="s">
        <v>590</v>
      </c>
      <c r="D193" s="116" t="s">
        <v>284</v>
      </c>
      <c r="E193" s="115" t="s">
        <v>296</v>
      </c>
      <c r="F193" s="115" t="s">
        <v>689</v>
      </c>
      <c r="G193" s="243" t="s">
        <v>45</v>
      </c>
      <c r="H193" s="244" t="s">
        <v>610</v>
      </c>
      <c r="I193" s="397" t="s">
        <v>47</v>
      </c>
      <c r="J193" s="398">
        <v>400</v>
      </c>
      <c r="K193" s="398">
        <v>50</v>
      </c>
      <c r="L193" s="399">
        <f t="shared" ref="L193:L195" si="140">+J193*K193</f>
        <v>20000</v>
      </c>
      <c r="M193" s="400">
        <v>100</v>
      </c>
      <c r="N193" s="398">
        <f t="shared" ref="N193:N195" si="141">+$J193*M193</f>
        <v>40000</v>
      </c>
      <c r="O193" s="398">
        <v>50</v>
      </c>
      <c r="P193" s="398">
        <f t="shared" ref="P193:P195" si="142">+$J193*O193</f>
        <v>20000</v>
      </c>
      <c r="Q193" s="399">
        <v>50</v>
      </c>
      <c r="R193" s="400">
        <f t="shared" ref="R193:R195" si="143">+$J193*Q193</f>
        <v>20000</v>
      </c>
      <c r="S193" s="398">
        <v>50</v>
      </c>
      <c r="T193" s="398">
        <f t="shared" ref="T193:T195" si="144">+$J193*S193</f>
        <v>20000</v>
      </c>
      <c r="U193" s="398">
        <f t="shared" si="133"/>
        <v>120000</v>
      </c>
      <c r="V193" s="126" t="s">
        <v>297</v>
      </c>
    </row>
    <row r="194" spans="2:23" s="9" customFormat="1" ht="19.5" customHeight="1" x14ac:dyDescent="0.25">
      <c r="B194" s="441"/>
      <c r="C194" s="417"/>
      <c r="D194" s="66" t="s">
        <v>284</v>
      </c>
      <c r="E194" s="320" t="s">
        <v>296</v>
      </c>
      <c r="F194" s="320" t="s">
        <v>689</v>
      </c>
      <c r="G194" s="67" t="s">
        <v>41</v>
      </c>
      <c r="H194" s="317" t="s">
        <v>298</v>
      </c>
      <c r="I194" s="83" t="s">
        <v>200</v>
      </c>
      <c r="J194" s="98">
        <v>250</v>
      </c>
      <c r="K194" s="98">
        <v>50</v>
      </c>
      <c r="L194" s="96">
        <f>+J194*K194</f>
        <v>12500</v>
      </c>
      <c r="M194" s="95">
        <v>50</v>
      </c>
      <c r="N194" s="95">
        <f t="shared" si="141"/>
        <v>12500</v>
      </c>
      <c r="O194" s="95">
        <v>50</v>
      </c>
      <c r="P194" s="95">
        <f t="shared" si="142"/>
        <v>12500</v>
      </c>
      <c r="Q194" s="95">
        <v>50</v>
      </c>
      <c r="R194" s="97">
        <f t="shared" si="143"/>
        <v>12500</v>
      </c>
      <c r="S194" s="95">
        <v>40</v>
      </c>
      <c r="T194" s="95">
        <f t="shared" si="144"/>
        <v>10000</v>
      </c>
      <c r="U194" s="95">
        <f t="shared" si="133"/>
        <v>60000</v>
      </c>
      <c r="V194" s="106" t="s">
        <v>299</v>
      </c>
    </row>
    <row r="195" spans="2:23" s="9" customFormat="1" ht="58.5" customHeight="1" x14ac:dyDescent="0.25">
      <c r="B195" s="441"/>
      <c r="C195" s="417"/>
      <c r="D195" s="66" t="s">
        <v>284</v>
      </c>
      <c r="E195" s="320" t="s">
        <v>296</v>
      </c>
      <c r="F195" s="320" t="s">
        <v>689</v>
      </c>
      <c r="G195" s="67" t="s">
        <v>196</v>
      </c>
      <c r="H195" s="317" t="s">
        <v>300</v>
      </c>
      <c r="I195" s="83" t="s">
        <v>34</v>
      </c>
      <c r="J195" s="98">
        <v>2000</v>
      </c>
      <c r="K195" s="98">
        <v>12</v>
      </c>
      <c r="L195" s="99">
        <f t="shared" si="140"/>
        <v>24000</v>
      </c>
      <c r="M195" s="100">
        <v>12</v>
      </c>
      <c r="N195" s="98">
        <f t="shared" si="141"/>
        <v>24000</v>
      </c>
      <c r="O195" s="98">
        <v>12</v>
      </c>
      <c r="P195" s="98">
        <f t="shared" si="142"/>
        <v>24000</v>
      </c>
      <c r="Q195" s="99">
        <v>12</v>
      </c>
      <c r="R195" s="100">
        <f t="shared" si="143"/>
        <v>24000</v>
      </c>
      <c r="S195" s="98">
        <v>12</v>
      </c>
      <c r="T195" s="98">
        <f t="shared" si="144"/>
        <v>24000</v>
      </c>
      <c r="U195" s="98">
        <f t="shared" si="133"/>
        <v>120000</v>
      </c>
      <c r="V195" s="104" t="s">
        <v>301</v>
      </c>
    </row>
    <row r="196" spans="2:23" ht="15.75" customHeight="1" thickBot="1" x14ac:dyDescent="0.3">
      <c r="B196" s="418" t="s">
        <v>302</v>
      </c>
      <c r="C196" s="419"/>
      <c r="D196" s="420"/>
      <c r="E196" s="419"/>
      <c r="F196" s="420"/>
      <c r="G196" s="420"/>
      <c r="H196" s="420"/>
      <c r="I196" s="324"/>
      <c r="J196" s="325"/>
      <c r="K196" s="325"/>
      <c r="L196" s="326">
        <f>SUM(L193:L195)</f>
        <v>56500</v>
      </c>
      <c r="M196" s="325"/>
      <c r="N196" s="326">
        <f>SUM(N193:N195)</f>
        <v>76500</v>
      </c>
      <c r="O196" s="327"/>
      <c r="P196" s="328">
        <f>SUM(P193:P195)</f>
        <v>56500</v>
      </c>
      <c r="Q196" s="327"/>
      <c r="R196" s="328">
        <f>SUM(R193:R195)</f>
        <v>56500</v>
      </c>
      <c r="S196" s="327"/>
      <c r="T196" s="328">
        <f>SUM(T193:T195)</f>
        <v>54000</v>
      </c>
      <c r="U196" s="328">
        <f>SUM(U193:U195)</f>
        <v>300000</v>
      </c>
      <c r="V196" s="391">
        <f>SUM(V189:V193)</f>
        <v>0</v>
      </c>
    </row>
    <row r="197" spans="2:23" ht="40.5" customHeight="1" x14ac:dyDescent="0.25">
      <c r="B197" s="505" t="s">
        <v>295</v>
      </c>
      <c r="C197" s="416" t="s">
        <v>590</v>
      </c>
      <c r="D197" s="116" t="s">
        <v>284</v>
      </c>
      <c r="E197" s="115" t="s">
        <v>303</v>
      </c>
      <c r="F197" s="116" t="s">
        <v>31</v>
      </c>
      <c r="G197" s="117" t="s">
        <v>165</v>
      </c>
      <c r="H197" s="118" t="s">
        <v>594</v>
      </c>
      <c r="I197" s="116" t="s">
        <v>206</v>
      </c>
      <c r="J197" s="124">
        <v>300000</v>
      </c>
      <c r="K197" s="124">
        <v>0</v>
      </c>
      <c r="L197" s="120">
        <f t="shared" ref="L197:L199" si="145">+J197*K197</f>
        <v>0</v>
      </c>
      <c r="M197" s="124">
        <v>0</v>
      </c>
      <c r="N197" s="120">
        <f t="shared" ref="N197:N199" si="146">+$J197*M197</f>
        <v>0</v>
      </c>
      <c r="O197" s="125">
        <v>0</v>
      </c>
      <c r="P197" s="122">
        <f t="shared" ref="P197:P199" si="147">+$J197*O197</f>
        <v>0</v>
      </c>
      <c r="Q197" s="125">
        <v>0</v>
      </c>
      <c r="R197" s="122">
        <f t="shared" ref="R197:R199" si="148">+$J197*Q197</f>
        <v>0</v>
      </c>
      <c r="S197" s="125">
        <v>1</v>
      </c>
      <c r="T197" s="122">
        <f t="shared" ref="T197:T199" si="149">+$J197*S197</f>
        <v>300000</v>
      </c>
      <c r="U197" s="122">
        <f t="shared" ref="U197:U199" si="150">+L197+N197+P197+R197+T197</f>
        <v>300000</v>
      </c>
      <c r="V197" s="126" t="s">
        <v>304</v>
      </c>
    </row>
    <row r="198" spans="2:23" ht="40.5" customHeight="1" x14ac:dyDescent="0.25">
      <c r="B198" s="506"/>
      <c r="C198" s="417"/>
      <c r="D198" s="66" t="s">
        <v>284</v>
      </c>
      <c r="E198" s="320" t="s">
        <v>303</v>
      </c>
      <c r="F198" s="66" t="s">
        <v>31</v>
      </c>
      <c r="G198" s="67" t="s">
        <v>32</v>
      </c>
      <c r="H198" s="68" t="s">
        <v>490</v>
      </c>
      <c r="I198" s="66" t="s">
        <v>206</v>
      </c>
      <c r="J198" s="69">
        <v>100000</v>
      </c>
      <c r="K198" s="69">
        <v>0</v>
      </c>
      <c r="L198" s="70">
        <f t="shared" ref="L198" si="151">+J198*K198</f>
        <v>0</v>
      </c>
      <c r="M198" s="69">
        <v>0</v>
      </c>
      <c r="N198" s="70">
        <f t="shared" ref="N198" si="152">+$J198*M198</f>
        <v>0</v>
      </c>
      <c r="O198" s="71">
        <v>1</v>
      </c>
      <c r="P198" s="72">
        <f t="shared" ref="P198" si="153">+$J198*O198</f>
        <v>100000</v>
      </c>
      <c r="Q198" s="71"/>
      <c r="R198" s="72">
        <f t="shared" ref="R198" si="154">+$J198*Q198</f>
        <v>0</v>
      </c>
      <c r="S198" s="71"/>
      <c r="T198" s="72">
        <f t="shared" ref="T198" si="155">+$J198*S198</f>
        <v>0</v>
      </c>
      <c r="U198" s="72">
        <f t="shared" si="150"/>
        <v>100000</v>
      </c>
      <c r="V198" s="103" t="s">
        <v>305</v>
      </c>
    </row>
    <row r="199" spans="2:23" ht="40.5" customHeight="1" x14ac:dyDescent="0.25">
      <c r="B199" s="506"/>
      <c r="C199" s="417"/>
      <c r="D199" s="66" t="s">
        <v>284</v>
      </c>
      <c r="E199" s="320" t="s">
        <v>303</v>
      </c>
      <c r="F199" s="66" t="s">
        <v>31</v>
      </c>
      <c r="G199" s="67" t="s">
        <v>45</v>
      </c>
      <c r="H199" s="68" t="s">
        <v>592</v>
      </c>
      <c r="I199" s="66" t="s">
        <v>278</v>
      </c>
      <c r="J199" s="69">
        <v>2425</v>
      </c>
      <c r="K199" s="69">
        <v>2</v>
      </c>
      <c r="L199" s="70">
        <f t="shared" si="145"/>
        <v>4850</v>
      </c>
      <c r="M199" s="69">
        <v>4</v>
      </c>
      <c r="N199" s="70">
        <f t="shared" si="146"/>
        <v>9700</v>
      </c>
      <c r="O199" s="71">
        <v>5</v>
      </c>
      <c r="P199" s="72">
        <f t="shared" si="147"/>
        <v>12125</v>
      </c>
      <c r="Q199" s="71">
        <v>4</v>
      </c>
      <c r="R199" s="72">
        <f t="shared" si="148"/>
        <v>9700</v>
      </c>
      <c r="S199" s="71">
        <v>5</v>
      </c>
      <c r="T199" s="72">
        <f t="shared" si="149"/>
        <v>12125</v>
      </c>
      <c r="U199" s="72">
        <f t="shared" si="150"/>
        <v>48500</v>
      </c>
      <c r="V199" s="103" t="s">
        <v>306</v>
      </c>
      <c r="W199" s="65"/>
    </row>
    <row r="200" spans="2:23" ht="15.75" customHeight="1" thickBot="1" x14ac:dyDescent="0.3">
      <c r="B200" s="418" t="s">
        <v>489</v>
      </c>
      <c r="C200" s="419"/>
      <c r="D200" s="420"/>
      <c r="E200" s="419"/>
      <c r="F200" s="420"/>
      <c r="G200" s="420"/>
      <c r="H200" s="420"/>
      <c r="I200" s="324"/>
      <c r="J200" s="325"/>
      <c r="K200" s="325"/>
      <c r="L200" s="328">
        <f>SUM(L197:L199)</f>
        <v>4850</v>
      </c>
      <c r="M200" s="325"/>
      <c r="N200" s="328">
        <f>SUM(N197:N199)</f>
        <v>9700</v>
      </c>
      <c r="O200" s="327"/>
      <c r="P200" s="328">
        <f>SUM(P197:P199)</f>
        <v>112125</v>
      </c>
      <c r="Q200" s="327"/>
      <c r="R200" s="328">
        <f>SUM(R197:R199)</f>
        <v>9700</v>
      </c>
      <c r="S200" s="327"/>
      <c r="T200" s="328">
        <f>SUM(T197:T199)</f>
        <v>312125</v>
      </c>
      <c r="U200" s="328">
        <f>SUM(U197:U199)</f>
        <v>448500</v>
      </c>
      <c r="V200" s="391">
        <f>SUM(V192:V199)</f>
        <v>0</v>
      </c>
    </row>
    <row r="201" spans="2:23" ht="18" customHeight="1" x14ac:dyDescent="0.25">
      <c r="B201" s="407" t="s">
        <v>307</v>
      </c>
      <c r="C201" s="408"/>
      <c r="D201" s="408"/>
      <c r="E201" s="408"/>
      <c r="F201" s="428" t="s">
        <v>31</v>
      </c>
      <c r="G201" s="429"/>
      <c r="H201" s="430"/>
      <c r="I201" s="352"/>
      <c r="J201" s="353"/>
      <c r="K201" s="353"/>
      <c r="L201" s="354">
        <f>L188+L190+L191+L197+L198+L199</f>
        <v>196850</v>
      </c>
      <c r="M201" s="354"/>
      <c r="N201" s="354">
        <f>N188+N190+N191+N197+N198+N199</f>
        <v>401700</v>
      </c>
      <c r="O201" s="354"/>
      <c r="P201" s="354">
        <f>P188+P190+P191+P197+P198+P199</f>
        <v>370625</v>
      </c>
      <c r="Q201" s="354"/>
      <c r="R201" s="354">
        <f>R188+R190+R191+R197+R198+R199</f>
        <v>209700</v>
      </c>
      <c r="S201" s="354"/>
      <c r="T201" s="354">
        <f>T188+T190+T191+T197+T198+T199</f>
        <v>412125</v>
      </c>
      <c r="U201" s="354">
        <f>U199+U198+U191+U190+U188+U197</f>
        <v>1591000</v>
      </c>
      <c r="V201" s="355"/>
      <c r="W201" s="65"/>
    </row>
    <row r="202" spans="2:23" ht="18" customHeight="1" x14ac:dyDescent="0.25">
      <c r="B202" s="409"/>
      <c r="C202" s="410"/>
      <c r="D202" s="410"/>
      <c r="E202" s="410"/>
      <c r="F202" s="431" t="s">
        <v>687</v>
      </c>
      <c r="G202" s="432"/>
      <c r="H202" s="433"/>
      <c r="I202" s="356"/>
      <c r="J202" s="357"/>
      <c r="K202" s="357"/>
      <c r="L202" s="358">
        <v>0</v>
      </c>
      <c r="M202" s="358"/>
      <c r="N202" s="358">
        <v>0</v>
      </c>
      <c r="O202" s="358"/>
      <c r="P202" s="358">
        <v>0</v>
      </c>
      <c r="Q202" s="358"/>
      <c r="R202" s="358">
        <v>0</v>
      </c>
      <c r="S202" s="358"/>
      <c r="T202" s="358">
        <v>0</v>
      </c>
      <c r="U202" s="358">
        <v>0</v>
      </c>
      <c r="V202" s="359"/>
      <c r="W202" s="65"/>
    </row>
    <row r="203" spans="2:23" ht="18" customHeight="1" x14ac:dyDescent="0.25">
      <c r="B203" s="409"/>
      <c r="C203" s="410"/>
      <c r="D203" s="410"/>
      <c r="E203" s="410"/>
      <c r="F203" s="431" t="s">
        <v>689</v>
      </c>
      <c r="G203" s="432"/>
      <c r="H203" s="433"/>
      <c r="I203" s="356"/>
      <c r="J203" s="357"/>
      <c r="K203" s="357"/>
      <c r="L203" s="358">
        <f>L193+L194+L195</f>
        <v>56500</v>
      </c>
      <c r="M203" s="357"/>
      <c r="N203" s="358">
        <f>N193+N194+N195</f>
        <v>76500</v>
      </c>
      <c r="O203" s="371"/>
      <c r="P203" s="358">
        <f>P193+P194+P195</f>
        <v>56500</v>
      </c>
      <c r="Q203" s="371"/>
      <c r="R203" s="358">
        <f>R193+R194+R195</f>
        <v>56500</v>
      </c>
      <c r="S203" s="371"/>
      <c r="T203" s="358">
        <f>T193+T194+T195</f>
        <v>54000</v>
      </c>
      <c r="U203" s="358">
        <f>U193+U194+U195</f>
        <v>300000</v>
      </c>
      <c r="V203" s="359"/>
    </row>
    <row r="204" spans="2:23" ht="18" customHeight="1" thickBot="1" x14ac:dyDescent="0.3">
      <c r="B204" s="498" t="s">
        <v>307</v>
      </c>
      <c r="C204" s="499"/>
      <c r="D204" s="499"/>
      <c r="E204" s="499"/>
      <c r="F204" s="499"/>
      <c r="G204" s="499"/>
      <c r="H204" s="500"/>
      <c r="I204" s="134"/>
      <c r="J204" s="135"/>
      <c r="K204" s="135"/>
      <c r="L204" s="136">
        <f>L201+L203</f>
        <v>253350</v>
      </c>
      <c r="M204" s="135"/>
      <c r="N204" s="136">
        <f>N201+N203</f>
        <v>478200</v>
      </c>
      <c r="O204" s="137"/>
      <c r="P204" s="136">
        <f>P201+P203</f>
        <v>427125</v>
      </c>
      <c r="Q204" s="137"/>
      <c r="R204" s="136">
        <f>R201+R203</f>
        <v>266200</v>
      </c>
      <c r="S204" s="137"/>
      <c r="T204" s="136">
        <f>T201+T203</f>
        <v>466125</v>
      </c>
      <c r="U204" s="136">
        <f>U201+U203</f>
        <v>1891000</v>
      </c>
      <c r="V204" s="174"/>
    </row>
    <row r="205" spans="2:23" ht="18" customHeight="1" x14ac:dyDescent="0.25">
      <c r="B205" s="442" t="s">
        <v>644</v>
      </c>
      <c r="C205" s="443"/>
      <c r="D205" s="443"/>
      <c r="E205" s="444"/>
      <c r="F205" s="439" t="s">
        <v>31</v>
      </c>
      <c r="G205" s="439"/>
      <c r="H205" s="439"/>
      <c r="I205" s="342"/>
      <c r="J205" s="343"/>
      <c r="K205" s="343"/>
      <c r="L205" s="344">
        <f>L201+L165+L184</f>
        <v>830506.96</v>
      </c>
      <c r="M205" s="343"/>
      <c r="N205" s="344">
        <f>N201+N165+N184</f>
        <v>1025506.96</v>
      </c>
      <c r="O205" s="345"/>
      <c r="P205" s="344">
        <f>P201+P165+P184</f>
        <v>990443.49</v>
      </c>
      <c r="Q205" s="345"/>
      <c r="R205" s="344">
        <f>R201+R165+R184</f>
        <v>343583.46</v>
      </c>
      <c r="S205" s="345"/>
      <c r="T205" s="344">
        <f>T201+T165+T184</f>
        <v>521008.46</v>
      </c>
      <c r="U205" s="344">
        <f>U201+U165+U184</f>
        <v>3711049.33</v>
      </c>
      <c r="V205" s="346"/>
      <c r="W205" s="43"/>
    </row>
    <row r="206" spans="2:23" ht="18" customHeight="1" x14ac:dyDescent="0.25">
      <c r="B206" s="445"/>
      <c r="C206" s="446"/>
      <c r="D206" s="446"/>
      <c r="E206" s="447"/>
      <c r="F206" s="451" t="s">
        <v>691</v>
      </c>
      <c r="G206" s="451"/>
      <c r="H206" s="451"/>
      <c r="I206" s="309"/>
      <c r="J206" s="310"/>
      <c r="K206" s="310"/>
      <c r="L206" s="311">
        <v>0</v>
      </c>
      <c r="M206" s="310"/>
      <c r="N206" s="311">
        <v>0</v>
      </c>
      <c r="O206" s="312"/>
      <c r="P206" s="311">
        <v>0</v>
      </c>
      <c r="Q206" s="312"/>
      <c r="R206" s="311">
        <v>0</v>
      </c>
      <c r="S206" s="312"/>
      <c r="T206" s="311">
        <v>0</v>
      </c>
      <c r="U206" s="311">
        <v>0</v>
      </c>
      <c r="V206" s="173"/>
      <c r="W206" s="43"/>
    </row>
    <row r="207" spans="2:23" ht="18" customHeight="1" thickBot="1" x14ac:dyDescent="0.3">
      <c r="B207" s="448"/>
      <c r="C207" s="449"/>
      <c r="D207" s="449"/>
      <c r="E207" s="450"/>
      <c r="F207" s="452" t="s">
        <v>683</v>
      </c>
      <c r="G207" s="452"/>
      <c r="H207" s="452"/>
      <c r="I207" s="347"/>
      <c r="J207" s="348"/>
      <c r="K207" s="348"/>
      <c r="L207" s="349">
        <f>L203</f>
        <v>56500</v>
      </c>
      <c r="M207" s="348"/>
      <c r="N207" s="349">
        <f>N203</f>
        <v>76500</v>
      </c>
      <c r="O207" s="350"/>
      <c r="P207" s="349">
        <f>P203</f>
        <v>56500</v>
      </c>
      <c r="Q207" s="350"/>
      <c r="R207" s="349">
        <f>R203</f>
        <v>56500</v>
      </c>
      <c r="S207" s="350"/>
      <c r="T207" s="349">
        <f>T203</f>
        <v>54000</v>
      </c>
      <c r="U207" s="349">
        <f>U203</f>
        <v>300000</v>
      </c>
      <c r="V207" s="351"/>
      <c r="W207" s="43"/>
    </row>
    <row r="208" spans="2:23" s="271" customFormat="1" ht="18" customHeight="1" thickBot="1" x14ac:dyDescent="0.3">
      <c r="B208" s="422" t="s">
        <v>308</v>
      </c>
      <c r="C208" s="423"/>
      <c r="D208" s="423"/>
      <c r="E208" s="423"/>
      <c r="F208" s="423"/>
      <c r="G208" s="423"/>
      <c r="H208" s="424"/>
      <c r="I208" s="377"/>
      <c r="J208" s="378"/>
      <c r="K208" s="380"/>
      <c r="L208" s="379">
        <f>L168+L187+L204</f>
        <v>887006.96</v>
      </c>
      <c r="M208" s="380"/>
      <c r="N208" s="379">
        <f>N168+N187+N204</f>
        <v>1102006.96</v>
      </c>
      <c r="O208" s="380"/>
      <c r="P208" s="379">
        <f>P168+P187+P204</f>
        <v>1046943.49</v>
      </c>
      <c r="Q208" s="380"/>
      <c r="R208" s="379">
        <f>R168+R187+R204</f>
        <v>400083.46</v>
      </c>
      <c r="S208" s="380"/>
      <c r="T208" s="379">
        <f>T168+T187+T204</f>
        <v>575008.46</v>
      </c>
      <c r="U208" s="379">
        <f>U168+U187+U204</f>
        <v>4011049.33</v>
      </c>
      <c r="V208" s="381"/>
    </row>
    <row r="209" spans="2:23" ht="42.75" customHeight="1" x14ac:dyDescent="0.25">
      <c r="B209" s="233" t="s">
        <v>658</v>
      </c>
      <c r="C209" s="247"/>
      <c r="D209" s="116" t="s">
        <v>658</v>
      </c>
      <c r="E209" s="247"/>
      <c r="F209" s="129" t="s">
        <v>31</v>
      </c>
      <c r="G209" s="258" t="s">
        <v>32</v>
      </c>
      <c r="H209" s="244" t="s">
        <v>666</v>
      </c>
      <c r="I209" s="129" t="s">
        <v>34</v>
      </c>
      <c r="J209" s="130">
        <v>1500</v>
      </c>
      <c r="K209" s="130">
        <v>48</v>
      </c>
      <c r="L209" s="131">
        <f>+J209*K209</f>
        <v>72000</v>
      </c>
      <c r="M209" s="130">
        <v>48</v>
      </c>
      <c r="N209" s="131">
        <f t="shared" ref="N209:N214" si="156">+$J209*M209</f>
        <v>72000</v>
      </c>
      <c r="O209" s="132">
        <v>48</v>
      </c>
      <c r="P209" s="133">
        <f t="shared" ref="P209:P214" si="157">+$J209*O209</f>
        <v>72000</v>
      </c>
      <c r="Q209" s="132">
        <v>48</v>
      </c>
      <c r="R209" s="133">
        <f t="shared" ref="R209:R214" si="158">+$J209*Q209</f>
        <v>72000</v>
      </c>
      <c r="S209" s="132">
        <v>48</v>
      </c>
      <c r="T209" s="133">
        <f t="shared" ref="T209:T214" si="159">+$J209*S209</f>
        <v>72000</v>
      </c>
      <c r="U209" s="133">
        <f t="shared" ref="U209:U214" si="160">+L209+N209+P209+R209+T209</f>
        <v>360000</v>
      </c>
      <c r="V209" s="259" t="s">
        <v>660</v>
      </c>
    </row>
    <row r="210" spans="2:23" ht="42.75" customHeight="1" x14ac:dyDescent="0.25">
      <c r="B210" s="250" t="s">
        <v>658</v>
      </c>
      <c r="C210" s="242"/>
      <c r="D210" s="66" t="s">
        <v>658</v>
      </c>
      <c r="E210" s="242"/>
      <c r="F210" s="261" t="s">
        <v>31</v>
      </c>
      <c r="G210" s="93" t="s">
        <v>32</v>
      </c>
      <c r="H210" s="260" t="s">
        <v>673</v>
      </c>
      <c r="I210" s="261" t="s">
        <v>34</v>
      </c>
      <c r="J210" s="262">
        <v>1800</v>
      </c>
      <c r="K210" s="262">
        <v>12</v>
      </c>
      <c r="L210" s="79">
        <f t="shared" ref="L210:L214" si="161">+J210*K210</f>
        <v>21600</v>
      </c>
      <c r="M210" s="262">
        <v>12</v>
      </c>
      <c r="N210" s="79">
        <f t="shared" si="156"/>
        <v>21600</v>
      </c>
      <c r="O210" s="263">
        <v>12</v>
      </c>
      <c r="P210" s="81">
        <f t="shared" si="157"/>
        <v>21600</v>
      </c>
      <c r="Q210" s="263">
        <v>12</v>
      </c>
      <c r="R210" s="81">
        <f t="shared" si="158"/>
        <v>21600</v>
      </c>
      <c r="S210" s="263">
        <v>12</v>
      </c>
      <c r="T210" s="81">
        <f t="shared" si="159"/>
        <v>21600</v>
      </c>
      <c r="U210" s="81">
        <f t="shared" si="160"/>
        <v>108000</v>
      </c>
      <c r="V210" s="104" t="s">
        <v>661</v>
      </c>
    </row>
    <row r="211" spans="2:23" ht="42.75" customHeight="1" x14ac:dyDescent="0.25">
      <c r="B211" s="250" t="s">
        <v>658</v>
      </c>
      <c r="C211" s="242"/>
      <c r="D211" s="66" t="s">
        <v>658</v>
      </c>
      <c r="E211" s="242"/>
      <c r="F211" s="261" t="s">
        <v>31</v>
      </c>
      <c r="G211" s="93" t="s">
        <v>165</v>
      </c>
      <c r="H211" s="260" t="s">
        <v>679</v>
      </c>
      <c r="I211" s="261" t="s">
        <v>34</v>
      </c>
      <c r="J211" s="262">
        <v>41667</v>
      </c>
      <c r="K211" s="262">
        <v>1</v>
      </c>
      <c r="L211" s="79">
        <f t="shared" ref="L211" si="162">+J211*K211</f>
        <v>41667</v>
      </c>
      <c r="M211" s="262">
        <v>0</v>
      </c>
      <c r="N211" s="79">
        <f t="shared" ref="N211" si="163">+$J211*M211</f>
        <v>0</v>
      </c>
      <c r="O211" s="263">
        <v>1</v>
      </c>
      <c r="P211" s="81">
        <f t="shared" ref="P211" si="164">+$J211*O211</f>
        <v>41667</v>
      </c>
      <c r="Q211" s="263">
        <v>0</v>
      </c>
      <c r="R211" s="81">
        <f t="shared" ref="R211" si="165">+$J211*Q211</f>
        <v>0</v>
      </c>
      <c r="S211" s="263">
        <v>1</v>
      </c>
      <c r="T211" s="81">
        <f t="shared" ref="T211" si="166">+$J211*S211</f>
        <v>41667</v>
      </c>
      <c r="U211" s="81">
        <f t="shared" ref="U211" si="167">+L211+N211+P211+R211+T211</f>
        <v>125001</v>
      </c>
      <c r="V211" s="104" t="s">
        <v>662</v>
      </c>
      <c r="W211" s="43"/>
    </row>
    <row r="212" spans="2:23" ht="42.75" customHeight="1" x14ac:dyDescent="0.25">
      <c r="B212" s="230" t="s">
        <v>658</v>
      </c>
      <c r="C212" s="242"/>
      <c r="D212" s="66" t="s">
        <v>658</v>
      </c>
      <c r="E212" s="242"/>
      <c r="F212" s="82" t="s">
        <v>31</v>
      </c>
      <c r="G212" s="93" t="s">
        <v>165</v>
      </c>
      <c r="H212" s="94" t="s">
        <v>571</v>
      </c>
      <c r="I212" s="82" t="s">
        <v>134</v>
      </c>
      <c r="J212" s="78">
        <v>60000</v>
      </c>
      <c r="K212" s="78">
        <v>1</v>
      </c>
      <c r="L212" s="79">
        <f t="shared" si="161"/>
        <v>60000</v>
      </c>
      <c r="M212" s="78">
        <v>0</v>
      </c>
      <c r="N212" s="79">
        <f t="shared" si="156"/>
        <v>0</v>
      </c>
      <c r="O212" s="80">
        <v>0</v>
      </c>
      <c r="P212" s="81">
        <f t="shared" si="157"/>
        <v>0</v>
      </c>
      <c r="Q212" s="80">
        <v>0</v>
      </c>
      <c r="R212" s="81">
        <f t="shared" si="158"/>
        <v>0</v>
      </c>
      <c r="S212" s="80">
        <v>0</v>
      </c>
      <c r="T212" s="81">
        <f t="shared" si="159"/>
        <v>0</v>
      </c>
      <c r="U212" s="81">
        <f t="shared" si="160"/>
        <v>60000</v>
      </c>
      <c r="V212" s="104" t="s">
        <v>663</v>
      </c>
      <c r="W212" s="65"/>
    </row>
    <row r="213" spans="2:23" ht="42.75" customHeight="1" x14ac:dyDescent="0.25">
      <c r="B213" s="230" t="s">
        <v>658</v>
      </c>
      <c r="C213" s="242"/>
      <c r="D213" s="66" t="s">
        <v>658</v>
      </c>
      <c r="E213" s="242"/>
      <c r="F213" s="82" t="s">
        <v>31</v>
      </c>
      <c r="G213" s="93" t="s">
        <v>45</v>
      </c>
      <c r="H213" s="94" t="s">
        <v>591</v>
      </c>
      <c r="I213" s="82" t="s">
        <v>47</v>
      </c>
      <c r="J213" s="80">
        <v>1000</v>
      </c>
      <c r="K213" s="80">
        <v>40</v>
      </c>
      <c r="L213" s="81">
        <f t="shared" si="161"/>
        <v>40000</v>
      </c>
      <c r="M213" s="80">
        <v>40</v>
      </c>
      <c r="N213" s="81">
        <f t="shared" si="156"/>
        <v>40000</v>
      </c>
      <c r="O213" s="80">
        <v>62</v>
      </c>
      <c r="P213" s="81">
        <f t="shared" si="157"/>
        <v>62000</v>
      </c>
      <c r="Q213" s="80">
        <v>40</v>
      </c>
      <c r="R213" s="80">
        <f t="shared" si="158"/>
        <v>40000</v>
      </c>
      <c r="S213" s="80">
        <v>60</v>
      </c>
      <c r="T213" s="81">
        <f t="shared" si="159"/>
        <v>60000</v>
      </c>
      <c r="U213" s="81">
        <f t="shared" si="160"/>
        <v>242000</v>
      </c>
      <c r="V213" s="104" t="s">
        <v>672</v>
      </c>
      <c r="W213" s="43"/>
    </row>
    <row r="214" spans="2:23" ht="42.75" customHeight="1" x14ac:dyDescent="0.25">
      <c r="B214" s="302" t="s">
        <v>658</v>
      </c>
      <c r="C214" s="303"/>
      <c r="D214" s="304" t="s">
        <v>658</v>
      </c>
      <c r="E214" s="303"/>
      <c r="F214" s="291" t="s">
        <v>31</v>
      </c>
      <c r="G214" s="292" t="s">
        <v>41</v>
      </c>
      <c r="H214" s="293" t="s">
        <v>677</v>
      </c>
      <c r="I214" s="291" t="s">
        <v>43</v>
      </c>
      <c r="J214" s="294">
        <v>100</v>
      </c>
      <c r="K214" s="294">
        <v>250</v>
      </c>
      <c r="L214" s="295">
        <f t="shared" si="161"/>
        <v>25000</v>
      </c>
      <c r="M214" s="294">
        <v>260</v>
      </c>
      <c r="N214" s="295">
        <f t="shared" si="156"/>
        <v>26000</v>
      </c>
      <c r="O214" s="296">
        <v>300</v>
      </c>
      <c r="P214" s="297">
        <f t="shared" si="157"/>
        <v>30000</v>
      </c>
      <c r="Q214" s="296">
        <v>260</v>
      </c>
      <c r="R214" s="297">
        <f t="shared" si="158"/>
        <v>26000</v>
      </c>
      <c r="S214" s="296">
        <v>300</v>
      </c>
      <c r="T214" s="297">
        <f t="shared" si="159"/>
        <v>30000</v>
      </c>
      <c r="U214" s="297">
        <f t="shared" si="160"/>
        <v>137000</v>
      </c>
      <c r="V214" s="290" t="s">
        <v>674</v>
      </c>
      <c r="W214" s="43"/>
    </row>
    <row r="215" spans="2:23" x14ac:dyDescent="0.25">
      <c r="B215" s="196"/>
      <c r="C215" s="305"/>
      <c r="D215" s="196"/>
      <c r="E215" s="305"/>
      <c r="F215" s="196"/>
      <c r="G215" s="306"/>
      <c r="H215" s="195"/>
      <c r="I215" s="196"/>
      <c r="J215" s="197"/>
      <c r="K215" s="197"/>
      <c r="L215" s="198"/>
      <c r="M215" s="197"/>
      <c r="N215" s="198"/>
      <c r="O215" s="199"/>
      <c r="P215" s="200"/>
      <c r="Q215" s="199"/>
      <c r="R215" s="200"/>
      <c r="S215" s="199"/>
      <c r="T215" s="200"/>
      <c r="U215" s="200"/>
      <c r="V215" s="307"/>
      <c r="W215" s="43"/>
    </row>
    <row r="216" spans="2:23" ht="18" customHeight="1" x14ac:dyDescent="0.25">
      <c r="B216" s="453" t="s">
        <v>685</v>
      </c>
      <c r="C216" s="454"/>
      <c r="D216" s="454"/>
      <c r="E216" s="455"/>
      <c r="F216" s="451" t="s">
        <v>31</v>
      </c>
      <c r="G216" s="451"/>
      <c r="H216" s="451"/>
      <c r="I216" s="309"/>
      <c r="J216" s="310"/>
      <c r="K216" s="310"/>
      <c r="L216" s="311">
        <f>SUM(L209:L214)</f>
        <v>260267</v>
      </c>
      <c r="M216" s="310"/>
      <c r="N216" s="311">
        <f>SUM(N209:N214)</f>
        <v>159600</v>
      </c>
      <c r="O216" s="312"/>
      <c r="P216" s="311">
        <f>SUM(P209:P214)</f>
        <v>227267</v>
      </c>
      <c r="Q216" s="312"/>
      <c r="R216" s="311">
        <f>SUM(R209:R214)</f>
        <v>159600</v>
      </c>
      <c r="S216" s="312"/>
      <c r="T216" s="311">
        <f>SUM(T209:T214)</f>
        <v>225267</v>
      </c>
      <c r="U216" s="311">
        <f>SUM(U209:U214)</f>
        <v>1032001</v>
      </c>
      <c r="V216" s="313"/>
      <c r="W216" s="43"/>
    </row>
    <row r="217" spans="2:23" ht="18" customHeight="1" x14ac:dyDescent="0.25">
      <c r="B217" s="456"/>
      <c r="C217" s="446"/>
      <c r="D217" s="446"/>
      <c r="E217" s="447"/>
      <c r="F217" s="451" t="s">
        <v>691</v>
      </c>
      <c r="G217" s="451"/>
      <c r="H217" s="451"/>
      <c r="I217" s="309"/>
      <c r="J217" s="310"/>
      <c r="K217" s="310"/>
      <c r="L217" s="311">
        <v>0</v>
      </c>
      <c r="M217" s="310"/>
      <c r="N217" s="311">
        <v>0</v>
      </c>
      <c r="O217" s="312"/>
      <c r="P217" s="311">
        <v>0</v>
      </c>
      <c r="Q217" s="312"/>
      <c r="R217" s="311">
        <v>0</v>
      </c>
      <c r="S217" s="312"/>
      <c r="T217" s="311">
        <v>0</v>
      </c>
      <c r="U217" s="311">
        <v>0</v>
      </c>
      <c r="V217" s="313"/>
      <c r="W217" s="43"/>
    </row>
    <row r="218" spans="2:23" ht="18" customHeight="1" x14ac:dyDescent="0.25">
      <c r="B218" s="487"/>
      <c r="C218" s="488"/>
      <c r="D218" s="488"/>
      <c r="E218" s="489"/>
      <c r="F218" s="451" t="s">
        <v>683</v>
      </c>
      <c r="G218" s="451"/>
      <c r="H218" s="451"/>
      <c r="I218" s="309"/>
      <c r="J218" s="310"/>
      <c r="K218" s="310"/>
      <c r="L218" s="311">
        <v>0</v>
      </c>
      <c r="M218" s="310"/>
      <c r="N218" s="311">
        <v>0</v>
      </c>
      <c r="O218" s="312"/>
      <c r="P218" s="311">
        <v>0</v>
      </c>
      <c r="Q218" s="312"/>
      <c r="R218" s="311">
        <v>0</v>
      </c>
      <c r="S218" s="312"/>
      <c r="T218" s="311">
        <v>0</v>
      </c>
      <c r="U218" s="311">
        <v>0</v>
      </c>
      <c r="V218" s="313"/>
      <c r="W218" s="43"/>
    </row>
    <row r="219" spans="2:23" s="271" customFormat="1" ht="18" customHeight="1" thickBot="1" x14ac:dyDescent="0.3">
      <c r="B219" s="413" t="s">
        <v>659</v>
      </c>
      <c r="C219" s="414"/>
      <c r="D219" s="414"/>
      <c r="E219" s="414"/>
      <c r="F219" s="414"/>
      <c r="G219" s="414"/>
      <c r="H219" s="415"/>
      <c r="I219" s="272"/>
      <c r="J219" s="273"/>
      <c r="K219" s="275"/>
      <c r="L219" s="274">
        <f>SUM(L209:L214)</f>
        <v>260267</v>
      </c>
      <c r="M219" s="275"/>
      <c r="N219" s="274">
        <f>SUM(N209:N214)</f>
        <v>159600</v>
      </c>
      <c r="O219" s="275"/>
      <c r="P219" s="274">
        <f>SUM(P209:P214)</f>
        <v>227267</v>
      </c>
      <c r="Q219" s="275"/>
      <c r="R219" s="274">
        <f>SUM(R209:R214)</f>
        <v>159600</v>
      </c>
      <c r="S219" s="275"/>
      <c r="T219" s="274">
        <f>SUM(T209:T214)</f>
        <v>225267</v>
      </c>
      <c r="U219" s="274">
        <f>SUM(U209:U214)</f>
        <v>1032001</v>
      </c>
      <c r="V219" s="276"/>
    </row>
    <row r="220" spans="2:23" ht="18" customHeight="1" x14ac:dyDescent="0.25">
      <c r="B220" s="163" t="s">
        <v>309</v>
      </c>
      <c r="C220" s="115"/>
      <c r="D220" s="116" t="s">
        <v>309</v>
      </c>
      <c r="E220" s="115" t="s">
        <v>310</v>
      </c>
      <c r="F220" s="116" t="s">
        <v>31</v>
      </c>
      <c r="G220" s="117" t="s">
        <v>196</v>
      </c>
      <c r="H220" s="118" t="s">
        <v>311</v>
      </c>
      <c r="I220" s="116" t="s">
        <v>34</v>
      </c>
      <c r="J220" s="118">
        <v>6000</v>
      </c>
      <c r="K220" s="119">
        <v>12</v>
      </c>
      <c r="L220" s="120">
        <f t="shared" ref="L220:L231" si="168">+J220*K220</f>
        <v>72000</v>
      </c>
      <c r="M220" s="119">
        <v>12</v>
      </c>
      <c r="N220" s="120">
        <f t="shared" ref="N220:N232" si="169">+$J220*M220</f>
        <v>72000</v>
      </c>
      <c r="O220" s="121">
        <v>12</v>
      </c>
      <c r="P220" s="122">
        <f t="shared" ref="P220:P232" si="170">+$J220*O220</f>
        <v>72000</v>
      </c>
      <c r="Q220" s="121">
        <v>12</v>
      </c>
      <c r="R220" s="122">
        <f t="shared" ref="R220:R232" si="171">+$J220*Q220</f>
        <v>72000</v>
      </c>
      <c r="S220" s="121">
        <v>12</v>
      </c>
      <c r="T220" s="122">
        <f t="shared" ref="T220:T232" si="172">+$J220*S220</f>
        <v>72000</v>
      </c>
      <c r="U220" s="122">
        <f t="shared" ref="U220:U242" si="173">+L220+N220+P220+R220+T220</f>
        <v>360000</v>
      </c>
      <c r="V220" s="126" t="s">
        <v>312</v>
      </c>
      <c r="W220" s="43"/>
    </row>
    <row r="221" spans="2:23" ht="18" customHeight="1" x14ac:dyDescent="0.25">
      <c r="B221" s="164" t="s">
        <v>309</v>
      </c>
      <c r="C221" s="162"/>
      <c r="D221" s="66" t="s">
        <v>309</v>
      </c>
      <c r="E221" s="162" t="s">
        <v>310</v>
      </c>
      <c r="F221" s="82" t="s">
        <v>31</v>
      </c>
      <c r="G221" s="93" t="s">
        <v>32</v>
      </c>
      <c r="H221" s="94" t="s">
        <v>313</v>
      </c>
      <c r="I221" s="82" t="s">
        <v>34</v>
      </c>
      <c r="J221" s="94">
        <v>2500</v>
      </c>
      <c r="K221" s="78">
        <v>12</v>
      </c>
      <c r="L221" s="79">
        <f t="shared" si="168"/>
        <v>30000</v>
      </c>
      <c r="M221" s="78">
        <v>12</v>
      </c>
      <c r="N221" s="79">
        <f t="shared" si="169"/>
        <v>30000</v>
      </c>
      <c r="O221" s="80">
        <v>12</v>
      </c>
      <c r="P221" s="81">
        <f t="shared" si="170"/>
        <v>30000</v>
      </c>
      <c r="Q221" s="80">
        <v>12</v>
      </c>
      <c r="R221" s="81">
        <f t="shared" si="171"/>
        <v>30000</v>
      </c>
      <c r="S221" s="80">
        <v>12</v>
      </c>
      <c r="T221" s="81">
        <f t="shared" si="172"/>
        <v>30000</v>
      </c>
      <c r="U221" s="81">
        <f>+L221+N221+P221+R221+T221</f>
        <v>150000</v>
      </c>
      <c r="V221" s="104" t="s">
        <v>314</v>
      </c>
    </row>
    <row r="222" spans="2:23" ht="18" customHeight="1" x14ac:dyDescent="0.25">
      <c r="B222" s="164" t="s">
        <v>309</v>
      </c>
      <c r="C222" s="162"/>
      <c r="D222" s="66" t="s">
        <v>309</v>
      </c>
      <c r="E222" s="162" t="s">
        <v>310</v>
      </c>
      <c r="F222" s="66" t="s">
        <v>31</v>
      </c>
      <c r="G222" s="67" t="s">
        <v>32</v>
      </c>
      <c r="H222" s="68" t="s">
        <v>315</v>
      </c>
      <c r="I222" s="66" t="s">
        <v>34</v>
      </c>
      <c r="J222" s="68">
        <v>1733</v>
      </c>
      <c r="K222" s="75">
        <v>12</v>
      </c>
      <c r="L222" s="70">
        <f t="shared" si="168"/>
        <v>20796</v>
      </c>
      <c r="M222" s="75">
        <v>12</v>
      </c>
      <c r="N222" s="70">
        <f t="shared" si="169"/>
        <v>20796</v>
      </c>
      <c r="O222" s="92">
        <v>12</v>
      </c>
      <c r="P222" s="72">
        <f t="shared" si="170"/>
        <v>20796</v>
      </c>
      <c r="Q222" s="92">
        <v>12</v>
      </c>
      <c r="R222" s="72">
        <f t="shared" si="171"/>
        <v>20796</v>
      </c>
      <c r="S222" s="92">
        <v>12</v>
      </c>
      <c r="T222" s="72">
        <f t="shared" si="172"/>
        <v>20796</v>
      </c>
      <c r="U222" s="72">
        <f t="shared" si="173"/>
        <v>103980</v>
      </c>
      <c r="V222" s="103" t="s">
        <v>316</v>
      </c>
    </row>
    <row r="223" spans="2:23" ht="21" customHeight="1" x14ac:dyDescent="0.25">
      <c r="B223" s="164" t="s">
        <v>309</v>
      </c>
      <c r="C223" s="162"/>
      <c r="D223" s="66" t="s">
        <v>309</v>
      </c>
      <c r="E223" s="162" t="s">
        <v>310</v>
      </c>
      <c r="F223" s="66" t="s">
        <v>31</v>
      </c>
      <c r="G223" s="67" t="s">
        <v>32</v>
      </c>
      <c r="H223" s="68" t="s">
        <v>317</v>
      </c>
      <c r="I223" s="66" t="s">
        <v>34</v>
      </c>
      <c r="J223" s="68">
        <v>2000</v>
      </c>
      <c r="K223" s="75">
        <v>12</v>
      </c>
      <c r="L223" s="70">
        <f t="shared" si="168"/>
        <v>24000</v>
      </c>
      <c r="M223" s="75">
        <v>12</v>
      </c>
      <c r="N223" s="70">
        <f t="shared" si="169"/>
        <v>24000</v>
      </c>
      <c r="O223" s="92">
        <v>12</v>
      </c>
      <c r="P223" s="72">
        <f t="shared" si="170"/>
        <v>24000</v>
      </c>
      <c r="Q223" s="92">
        <v>12</v>
      </c>
      <c r="R223" s="72">
        <f t="shared" si="171"/>
        <v>24000</v>
      </c>
      <c r="S223" s="92">
        <v>12</v>
      </c>
      <c r="T223" s="72">
        <f t="shared" si="172"/>
        <v>24000</v>
      </c>
      <c r="U223" s="72">
        <f t="shared" si="173"/>
        <v>120000</v>
      </c>
      <c r="V223" s="103" t="s">
        <v>318</v>
      </c>
      <c r="W223" s="43"/>
    </row>
    <row r="224" spans="2:23" ht="27" customHeight="1" x14ac:dyDescent="0.25">
      <c r="B224" s="164" t="s">
        <v>309</v>
      </c>
      <c r="C224" s="162"/>
      <c r="D224" s="66" t="s">
        <v>309</v>
      </c>
      <c r="E224" s="162" t="s">
        <v>310</v>
      </c>
      <c r="F224" s="66" t="s">
        <v>31</v>
      </c>
      <c r="G224" s="67" t="s">
        <v>32</v>
      </c>
      <c r="H224" s="68" t="s">
        <v>319</v>
      </c>
      <c r="I224" s="66" t="s">
        <v>34</v>
      </c>
      <c r="J224" s="68">
        <v>1800</v>
      </c>
      <c r="K224" s="75">
        <v>12</v>
      </c>
      <c r="L224" s="70">
        <f t="shared" si="168"/>
        <v>21600</v>
      </c>
      <c r="M224" s="75">
        <v>12</v>
      </c>
      <c r="N224" s="70">
        <f t="shared" si="169"/>
        <v>21600</v>
      </c>
      <c r="O224" s="92">
        <v>12</v>
      </c>
      <c r="P224" s="72">
        <f t="shared" si="170"/>
        <v>21600</v>
      </c>
      <c r="Q224" s="92">
        <v>12</v>
      </c>
      <c r="R224" s="72">
        <f t="shared" si="171"/>
        <v>21600</v>
      </c>
      <c r="S224" s="92">
        <v>12</v>
      </c>
      <c r="T224" s="72">
        <f t="shared" si="172"/>
        <v>21600</v>
      </c>
      <c r="U224" s="72">
        <f t="shared" si="173"/>
        <v>108000</v>
      </c>
      <c r="V224" s="103" t="s">
        <v>320</v>
      </c>
    </row>
    <row r="225" spans="2:22" ht="18" customHeight="1" x14ac:dyDescent="0.25">
      <c r="B225" s="164" t="s">
        <v>309</v>
      </c>
      <c r="C225" s="162"/>
      <c r="D225" s="66" t="s">
        <v>309</v>
      </c>
      <c r="E225" s="162" t="s">
        <v>310</v>
      </c>
      <c r="F225" s="66" t="s">
        <v>31</v>
      </c>
      <c r="G225" s="67" t="s">
        <v>32</v>
      </c>
      <c r="H225" s="68" t="s">
        <v>321</v>
      </c>
      <c r="I225" s="75" t="s">
        <v>43</v>
      </c>
      <c r="J225" s="68">
        <v>100</v>
      </c>
      <c r="K225" s="75">
        <v>20</v>
      </c>
      <c r="L225" s="70">
        <f t="shared" si="168"/>
        <v>2000</v>
      </c>
      <c r="M225" s="75">
        <v>20</v>
      </c>
      <c r="N225" s="70">
        <f t="shared" si="169"/>
        <v>2000</v>
      </c>
      <c r="O225" s="92">
        <v>20</v>
      </c>
      <c r="P225" s="72">
        <f t="shared" si="170"/>
        <v>2000</v>
      </c>
      <c r="Q225" s="92">
        <v>10</v>
      </c>
      <c r="R225" s="72">
        <f t="shared" si="171"/>
        <v>1000</v>
      </c>
      <c r="S225" s="92">
        <v>10</v>
      </c>
      <c r="T225" s="72">
        <f t="shared" si="172"/>
        <v>1000</v>
      </c>
      <c r="U225" s="72">
        <f t="shared" si="173"/>
        <v>8000</v>
      </c>
      <c r="V225" s="103" t="s">
        <v>322</v>
      </c>
    </row>
    <row r="226" spans="2:22" ht="18" customHeight="1" x14ac:dyDescent="0.25">
      <c r="B226" s="164" t="s">
        <v>309</v>
      </c>
      <c r="C226" s="162"/>
      <c r="D226" s="66" t="s">
        <v>309</v>
      </c>
      <c r="E226" s="162" t="s">
        <v>310</v>
      </c>
      <c r="F226" s="66" t="s">
        <v>31</v>
      </c>
      <c r="G226" s="67" t="s">
        <v>32</v>
      </c>
      <c r="H226" s="68" t="s">
        <v>323</v>
      </c>
      <c r="I226" s="66" t="s">
        <v>34</v>
      </c>
      <c r="J226" s="68">
        <v>2000</v>
      </c>
      <c r="K226" s="75">
        <v>12</v>
      </c>
      <c r="L226" s="70">
        <f t="shared" si="168"/>
        <v>24000</v>
      </c>
      <c r="M226" s="75">
        <v>12</v>
      </c>
      <c r="N226" s="70">
        <f t="shared" si="169"/>
        <v>24000</v>
      </c>
      <c r="O226" s="92">
        <v>12</v>
      </c>
      <c r="P226" s="72">
        <f t="shared" si="170"/>
        <v>24000</v>
      </c>
      <c r="Q226" s="92">
        <v>12</v>
      </c>
      <c r="R226" s="72">
        <f t="shared" si="171"/>
        <v>24000</v>
      </c>
      <c r="S226" s="92">
        <v>12</v>
      </c>
      <c r="T226" s="72">
        <f t="shared" si="172"/>
        <v>24000</v>
      </c>
      <c r="U226" s="72">
        <f t="shared" si="173"/>
        <v>120000</v>
      </c>
      <c r="V226" s="103" t="s">
        <v>324</v>
      </c>
    </row>
    <row r="227" spans="2:22" ht="18" customHeight="1" x14ac:dyDescent="0.25">
      <c r="B227" s="164" t="s">
        <v>309</v>
      </c>
      <c r="C227" s="162"/>
      <c r="D227" s="66" t="s">
        <v>309</v>
      </c>
      <c r="E227" s="162" t="s">
        <v>310</v>
      </c>
      <c r="F227" s="66" t="s">
        <v>31</v>
      </c>
      <c r="G227" s="67" t="s">
        <v>32</v>
      </c>
      <c r="H227" s="68" t="s">
        <v>325</v>
      </c>
      <c r="I227" s="66" t="s">
        <v>34</v>
      </c>
      <c r="J227" s="68">
        <v>2000</v>
      </c>
      <c r="K227" s="75">
        <v>12</v>
      </c>
      <c r="L227" s="70">
        <f t="shared" si="168"/>
        <v>24000</v>
      </c>
      <c r="M227" s="75">
        <v>12</v>
      </c>
      <c r="N227" s="70">
        <f t="shared" si="169"/>
        <v>24000</v>
      </c>
      <c r="O227" s="92">
        <v>12</v>
      </c>
      <c r="P227" s="72">
        <f t="shared" si="170"/>
        <v>24000</v>
      </c>
      <c r="Q227" s="92">
        <v>12</v>
      </c>
      <c r="R227" s="72">
        <f t="shared" si="171"/>
        <v>24000</v>
      </c>
      <c r="S227" s="92">
        <v>12</v>
      </c>
      <c r="T227" s="72">
        <f t="shared" si="172"/>
        <v>24000</v>
      </c>
      <c r="U227" s="72">
        <f t="shared" si="173"/>
        <v>120000</v>
      </c>
      <c r="V227" s="103" t="s">
        <v>326</v>
      </c>
    </row>
    <row r="228" spans="2:22" ht="18" customHeight="1" x14ac:dyDescent="0.25">
      <c r="B228" s="164" t="s">
        <v>309</v>
      </c>
      <c r="C228" s="162"/>
      <c r="D228" s="66" t="s">
        <v>309</v>
      </c>
      <c r="E228" s="162" t="s">
        <v>310</v>
      </c>
      <c r="F228" s="66" t="s">
        <v>31</v>
      </c>
      <c r="G228" s="67" t="s">
        <v>32</v>
      </c>
      <c r="H228" s="68" t="s">
        <v>327</v>
      </c>
      <c r="I228" s="66" t="s">
        <v>34</v>
      </c>
      <c r="J228" s="68">
        <v>2000</v>
      </c>
      <c r="K228" s="75">
        <v>12</v>
      </c>
      <c r="L228" s="70">
        <f t="shared" si="168"/>
        <v>24000</v>
      </c>
      <c r="M228" s="75">
        <v>12</v>
      </c>
      <c r="N228" s="70">
        <f t="shared" si="169"/>
        <v>24000</v>
      </c>
      <c r="O228" s="92">
        <v>12</v>
      </c>
      <c r="P228" s="72">
        <f t="shared" si="170"/>
        <v>24000</v>
      </c>
      <c r="Q228" s="92">
        <v>12</v>
      </c>
      <c r="R228" s="72">
        <f t="shared" si="171"/>
        <v>24000</v>
      </c>
      <c r="S228" s="92">
        <v>12</v>
      </c>
      <c r="T228" s="72">
        <f t="shared" si="172"/>
        <v>24000</v>
      </c>
      <c r="U228" s="72">
        <f t="shared" si="173"/>
        <v>120000</v>
      </c>
      <c r="V228" s="103" t="s">
        <v>328</v>
      </c>
    </row>
    <row r="229" spans="2:22" ht="18" customHeight="1" x14ac:dyDescent="0.25">
      <c r="B229" s="164" t="s">
        <v>309</v>
      </c>
      <c r="C229" s="162"/>
      <c r="D229" s="66" t="s">
        <v>309</v>
      </c>
      <c r="E229" s="162" t="s">
        <v>310</v>
      </c>
      <c r="F229" s="66" t="s">
        <v>31</v>
      </c>
      <c r="G229" s="67" t="s">
        <v>53</v>
      </c>
      <c r="H229" s="68" t="s">
        <v>329</v>
      </c>
      <c r="I229" s="75" t="s">
        <v>208</v>
      </c>
      <c r="J229" s="68">
        <v>908</v>
      </c>
      <c r="K229" s="75">
        <v>5</v>
      </c>
      <c r="L229" s="70">
        <f t="shared" si="168"/>
        <v>4540</v>
      </c>
      <c r="M229" s="75"/>
      <c r="N229" s="70">
        <f t="shared" si="169"/>
        <v>0</v>
      </c>
      <c r="O229" s="92"/>
      <c r="P229" s="72">
        <f t="shared" si="170"/>
        <v>0</v>
      </c>
      <c r="Q229" s="92"/>
      <c r="R229" s="72">
        <f t="shared" si="171"/>
        <v>0</v>
      </c>
      <c r="S229" s="92"/>
      <c r="T229" s="72">
        <f t="shared" si="172"/>
        <v>0</v>
      </c>
      <c r="U229" s="72">
        <f t="shared" si="173"/>
        <v>4540</v>
      </c>
      <c r="V229" s="103" t="s">
        <v>330</v>
      </c>
    </row>
    <row r="230" spans="2:22" ht="18" customHeight="1" x14ac:dyDescent="0.25">
      <c r="B230" s="164" t="s">
        <v>309</v>
      </c>
      <c r="C230" s="162"/>
      <c r="D230" s="66" t="s">
        <v>309</v>
      </c>
      <c r="E230" s="162" t="s">
        <v>310</v>
      </c>
      <c r="F230" s="66" t="s">
        <v>31</v>
      </c>
      <c r="G230" s="67" t="s">
        <v>53</v>
      </c>
      <c r="H230" s="68" t="s">
        <v>331</v>
      </c>
      <c r="I230" s="75" t="s">
        <v>208</v>
      </c>
      <c r="J230" s="68">
        <v>80</v>
      </c>
      <c r="K230" s="75">
        <v>4</v>
      </c>
      <c r="L230" s="70">
        <f t="shared" si="168"/>
        <v>320</v>
      </c>
      <c r="M230" s="75"/>
      <c r="N230" s="70">
        <f t="shared" si="169"/>
        <v>0</v>
      </c>
      <c r="O230" s="92"/>
      <c r="P230" s="72">
        <f t="shared" si="170"/>
        <v>0</v>
      </c>
      <c r="Q230" s="92"/>
      <c r="R230" s="72">
        <f t="shared" si="171"/>
        <v>0</v>
      </c>
      <c r="S230" s="92"/>
      <c r="T230" s="72">
        <f t="shared" si="172"/>
        <v>0</v>
      </c>
      <c r="U230" s="72">
        <f t="shared" si="173"/>
        <v>320</v>
      </c>
      <c r="V230" s="103" t="s">
        <v>332</v>
      </c>
    </row>
    <row r="231" spans="2:22" ht="18" customHeight="1" x14ac:dyDescent="0.25">
      <c r="B231" s="164" t="s">
        <v>309</v>
      </c>
      <c r="C231" s="162"/>
      <c r="D231" s="66" t="s">
        <v>309</v>
      </c>
      <c r="E231" s="162" t="s">
        <v>310</v>
      </c>
      <c r="F231" s="66" t="s">
        <v>31</v>
      </c>
      <c r="G231" s="67" t="s">
        <v>53</v>
      </c>
      <c r="H231" s="68" t="s">
        <v>333</v>
      </c>
      <c r="I231" s="75" t="s">
        <v>208</v>
      </c>
      <c r="J231" s="68">
        <v>350</v>
      </c>
      <c r="K231" s="75">
        <v>4</v>
      </c>
      <c r="L231" s="70">
        <f t="shared" si="168"/>
        <v>1400</v>
      </c>
      <c r="M231" s="75"/>
      <c r="N231" s="70">
        <f t="shared" si="169"/>
        <v>0</v>
      </c>
      <c r="O231" s="92"/>
      <c r="P231" s="72">
        <f t="shared" si="170"/>
        <v>0</v>
      </c>
      <c r="Q231" s="92"/>
      <c r="R231" s="72">
        <f t="shared" si="171"/>
        <v>0</v>
      </c>
      <c r="S231" s="92"/>
      <c r="T231" s="72">
        <f t="shared" si="172"/>
        <v>0</v>
      </c>
      <c r="U231" s="72">
        <f t="shared" si="173"/>
        <v>1400</v>
      </c>
      <c r="V231" s="103" t="s">
        <v>334</v>
      </c>
    </row>
    <row r="232" spans="2:22" ht="18" customHeight="1" x14ac:dyDescent="0.25">
      <c r="B232" s="164" t="s">
        <v>309</v>
      </c>
      <c r="C232" s="162"/>
      <c r="D232" s="66" t="s">
        <v>309</v>
      </c>
      <c r="E232" s="162" t="s">
        <v>310</v>
      </c>
      <c r="F232" s="66" t="s">
        <v>31</v>
      </c>
      <c r="G232" s="67" t="s">
        <v>53</v>
      </c>
      <c r="H232" s="68" t="s">
        <v>335</v>
      </c>
      <c r="I232" s="75" t="s">
        <v>208</v>
      </c>
      <c r="J232" s="68">
        <v>120</v>
      </c>
      <c r="K232" s="75">
        <v>4</v>
      </c>
      <c r="L232" s="70">
        <f t="shared" ref="L232" si="174">+J232*K232</f>
        <v>480</v>
      </c>
      <c r="M232" s="75"/>
      <c r="N232" s="70">
        <f t="shared" si="169"/>
        <v>0</v>
      </c>
      <c r="O232" s="92"/>
      <c r="P232" s="72">
        <f t="shared" si="170"/>
        <v>0</v>
      </c>
      <c r="Q232" s="92"/>
      <c r="R232" s="72">
        <f t="shared" si="171"/>
        <v>0</v>
      </c>
      <c r="S232" s="92"/>
      <c r="T232" s="72">
        <f t="shared" si="172"/>
        <v>0</v>
      </c>
      <c r="U232" s="72">
        <f t="shared" si="173"/>
        <v>480</v>
      </c>
      <c r="V232" s="103" t="s">
        <v>336</v>
      </c>
    </row>
    <row r="233" spans="2:22" ht="18" customHeight="1" x14ac:dyDescent="0.25">
      <c r="B233" s="164" t="s">
        <v>309</v>
      </c>
      <c r="C233" s="162"/>
      <c r="D233" s="66" t="s">
        <v>309</v>
      </c>
      <c r="E233" s="162" t="s">
        <v>310</v>
      </c>
      <c r="F233" s="66" t="s">
        <v>31</v>
      </c>
      <c r="G233" s="67" t="s">
        <v>53</v>
      </c>
      <c r="H233" s="68" t="s">
        <v>337</v>
      </c>
      <c r="I233" s="75" t="s">
        <v>76</v>
      </c>
      <c r="J233" s="68">
        <v>2500</v>
      </c>
      <c r="K233" s="75">
        <v>4</v>
      </c>
      <c r="L233" s="70">
        <f>+J233*K233</f>
        <v>10000</v>
      </c>
      <c r="M233" s="75"/>
      <c r="N233" s="70">
        <f>+$J233*M233</f>
        <v>0</v>
      </c>
      <c r="O233" s="92"/>
      <c r="P233" s="72">
        <f>+$J233*O233</f>
        <v>0</v>
      </c>
      <c r="Q233" s="92"/>
      <c r="R233" s="72">
        <f>+$J233*Q233</f>
        <v>0</v>
      </c>
      <c r="S233" s="92"/>
      <c r="T233" s="72">
        <f>+$J233*S233</f>
        <v>0</v>
      </c>
      <c r="U233" s="72">
        <f t="shared" si="173"/>
        <v>10000</v>
      </c>
      <c r="V233" s="103" t="s">
        <v>338</v>
      </c>
    </row>
    <row r="234" spans="2:22" ht="18" customHeight="1" x14ac:dyDescent="0.25">
      <c r="B234" s="164" t="s">
        <v>309</v>
      </c>
      <c r="C234" s="162"/>
      <c r="D234" s="66" t="s">
        <v>309</v>
      </c>
      <c r="E234" s="162" t="s">
        <v>310</v>
      </c>
      <c r="F234" s="66" t="s">
        <v>31</v>
      </c>
      <c r="G234" s="67" t="s">
        <v>53</v>
      </c>
      <c r="H234" s="68" t="s">
        <v>339</v>
      </c>
      <c r="I234" s="75" t="s">
        <v>76</v>
      </c>
      <c r="J234" s="68">
        <v>1765</v>
      </c>
      <c r="K234" s="75">
        <v>4</v>
      </c>
      <c r="L234" s="70">
        <f t="shared" ref="L234:L242" si="175">+J234*K234</f>
        <v>7060</v>
      </c>
      <c r="M234" s="75"/>
      <c r="N234" s="70">
        <f t="shared" ref="N234:N242" si="176">+$J234*M234</f>
        <v>0</v>
      </c>
      <c r="O234" s="92"/>
      <c r="P234" s="72">
        <f>+$J234*O234</f>
        <v>0</v>
      </c>
      <c r="Q234" s="92"/>
      <c r="R234" s="72">
        <f t="shared" ref="R234:R242" si="177">+$J234*Q234</f>
        <v>0</v>
      </c>
      <c r="S234" s="92"/>
      <c r="T234" s="72">
        <f t="shared" ref="T234:T242" si="178">+$J234*S234</f>
        <v>0</v>
      </c>
      <c r="U234" s="72">
        <f t="shared" si="173"/>
        <v>7060</v>
      </c>
      <c r="V234" s="103" t="s">
        <v>340</v>
      </c>
    </row>
    <row r="235" spans="2:22" ht="18" customHeight="1" x14ac:dyDescent="0.25">
      <c r="B235" s="164" t="s">
        <v>309</v>
      </c>
      <c r="C235" s="162"/>
      <c r="D235" s="66" t="s">
        <v>309</v>
      </c>
      <c r="E235" s="162" t="s">
        <v>310</v>
      </c>
      <c r="F235" s="66" t="s">
        <v>31</v>
      </c>
      <c r="G235" s="93" t="s">
        <v>53</v>
      </c>
      <c r="H235" s="94" t="s">
        <v>341</v>
      </c>
      <c r="I235" s="78" t="s">
        <v>76</v>
      </c>
      <c r="J235" s="94">
        <v>3069.5</v>
      </c>
      <c r="K235" s="78">
        <v>4</v>
      </c>
      <c r="L235" s="79">
        <f t="shared" si="175"/>
        <v>12278</v>
      </c>
      <c r="M235" s="78"/>
      <c r="N235" s="79">
        <f t="shared" si="176"/>
        <v>0</v>
      </c>
      <c r="O235" s="80"/>
      <c r="P235" s="81">
        <f t="shared" ref="P235:P242" si="179">+$J235*O235</f>
        <v>0</v>
      </c>
      <c r="Q235" s="80"/>
      <c r="R235" s="81">
        <f t="shared" si="177"/>
        <v>0</v>
      </c>
      <c r="S235" s="80"/>
      <c r="T235" s="81">
        <f t="shared" si="178"/>
        <v>0</v>
      </c>
      <c r="U235" s="81">
        <f t="shared" si="173"/>
        <v>12278</v>
      </c>
      <c r="V235" s="103" t="s">
        <v>342</v>
      </c>
    </row>
    <row r="236" spans="2:22" ht="18" customHeight="1" x14ac:dyDescent="0.25">
      <c r="B236" s="164" t="s">
        <v>309</v>
      </c>
      <c r="C236" s="162"/>
      <c r="D236" s="66" t="s">
        <v>309</v>
      </c>
      <c r="E236" s="162" t="s">
        <v>310</v>
      </c>
      <c r="F236" s="66" t="s">
        <v>31</v>
      </c>
      <c r="G236" s="93" t="s">
        <v>53</v>
      </c>
      <c r="H236" s="94" t="s">
        <v>343</v>
      </c>
      <c r="I236" s="78" t="s">
        <v>208</v>
      </c>
      <c r="J236" s="94">
        <v>10000</v>
      </c>
      <c r="K236" s="78">
        <v>4</v>
      </c>
      <c r="L236" s="79">
        <f>+J236*K236</f>
        <v>40000</v>
      </c>
      <c r="M236" s="78"/>
      <c r="N236" s="79">
        <f t="shared" si="176"/>
        <v>0</v>
      </c>
      <c r="O236" s="80"/>
      <c r="P236" s="81">
        <f>+$J236*O236</f>
        <v>0</v>
      </c>
      <c r="Q236" s="80"/>
      <c r="R236" s="81">
        <f t="shared" si="177"/>
        <v>0</v>
      </c>
      <c r="S236" s="80"/>
      <c r="T236" s="81">
        <f t="shared" si="178"/>
        <v>0</v>
      </c>
      <c r="U236" s="81">
        <f t="shared" si="173"/>
        <v>40000</v>
      </c>
      <c r="V236" s="103" t="s">
        <v>344</v>
      </c>
    </row>
    <row r="237" spans="2:22" ht="24.75" customHeight="1" x14ac:dyDescent="0.25">
      <c r="B237" s="164" t="s">
        <v>309</v>
      </c>
      <c r="C237" s="162"/>
      <c r="D237" s="82" t="s">
        <v>309</v>
      </c>
      <c r="E237" s="83" t="s">
        <v>310</v>
      </c>
      <c r="F237" s="82" t="s">
        <v>31</v>
      </c>
      <c r="G237" s="93" t="s">
        <v>41</v>
      </c>
      <c r="H237" s="94" t="s">
        <v>345</v>
      </c>
      <c r="I237" s="82" t="s">
        <v>488</v>
      </c>
      <c r="J237" s="94">
        <v>100</v>
      </c>
      <c r="K237" s="167">
        <v>90</v>
      </c>
      <c r="L237" s="168">
        <f>+J237*K237</f>
        <v>9000</v>
      </c>
      <c r="M237" s="167">
        <v>90</v>
      </c>
      <c r="N237" s="168">
        <f t="shared" si="176"/>
        <v>9000</v>
      </c>
      <c r="O237" s="169">
        <v>90</v>
      </c>
      <c r="P237" s="170">
        <f>+$J237*O237</f>
        <v>9000</v>
      </c>
      <c r="Q237" s="169">
        <v>90</v>
      </c>
      <c r="R237" s="170">
        <f t="shared" si="177"/>
        <v>9000</v>
      </c>
      <c r="S237" s="169">
        <v>90</v>
      </c>
      <c r="T237" s="170">
        <f t="shared" si="178"/>
        <v>9000</v>
      </c>
      <c r="U237" s="170">
        <f t="shared" si="173"/>
        <v>45000</v>
      </c>
      <c r="V237" s="106" t="s">
        <v>346</v>
      </c>
    </row>
    <row r="238" spans="2:22" ht="18" customHeight="1" x14ac:dyDescent="0.25">
      <c r="B238" s="164" t="s">
        <v>309</v>
      </c>
      <c r="C238" s="162"/>
      <c r="D238" s="66" t="s">
        <v>309</v>
      </c>
      <c r="E238" s="162" t="s">
        <v>310</v>
      </c>
      <c r="F238" s="66" t="s">
        <v>31</v>
      </c>
      <c r="G238" s="93" t="s">
        <v>146</v>
      </c>
      <c r="H238" s="94" t="s">
        <v>347</v>
      </c>
      <c r="I238" s="78" t="s">
        <v>34</v>
      </c>
      <c r="J238" s="94">
        <v>601</v>
      </c>
      <c r="K238" s="78">
        <v>5</v>
      </c>
      <c r="L238" s="79">
        <f t="shared" si="175"/>
        <v>3005</v>
      </c>
      <c r="M238" s="78">
        <v>12</v>
      </c>
      <c r="N238" s="79">
        <f t="shared" si="176"/>
        <v>7212</v>
      </c>
      <c r="O238" s="80">
        <v>12</v>
      </c>
      <c r="P238" s="81">
        <f t="shared" si="179"/>
        <v>7212</v>
      </c>
      <c r="Q238" s="80">
        <v>12</v>
      </c>
      <c r="R238" s="81">
        <f t="shared" si="177"/>
        <v>7212</v>
      </c>
      <c r="S238" s="80"/>
      <c r="T238" s="81">
        <f t="shared" si="178"/>
        <v>0</v>
      </c>
      <c r="U238" s="81">
        <f t="shared" si="173"/>
        <v>24641</v>
      </c>
      <c r="V238" s="103" t="s">
        <v>348</v>
      </c>
    </row>
    <row r="239" spans="2:22" ht="15" customHeight="1" x14ac:dyDescent="0.25">
      <c r="B239" s="164" t="s">
        <v>309</v>
      </c>
      <c r="C239" s="162"/>
      <c r="D239" s="66" t="s">
        <v>309</v>
      </c>
      <c r="E239" s="162" t="s">
        <v>310</v>
      </c>
      <c r="F239" s="66" t="s">
        <v>31</v>
      </c>
      <c r="G239" s="93" t="s">
        <v>146</v>
      </c>
      <c r="H239" s="94" t="s">
        <v>349</v>
      </c>
      <c r="I239" s="78" t="s">
        <v>34</v>
      </c>
      <c r="J239" s="94">
        <v>2000</v>
      </c>
      <c r="K239" s="78">
        <v>7</v>
      </c>
      <c r="L239" s="79">
        <f t="shared" si="175"/>
        <v>14000</v>
      </c>
      <c r="M239" s="78">
        <v>12</v>
      </c>
      <c r="N239" s="79">
        <f t="shared" si="176"/>
        <v>24000</v>
      </c>
      <c r="O239" s="80">
        <v>12</v>
      </c>
      <c r="P239" s="81">
        <f t="shared" si="179"/>
        <v>24000</v>
      </c>
      <c r="Q239" s="80">
        <v>12</v>
      </c>
      <c r="R239" s="81">
        <f t="shared" si="177"/>
        <v>24000</v>
      </c>
      <c r="S239" s="80">
        <v>12</v>
      </c>
      <c r="T239" s="81">
        <f t="shared" si="178"/>
        <v>24000</v>
      </c>
      <c r="U239" s="81">
        <f t="shared" si="173"/>
        <v>110000</v>
      </c>
      <c r="V239" s="103" t="s">
        <v>350</v>
      </c>
    </row>
    <row r="240" spans="2:22" ht="28.5" customHeight="1" x14ac:dyDescent="0.25">
      <c r="B240" s="164" t="s">
        <v>309</v>
      </c>
      <c r="C240" s="162"/>
      <c r="D240" s="66" t="s">
        <v>309</v>
      </c>
      <c r="E240" s="162" t="s">
        <v>310</v>
      </c>
      <c r="F240" s="66" t="s">
        <v>31</v>
      </c>
      <c r="G240" s="93" t="s">
        <v>146</v>
      </c>
      <c r="H240" s="94" t="s">
        <v>351</v>
      </c>
      <c r="I240" s="78" t="s">
        <v>34</v>
      </c>
      <c r="J240" s="94">
        <v>900</v>
      </c>
      <c r="K240" s="78">
        <v>8</v>
      </c>
      <c r="L240" s="79">
        <f t="shared" si="175"/>
        <v>7200</v>
      </c>
      <c r="M240" s="78">
        <v>8</v>
      </c>
      <c r="N240" s="79">
        <f t="shared" si="176"/>
        <v>7200</v>
      </c>
      <c r="O240" s="80">
        <v>8</v>
      </c>
      <c r="P240" s="81">
        <f t="shared" si="179"/>
        <v>7200</v>
      </c>
      <c r="Q240" s="80">
        <v>8</v>
      </c>
      <c r="R240" s="81">
        <f t="shared" si="177"/>
        <v>7200</v>
      </c>
      <c r="S240" s="80">
        <v>8</v>
      </c>
      <c r="T240" s="81">
        <f t="shared" si="178"/>
        <v>7200</v>
      </c>
      <c r="U240" s="81">
        <f t="shared" si="173"/>
        <v>36000</v>
      </c>
      <c r="V240" s="103" t="s">
        <v>352</v>
      </c>
    </row>
    <row r="241" spans="2:26" ht="18" customHeight="1" x14ac:dyDescent="0.25">
      <c r="B241" s="164" t="s">
        <v>309</v>
      </c>
      <c r="C241" s="162"/>
      <c r="D241" s="66" t="s">
        <v>309</v>
      </c>
      <c r="E241" s="162" t="s">
        <v>310</v>
      </c>
      <c r="F241" s="66" t="s">
        <v>31</v>
      </c>
      <c r="G241" s="93" t="s">
        <v>146</v>
      </c>
      <c r="H241" s="94" t="s">
        <v>353</v>
      </c>
      <c r="I241" s="78" t="s">
        <v>34</v>
      </c>
      <c r="J241" s="94">
        <v>750</v>
      </c>
      <c r="K241" s="78">
        <v>12</v>
      </c>
      <c r="L241" s="79">
        <f t="shared" si="175"/>
        <v>9000</v>
      </c>
      <c r="M241" s="78">
        <v>12</v>
      </c>
      <c r="N241" s="79">
        <f t="shared" si="176"/>
        <v>9000</v>
      </c>
      <c r="O241" s="80">
        <v>12</v>
      </c>
      <c r="P241" s="81">
        <f t="shared" si="179"/>
        <v>9000</v>
      </c>
      <c r="Q241" s="80">
        <v>12</v>
      </c>
      <c r="R241" s="81">
        <f t="shared" si="177"/>
        <v>9000</v>
      </c>
      <c r="S241" s="80">
        <v>12</v>
      </c>
      <c r="T241" s="81">
        <f t="shared" si="178"/>
        <v>9000</v>
      </c>
      <c r="U241" s="81">
        <f t="shared" si="173"/>
        <v>45000</v>
      </c>
      <c r="V241" s="103" t="s">
        <v>354</v>
      </c>
    </row>
    <row r="242" spans="2:26" ht="15" customHeight="1" x14ac:dyDescent="0.25">
      <c r="B242" s="164" t="s">
        <v>309</v>
      </c>
      <c r="C242" s="162"/>
      <c r="D242" s="66" t="s">
        <v>309</v>
      </c>
      <c r="E242" s="162" t="s">
        <v>310</v>
      </c>
      <c r="F242" s="66" t="s">
        <v>31</v>
      </c>
      <c r="G242" s="93" t="s">
        <v>146</v>
      </c>
      <c r="H242" s="94" t="s">
        <v>355</v>
      </c>
      <c r="I242" s="78" t="s">
        <v>34</v>
      </c>
      <c r="J242" s="94">
        <v>800</v>
      </c>
      <c r="K242" s="78">
        <v>2</v>
      </c>
      <c r="L242" s="79">
        <f t="shared" si="175"/>
        <v>1600</v>
      </c>
      <c r="M242" s="78">
        <v>2</v>
      </c>
      <c r="N242" s="79">
        <f t="shared" si="176"/>
        <v>1600</v>
      </c>
      <c r="O242" s="80">
        <v>2</v>
      </c>
      <c r="P242" s="81">
        <f t="shared" si="179"/>
        <v>1600</v>
      </c>
      <c r="Q242" s="80">
        <v>2</v>
      </c>
      <c r="R242" s="81">
        <f t="shared" si="177"/>
        <v>1600</v>
      </c>
      <c r="S242" s="80">
        <v>0</v>
      </c>
      <c r="T242" s="81">
        <f t="shared" si="178"/>
        <v>0</v>
      </c>
      <c r="U242" s="81">
        <f t="shared" si="173"/>
        <v>6400</v>
      </c>
      <c r="V242" s="103" t="s">
        <v>356</v>
      </c>
    </row>
    <row r="243" spans="2:26" s="271" customFormat="1" ht="15.75" customHeight="1" x14ac:dyDescent="0.25">
      <c r="B243" s="495" t="s">
        <v>357</v>
      </c>
      <c r="C243" s="496"/>
      <c r="D243" s="496"/>
      <c r="E243" s="496"/>
      <c r="F243" s="496"/>
      <c r="G243" s="496"/>
      <c r="H243" s="497"/>
      <c r="I243" s="280"/>
      <c r="J243" s="281"/>
      <c r="K243" s="277"/>
      <c r="L243" s="278">
        <f>+SUM(L220:L242)</f>
        <v>362279</v>
      </c>
      <c r="M243" s="279"/>
      <c r="N243" s="278">
        <f>+SUM(N220:N242)</f>
        <v>300408</v>
      </c>
      <c r="O243" s="279"/>
      <c r="P243" s="278">
        <f>+SUM(P220:P242)</f>
        <v>300408</v>
      </c>
      <c r="Q243" s="279"/>
      <c r="R243" s="278">
        <f>+SUM(R220:R242)</f>
        <v>299408</v>
      </c>
      <c r="S243" s="279"/>
      <c r="T243" s="278">
        <f>+SUM(T220:T242)</f>
        <v>290596</v>
      </c>
      <c r="U243" s="278">
        <f>+SUM(U220:U242)</f>
        <v>1553099</v>
      </c>
      <c r="V243" s="282"/>
    </row>
    <row r="244" spans="2:26" s="9" customFormat="1" ht="15" customHeight="1" x14ac:dyDescent="0.25">
      <c r="B244" s="166" t="s">
        <v>309</v>
      </c>
      <c r="C244" s="101"/>
      <c r="D244" s="83" t="s">
        <v>309</v>
      </c>
      <c r="E244" s="83" t="s">
        <v>310</v>
      </c>
      <c r="F244" s="83" t="s">
        <v>687</v>
      </c>
      <c r="G244" s="67" t="s">
        <v>196</v>
      </c>
      <c r="H244" s="68" t="s">
        <v>358</v>
      </c>
      <c r="I244" s="92" t="s">
        <v>34</v>
      </c>
      <c r="J244" s="161">
        <v>1800</v>
      </c>
      <c r="K244" s="92">
        <v>48</v>
      </c>
      <c r="L244" s="72">
        <f t="shared" ref="L244:L248" si="180">+J244*K244</f>
        <v>86400</v>
      </c>
      <c r="M244" s="92">
        <v>48</v>
      </c>
      <c r="N244" s="72">
        <f t="shared" ref="N244:N249" si="181">+J244*M244</f>
        <v>86400</v>
      </c>
      <c r="O244" s="92">
        <v>48</v>
      </c>
      <c r="P244" s="72">
        <f t="shared" ref="P244:P249" si="182">+J244*O244</f>
        <v>86400</v>
      </c>
      <c r="Q244" s="92">
        <v>48</v>
      </c>
      <c r="R244" s="72">
        <f t="shared" ref="R244:R249" si="183">+J244*Q244</f>
        <v>86400</v>
      </c>
      <c r="S244" s="92">
        <v>48</v>
      </c>
      <c r="T244" s="72">
        <f t="shared" ref="T244:T249" si="184">+$J244*S244</f>
        <v>86400</v>
      </c>
      <c r="U244" s="72">
        <f>T244+R244+P244+N244+L244</f>
        <v>432000</v>
      </c>
      <c r="V244" s="103" t="s">
        <v>359</v>
      </c>
    </row>
    <row r="245" spans="2:26" s="9" customFormat="1" ht="15" customHeight="1" x14ac:dyDescent="0.25">
      <c r="B245" s="166" t="s">
        <v>309</v>
      </c>
      <c r="C245" s="101"/>
      <c r="D245" s="83" t="s">
        <v>309</v>
      </c>
      <c r="E245" s="83" t="s">
        <v>310</v>
      </c>
      <c r="F245" s="83" t="s">
        <v>687</v>
      </c>
      <c r="G245" s="67" t="s">
        <v>196</v>
      </c>
      <c r="H245" s="68" t="s">
        <v>360</v>
      </c>
      <c r="I245" s="77" t="s">
        <v>134</v>
      </c>
      <c r="J245" s="161">
        <v>82000</v>
      </c>
      <c r="K245" s="92">
        <v>1</v>
      </c>
      <c r="L245" s="72">
        <f t="shared" si="180"/>
        <v>82000</v>
      </c>
      <c r="M245" s="92">
        <v>1</v>
      </c>
      <c r="N245" s="72">
        <f t="shared" si="181"/>
        <v>82000</v>
      </c>
      <c r="O245" s="92">
        <v>1</v>
      </c>
      <c r="P245" s="72">
        <f t="shared" si="182"/>
        <v>82000</v>
      </c>
      <c r="Q245" s="92">
        <v>1</v>
      </c>
      <c r="R245" s="72">
        <f t="shared" si="183"/>
        <v>82000</v>
      </c>
      <c r="S245" s="92">
        <v>1</v>
      </c>
      <c r="T245" s="72">
        <f t="shared" si="184"/>
        <v>82000</v>
      </c>
      <c r="U245" s="72">
        <f t="shared" ref="U245:U249" si="185">T245+R245+P245+N245+L245</f>
        <v>410000</v>
      </c>
      <c r="V245" s="106" t="s">
        <v>361</v>
      </c>
    </row>
    <row r="246" spans="2:26" s="240" customFormat="1" ht="15" customHeight="1" x14ac:dyDescent="0.25">
      <c r="B246" s="234" t="s">
        <v>309</v>
      </c>
      <c r="C246" s="101"/>
      <c r="D246" s="83" t="s">
        <v>309</v>
      </c>
      <c r="E246" s="83" t="s">
        <v>310</v>
      </c>
      <c r="F246" s="83" t="s">
        <v>687</v>
      </c>
      <c r="G246" s="93" t="s">
        <v>664</v>
      </c>
      <c r="H246" s="94" t="s">
        <v>665</v>
      </c>
      <c r="I246" s="82" t="s">
        <v>134</v>
      </c>
      <c r="J246" s="253">
        <v>30000</v>
      </c>
      <c r="K246" s="80">
        <v>1</v>
      </c>
      <c r="L246" s="81">
        <f t="shared" si="180"/>
        <v>30000</v>
      </c>
      <c r="M246" s="80">
        <v>1</v>
      </c>
      <c r="N246" s="81">
        <f t="shared" si="181"/>
        <v>30000</v>
      </c>
      <c r="O246" s="80">
        <v>1</v>
      </c>
      <c r="P246" s="81">
        <f t="shared" si="182"/>
        <v>30000</v>
      </c>
      <c r="Q246" s="80">
        <v>1</v>
      </c>
      <c r="R246" s="81">
        <f t="shared" si="183"/>
        <v>30000</v>
      </c>
      <c r="S246" s="80">
        <v>1</v>
      </c>
      <c r="T246" s="81">
        <f t="shared" si="184"/>
        <v>30000</v>
      </c>
      <c r="U246" s="81">
        <f t="shared" si="185"/>
        <v>150000</v>
      </c>
      <c r="V246" s="104" t="s">
        <v>363</v>
      </c>
    </row>
    <row r="247" spans="2:26" s="9" customFormat="1" ht="15" customHeight="1" x14ac:dyDescent="0.25">
      <c r="B247" s="166" t="s">
        <v>309</v>
      </c>
      <c r="C247" s="101"/>
      <c r="D247" s="83" t="s">
        <v>309</v>
      </c>
      <c r="E247" s="83" t="s">
        <v>310</v>
      </c>
      <c r="F247" s="83" t="s">
        <v>687</v>
      </c>
      <c r="G247" s="67" t="s">
        <v>41</v>
      </c>
      <c r="H247" s="68" t="s">
        <v>362</v>
      </c>
      <c r="I247" s="80" t="s">
        <v>200</v>
      </c>
      <c r="J247" s="165">
        <v>250</v>
      </c>
      <c r="K247" s="92">
        <v>100</v>
      </c>
      <c r="L247" s="72">
        <f>+J247*K247</f>
        <v>25000</v>
      </c>
      <c r="M247" s="92">
        <v>100</v>
      </c>
      <c r="N247" s="72">
        <f t="shared" si="181"/>
        <v>25000</v>
      </c>
      <c r="O247" s="92">
        <v>100</v>
      </c>
      <c r="P247" s="72">
        <f t="shared" si="182"/>
        <v>25000</v>
      </c>
      <c r="Q247" s="92">
        <v>100</v>
      </c>
      <c r="R247" s="72">
        <f t="shared" si="183"/>
        <v>25000</v>
      </c>
      <c r="S247" s="92">
        <v>100</v>
      </c>
      <c r="T247" s="72">
        <f t="shared" si="184"/>
        <v>25000</v>
      </c>
      <c r="U247" s="72">
        <f t="shared" si="185"/>
        <v>125000</v>
      </c>
      <c r="V247" s="103" t="s">
        <v>365</v>
      </c>
    </row>
    <row r="248" spans="2:26" s="9" customFormat="1" ht="15" customHeight="1" x14ac:dyDescent="0.25">
      <c r="B248" s="166" t="s">
        <v>309</v>
      </c>
      <c r="C248" s="101"/>
      <c r="D248" s="83" t="s">
        <v>309</v>
      </c>
      <c r="E248" s="83" t="s">
        <v>310</v>
      </c>
      <c r="F248" s="83" t="s">
        <v>687</v>
      </c>
      <c r="G248" s="67" t="s">
        <v>146</v>
      </c>
      <c r="H248" s="68" t="s">
        <v>364</v>
      </c>
      <c r="I248" s="102" t="s">
        <v>34</v>
      </c>
      <c r="J248" s="161">
        <v>1000</v>
      </c>
      <c r="K248" s="92">
        <v>12</v>
      </c>
      <c r="L248" s="72">
        <f t="shared" si="180"/>
        <v>12000</v>
      </c>
      <c r="M248" s="92">
        <v>12</v>
      </c>
      <c r="N248" s="72">
        <f t="shared" si="181"/>
        <v>12000</v>
      </c>
      <c r="O248" s="92">
        <v>12</v>
      </c>
      <c r="P248" s="72">
        <f t="shared" si="182"/>
        <v>12000</v>
      </c>
      <c r="Q248" s="92">
        <v>12</v>
      </c>
      <c r="R248" s="72">
        <f t="shared" si="183"/>
        <v>12000</v>
      </c>
      <c r="S248" s="92">
        <v>12</v>
      </c>
      <c r="T248" s="72">
        <f t="shared" si="184"/>
        <v>12000</v>
      </c>
      <c r="U248" s="72">
        <f t="shared" si="185"/>
        <v>60000</v>
      </c>
      <c r="V248" s="103" t="s">
        <v>367</v>
      </c>
    </row>
    <row r="249" spans="2:26" ht="15" customHeight="1" x14ac:dyDescent="0.25">
      <c r="B249" s="164" t="s">
        <v>309</v>
      </c>
      <c r="C249" s="101"/>
      <c r="D249" s="82" t="s">
        <v>309</v>
      </c>
      <c r="E249" s="83" t="s">
        <v>310</v>
      </c>
      <c r="F249" s="83" t="s">
        <v>687</v>
      </c>
      <c r="G249" s="67" t="s">
        <v>53</v>
      </c>
      <c r="H249" s="68" t="s">
        <v>366</v>
      </c>
      <c r="I249" s="77" t="s">
        <v>134</v>
      </c>
      <c r="J249" s="68">
        <f>30000-398.4</f>
        <v>29601.599999999999</v>
      </c>
      <c r="K249" s="92">
        <v>1</v>
      </c>
      <c r="L249" s="72">
        <f>+J249*K249</f>
        <v>29601.599999999999</v>
      </c>
      <c r="M249" s="92">
        <v>1</v>
      </c>
      <c r="N249" s="72">
        <f t="shared" si="181"/>
        <v>29601.599999999999</v>
      </c>
      <c r="O249" s="92">
        <v>1</v>
      </c>
      <c r="P249" s="72">
        <f t="shared" si="182"/>
        <v>29601.599999999999</v>
      </c>
      <c r="Q249" s="92">
        <v>1</v>
      </c>
      <c r="R249" s="72">
        <f t="shared" si="183"/>
        <v>29601.599999999999</v>
      </c>
      <c r="S249" s="92">
        <v>1</v>
      </c>
      <c r="T249" s="72">
        <f t="shared" si="184"/>
        <v>29601.599999999999</v>
      </c>
      <c r="U249" s="72">
        <f t="shared" si="185"/>
        <v>148008</v>
      </c>
      <c r="V249" s="106" t="s">
        <v>369</v>
      </c>
    </row>
    <row r="250" spans="2:26" s="9" customFormat="1" ht="15" customHeight="1" x14ac:dyDescent="0.25">
      <c r="B250" s="166" t="s">
        <v>309</v>
      </c>
      <c r="C250" s="83"/>
      <c r="D250" s="83" t="s">
        <v>309</v>
      </c>
      <c r="E250" s="83" t="s">
        <v>310</v>
      </c>
      <c r="F250" s="83" t="s">
        <v>687</v>
      </c>
      <c r="G250" s="67" t="s">
        <v>146</v>
      </c>
      <c r="H250" s="68" t="s">
        <v>368</v>
      </c>
      <c r="I250" s="77" t="s">
        <v>134</v>
      </c>
      <c r="J250" s="165">
        <v>15000</v>
      </c>
      <c r="K250" s="92">
        <v>1</v>
      </c>
      <c r="L250" s="72">
        <f>+J250*K250</f>
        <v>15000</v>
      </c>
      <c r="M250" s="92">
        <v>1</v>
      </c>
      <c r="N250" s="72">
        <f>+J250*M250</f>
        <v>15000</v>
      </c>
      <c r="O250" s="92">
        <v>1</v>
      </c>
      <c r="P250" s="72">
        <f>+J250*O250</f>
        <v>15000</v>
      </c>
      <c r="Q250" s="92">
        <v>1</v>
      </c>
      <c r="R250" s="72">
        <f>+J250*Q250</f>
        <v>15000</v>
      </c>
      <c r="S250" s="92">
        <v>1</v>
      </c>
      <c r="T250" s="72">
        <f>+$J250*S250</f>
        <v>15000</v>
      </c>
      <c r="U250" s="72">
        <f>T250+R250+P250+N250+L250</f>
        <v>75000</v>
      </c>
      <c r="V250" s="103" t="s">
        <v>670</v>
      </c>
    </row>
    <row r="251" spans="2:26" s="271" customFormat="1" ht="15.75" customHeight="1" thickBot="1" x14ac:dyDescent="0.3">
      <c r="B251" s="492" t="s">
        <v>370</v>
      </c>
      <c r="C251" s="493"/>
      <c r="D251" s="493"/>
      <c r="E251" s="493"/>
      <c r="F251" s="493"/>
      <c r="G251" s="493"/>
      <c r="H251" s="494"/>
      <c r="I251" s="283"/>
      <c r="J251" s="284"/>
      <c r="K251" s="285"/>
      <c r="L251" s="286">
        <f>SUM(L244:L250)</f>
        <v>280001.59999999998</v>
      </c>
      <c r="M251" s="285"/>
      <c r="N251" s="286">
        <f>SUM(N244:N250)</f>
        <v>280001.59999999998</v>
      </c>
      <c r="O251" s="285"/>
      <c r="P251" s="286">
        <f>SUM(P244:P250)</f>
        <v>280001.59999999998</v>
      </c>
      <c r="Q251" s="285"/>
      <c r="R251" s="286">
        <f>SUM(R244:R250)</f>
        <v>280001.59999999998</v>
      </c>
      <c r="S251" s="285"/>
      <c r="T251" s="286">
        <f>SUM(T244:T250)</f>
        <v>280001.59999999998</v>
      </c>
      <c r="U251" s="286">
        <f>SUM(U244:U250)</f>
        <v>1400008</v>
      </c>
      <c r="V251" s="287"/>
    </row>
    <row r="252" spans="2:26" ht="15" customHeight="1" x14ac:dyDescent="0.25">
      <c r="B252" s="484" t="s">
        <v>371</v>
      </c>
      <c r="C252" s="485"/>
      <c r="D252" s="485"/>
      <c r="E252" s="485"/>
      <c r="F252" s="547" t="s">
        <v>461</v>
      </c>
      <c r="G252" s="548"/>
      <c r="H252" s="549"/>
      <c r="I252" s="111"/>
      <c r="J252" s="112"/>
      <c r="K252" s="112"/>
      <c r="L252" s="113">
        <f>L243</f>
        <v>362279</v>
      </c>
      <c r="M252" s="112"/>
      <c r="N252" s="113">
        <f>N243</f>
        <v>300408</v>
      </c>
      <c r="O252" s="114"/>
      <c r="P252" s="113">
        <f>P243</f>
        <v>300408</v>
      </c>
      <c r="Q252" s="114"/>
      <c r="R252" s="113">
        <f>R243</f>
        <v>299408</v>
      </c>
      <c r="S252" s="114"/>
      <c r="T252" s="113">
        <f>T243</f>
        <v>290596</v>
      </c>
      <c r="U252" s="113">
        <f>U243</f>
        <v>1553099</v>
      </c>
      <c r="V252" s="179"/>
    </row>
    <row r="253" spans="2:26" ht="15" customHeight="1" x14ac:dyDescent="0.25">
      <c r="B253" s="475"/>
      <c r="C253" s="476"/>
      <c r="D253" s="476"/>
      <c r="E253" s="476"/>
      <c r="F253" s="481" t="s">
        <v>690</v>
      </c>
      <c r="G253" s="482"/>
      <c r="H253" s="483"/>
      <c r="I253" s="61"/>
      <c r="J253" s="62"/>
      <c r="K253" s="62"/>
      <c r="L253" s="63">
        <f>L251</f>
        <v>280001.59999999998</v>
      </c>
      <c r="M253" s="62"/>
      <c r="N253" s="63">
        <f>N251</f>
        <v>280001.59999999998</v>
      </c>
      <c r="O253" s="64"/>
      <c r="P253" s="63">
        <f>P251</f>
        <v>280001.59999999998</v>
      </c>
      <c r="Q253" s="64"/>
      <c r="R253" s="63">
        <f>R251</f>
        <v>280001.59999999998</v>
      </c>
      <c r="S253" s="64"/>
      <c r="T253" s="63">
        <f>T251</f>
        <v>280001.59999999998</v>
      </c>
      <c r="U253" s="63">
        <f>U251</f>
        <v>1400008</v>
      </c>
      <c r="V253" s="173"/>
      <c r="Z253" s="43"/>
    </row>
    <row r="254" spans="2:26" ht="15" customHeight="1" x14ac:dyDescent="0.25">
      <c r="B254" s="478"/>
      <c r="C254" s="479"/>
      <c r="D254" s="479"/>
      <c r="E254" s="479"/>
      <c r="F254" s="486" t="s">
        <v>684</v>
      </c>
      <c r="G254" s="486"/>
      <c r="H254" s="486"/>
      <c r="I254" s="61"/>
      <c r="J254" s="62"/>
      <c r="K254" s="62"/>
      <c r="L254" s="63">
        <v>0</v>
      </c>
      <c r="M254" s="62"/>
      <c r="N254" s="63">
        <v>0</v>
      </c>
      <c r="O254" s="64"/>
      <c r="P254" s="63">
        <v>0</v>
      </c>
      <c r="Q254" s="64"/>
      <c r="R254" s="63">
        <v>0</v>
      </c>
      <c r="S254" s="64"/>
      <c r="T254" s="63">
        <v>0</v>
      </c>
      <c r="U254" s="63">
        <v>0</v>
      </c>
      <c r="V254" s="173"/>
      <c r="Z254" s="43"/>
    </row>
    <row r="255" spans="2:26" s="271" customFormat="1" ht="15" customHeight="1" x14ac:dyDescent="0.25">
      <c r="B255" s="495" t="s">
        <v>491</v>
      </c>
      <c r="C255" s="496"/>
      <c r="D255" s="496"/>
      <c r="E255" s="496"/>
      <c r="F255" s="496"/>
      <c r="G255" s="496"/>
      <c r="H255" s="497"/>
      <c r="I255" s="277"/>
      <c r="J255" s="288"/>
      <c r="K255" s="279"/>
      <c r="L255" s="278">
        <f>L252+L253</f>
        <v>642280.6</v>
      </c>
      <c r="M255" s="279"/>
      <c r="N255" s="278">
        <f>N252+N253</f>
        <v>580409.59999999998</v>
      </c>
      <c r="O255" s="279"/>
      <c r="P255" s="278">
        <f>P252+P253</f>
        <v>580409.59999999998</v>
      </c>
      <c r="Q255" s="279"/>
      <c r="R255" s="278">
        <f>R252+R253</f>
        <v>579409.6</v>
      </c>
      <c r="S255" s="279"/>
      <c r="T255" s="278">
        <f>T252+T253</f>
        <v>570597.6</v>
      </c>
      <c r="U255" s="278">
        <f>U252+U253</f>
        <v>2953107</v>
      </c>
      <c r="V255" s="289"/>
    </row>
    <row r="256" spans="2:26" ht="15" customHeight="1" x14ac:dyDescent="0.25">
      <c r="B256" s="472" t="s">
        <v>560</v>
      </c>
      <c r="C256" s="473"/>
      <c r="D256" s="473"/>
      <c r="E256" s="474"/>
      <c r="F256" s="481" t="s">
        <v>31</v>
      </c>
      <c r="G256" s="482"/>
      <c r="H256" s="483"/>
      <c r="I256" s="61"/>
      <c r="J256" s="62"/>
      <c r="K256" s="62"/>
      <c r="L256" s="63">
        <f>L216+L158+L205+L129+L77+L252</f>
        <v>7603612.71</v>
      </c>
      <c r="M256" s="63"/>
      <c r="N256" s="63">
        <f>N216+N158+N205+N129+N77+N252</f>
        <v>11138813.710000001</v>
      </c>
      <c r="O256" s="63"/>
      <c r="P256" s="63">
        <f>P216+P158+P205+P129+P77+P252</f>
        <v>9389749.2400000002</v>
      </c>
      <c r="Q256" s="63"/>
      <c r="R256" s="63">
        <f>R216+R158+R205+R129+R77+R252</f>
        <v>3325290.21</v>
      </c>
      <c r="S256" s="63"/>
      <c r="T256" s="63">
        <f>T216+T158+T205+T129+T77+T252</f>
        <v>1842534.21</v>
      </c>
      <c r="U256" s="63">
        <f>U43+U73+U96+U125+U144+U154+U165+U184+U201+U252+U219</f>
        <v>33300000.079999998</v>
      </c>
      <c r="V256" s="173"/>
      <c r="Y256" s="203"/>
    </row>
    <row r="257" spans="2:25" ht="15" customHeight="1" x14ac:dyDescent="0.25">
      <c r="B257" s="475"/>
      <c r="C257" s="476"/>
      <c r="D257" s="476"/>
      <c r="E257" s="477"/>
      <c r="F257" s="481" t="s">
        <v>691</v>
      </c>
      <c r="G257" s="482"/>
      <c r="H257" s="483"/>
      <c r="I257" s="61"/>
      <c r="J257" s="62"/>
      <c r="K257" s="62"/>
      <c r="L257" s="63">
        <f>L253+L217+L206+L159+L130+L78</f>
        <v>5940000.04</v>
      </c>
      <c r="M257" s="62"/>
      <c r="N257" s="63">
        <f>N253+N217+N206+N159+N130+N78</f>
        <v>6440000.04</v>
      </c>
      <c r="O257" s="64"/>
      <c r="P257" s="63">
        <f>P253+P217+P206+P159+P130+P78</f>
        <v>6440000.04</v>
      </c>
      <c r="Q257" s="64"/>
      <c r="R257" s="63">
        <f>R253+R217+R206+R159+R130+R78</f>
        <v>5340000.04</v>
      </c>
      <c r="S257" s="64"/>
      <c r="T257" s="63">
        <f>T253+T217+T206+T159+T130+T78</f>
        <v>5340000.04</v>
      </c>
      <c r="U257" s="63">
        <f>U253+U217+U206+U159+U130+U78</f>
        <v>29500000.199999999</v>
      </c>
      <c r="V257" s="173"/>
      <c r="Y257" s="203"/>
    </row>
    <row r="258" spans="2:25" ht="15" customHeight="1" x14ac:dyDescent="0.25">
      <c r="B258" s="478"/>
      <c r="C258" s="479"/>
      <c r="D258" s="479"/>
      <c r="E258" s="480"/>
      <c r="F258" s="481" t="s">
        <v>683</v>
      </c>
      <c r="G258" s="482"/>
      <c r="H258" s="483"/>
      <c r="I258" s="298"/>
      <c r="J258" s="299"/>
      <c r="K258" s="299"/>
      <c r="L258" s="300">
        <f>L254+L207+L218+L160+L131+L79</f>
        <v>104500</v>
      </c>
      <c r="M258" s="299"/>
      <c r="N258" s="300">
        <f>N254+N207+N218+N160+N131+N79</f>
        <v>114500</v>
      </c>
      <c r="O258" s="301"/>
      <c r="P258" s="300">
        <f>P254+P207+P218+P160+P131+P79</f>
        <v>94500</v>
      </c>
      <c r="Q258" s="301"/>
      <c r="R258" s="300">
        <f>R254+R207+R218+R160+R131+R79</f>
        <v>94500</v>
      </c>
      <c r="S258" s="301"/>
      <c r="T258" s="300">
        <f>T254+T207+T218+T160+T131+T79</f>
        <v>92000</v>
      </c>
      <c r="U258" s="300">
        <f>U254+U207+U218+U160+U131+U79</f>
        <v>500000</v>
      </c>
      <c r="V258" s="308"/>
      <c r="Y258" s="203"/>
    </row>
    <row r="259" spans="2:25" s="270" customFormat="1" ht="15.75" customHeight="1" thickBot="1" x14ac:dyDescent="0.3">
      <c r="B259" s="490" t="s">
        <v>372</v>
      </c>
      <c r="C259" s="491"/>
      <c r="D259" s="491"/>
      <c r="E259" s="491"/>
      <c r="F259" s="491"/>
      <c r="G259" s="491"/>
      <c r="H259" s="491"/>
      <c r="I259" s="107"/>
      <c r="J259" s="108"/>
      <c r="K259" s="109"/>
      <c r="L259" s="110">
        <f>L256+L257+L258</f>
        <v>13648112.75</v>
      </c>
      <c r="M259" s="109"/>
      <c r="N259" s="110">
        <f>N256+N257+N258</f>
        <v>17693313.75</v>
      </c>
      <c r="O259" s="109"/>
      <c r="P259" s="110">
        <f>P256+P257+P258</f>
        <v>15924249.280000001</v>
      </c>
      <c r="Q259" s="109"/>
      <c r="R259" s="110">
        <f>R256+R257+R258</f>
        <v>8759790.25</v>
      </c>
      <c r="S259" s="109"/>
      <c r="T259" s="110">
        <f>T256+T257+T258</f>
        <v>7274534.25</v>
      </c>
      <c r="U259" s="110">
        <f>U80+U132+U161+U208+U243+U251+U219</f>
        <v>63300000.280000001</v>
      </c>
      <c r="V259" s="180"/>
    </row>
    <row r="260" spans="2:25" x14ac:dyDescent="0.25">
      <c r="L260" s="12">
        <f>L259-L258-L257-L256</f>
        <v>0</v>
      </c>
      <c r="N260" s="12">
        <f>N259-N258-N257-N256</f>
        <v>0</v>
      </c>
      <c r="P260" s="12">
        <f>P259-P258-P257-P256</f>
        <v>0</v>
      </c>
      <c r="R260" s="12">
        <f>R259-R258-R257-R256</f>
        <v>0</v>
      </c>
      <c r="T260" s="12">
        <f>T259-T258-T257-T256</f>
        <v>0</v>
      </c>
      <c r="U260" s="12">
        <f>U259-U258-U257-U256</f>
        <v>0</v>
      </c>
      <c r="W260" s="43"/>
    </row>
    <row r="261" spans="2:25" hidden="1" x14ac:dyDescent="0.25"/>
    <row r="262" spans="2:25" s="9" customFormat="1" hidden="1" x14ac:dyDescent="0.25">
      <c r="B262" s="39" t="s">
        <v>373</v>
      </c>
      <c r="H262" s="10"/>
      <c r="L262" s="12"/>
      <c r="N262" s="12"/>
      <c r="P262" s="12"/>
      <c r="R262" s="12"/>
      <c r="T262" s="12"/>
      <c r="U262" s="12"/>
      <c r="V262" s="181"/>
    </row>
    <row r="263" spans="2:25" s="9" customFormat="1" hidden="1" x14ac:dyDescent="0.25">
      <c r="B263" s="38" t="s">
        <v>196</v>
      </c>
      <c r="C263" s="54">
        <f t="shared" ref="C263:C271" ca="1" si="186">SUMIF($G$8:$U$250,B263,$U$8:$U$250)</f>
        <v>2042000</v>
      </c>
      <c r="E263" s="10">
        <v>1682000</v>
      </c>
      <c r="G263" s="55">
        <f ca="1">C263-E263</f>
        <v>360000</v>
      </c>
      <c r="H263" s="10"/>
      <c r="I263" s="55"/>
      <c r="L263" s="12"/>
      <c r="N263" s="12"/>
      <c r="P263" s="12"/>
      <c r="R263" s="12"/>
      <c r="T263" s="12"/>
      <c r="U263" s="12"/>
      <c r="V263" s="181"/>
    </row>
    <row r="264" spans="2:25" s="9" customFormat="1" hidden="1" x14ac:dyDescent="0.25">
      <c r="B264" s="38" t="s">
        <v>32</v>
      </c>
      <c r="C264" s="54">
        <f t="shared" ca="1" si="186"/>
        <v>25786880</v>
      </c>
      <c r="E264" s="10">
        <v>21900000</v>
      </c>
      <c r="G264" s="55">
        <f t="shared" ref="G264:G271" ca="1" si="187">C264-E264</f>
        <v>3886880</v>
      </c>
      <c r="H264" s="10"/>
      <c r="I264" s="55"/>
      <c r="L264" s="12"/>
      <c r="N264" s="12"/>
      <c r="P264" s="12"/>
      <c r="R264" s="12"/>
      <c r="T264" s="12"/>
      <c r="U264" s="12"/>
      <c r="V264" s="181"/>
    </row>
    <row r="265" spans="2:25" s="9" customFormat="1" hidden="1" x14ac:dyDescent="0.25">
      <c r="B265" s="38" t="s">
        <v>41</v>
      </c>
      <c r="C265" s="54">
        <f t="shared" ca="1" si="186"/>
        <v>5862000</v>
      </c>
      <c r="E265" s="10">
        <v>5035000</v>
      </c>
      <c r="G265" s="55">
        <f t="shared" ca="1" si="187"/>
        <v>827000</v>
      </c>
      <c r="H265" s="10"/>
      <c r="I265" s="55"/>
      <c r="L265" s="12"/>
      <c r="N265" s="12"/>
      <c r="P265" s="12"/>
      <c r="R265" s="12"/>
      <c r="S265" s="13"/>
      <c r="T265" s="12"/>
      <c r="U265" s="12"/>
      <c r="V265" s="171"/>
    </row>
    <row r="266" spans="2:25" s="9" customFormat="1" ht="24" hidden="1" x14ac:dyDescent="0.25">
      <c r="B266" s="38" t="s">
        <v>45</v>
      </c>
      <c r="C266" s="54">
        <f t="shared" ca="1" si="186"/>
        <v>4740033.08</v>
      </c>
      <c r="E266" s="10">
        <v>680000</v>
      </c>
      <c r="G266" s="55">
        <f t="shared" ca="1" si="187"/>
        <v>4060033.08</v>
      </c>
      <c r="H266" s="10"/>
      <c r="I266" s="55"/>
      <c r="L266" s="12"/>
      <c r="N266" s="12"/>
      <c r="P266" s="12"/>
      <c r="R266" s="12"/>
      <c r="S266" s="13"/>
      <c r="T266" s="12"/>
      <c r="U266" s="15"/>
      <c r="V266" s="171"/>
    </row>
    <row r="267" spans="2:25" s="9" customFormat="1" ht="24" hidden="1" x14ac:dyDescent="0.25">
      <c r="B267" s="38" t="s">
        <v>49</v>
      </c>
      <c r="C267" s="54">
        <f t="shared" ca="1" si="186"/>
        <v>3500000</v>
      </c>
      <c r="E267" s="14"/>
      <c r="G267" s="55">
        <f t="shared" ca="1" si="187"/>
        <v>3500000</v>
      </c>
      <c r="H267" s="14"/>
      <c r="I267" s="55"/>
      <c r="L267" s="12"/>
      <c r="N267" s="12"/>
      <c r="P267" s="12"/>
      <c r="R267" s="12"/>
      <c r="S267" s="13"/>
      <c r="T267" s="12"/>
      <c r="U267" s="12"/>
      <c r="V267" s="171"/>
    </row>
    <row r="268" spans="2:25" s="9" customFormat="1" hidden="1" x14ac:dyDescent="0.25">
      <c r="B268" s="38" t="s">
        <v>53</v>
      </c>
      <c r="C268" s="54">
        <f t="shared" ca="1" si="186"/>
        <v>8076842</v>
      </c>
      <c r="E268" s="10">
        <v>148008</v>
      </c>
      <c r="G268" s="55">
        <f t="shared" ca="1" si="187"/>
        <v>7928834</v>
      </c>
      <c r="H268" s="10"/>
      <c r="I268" s="55"/>
      <c r="L268" s="12"/>
      <c r="N268" s="12"/>
      <c r="P268" s="12"/>
      <c r="R268" s="12"/>
      <c r="T268" s="12"/>
      <c r="U268" s="15"/>
      <c r="V268" s="181"/>
    </row>
    <row r="269" spans="2:25" s="9" customFormat="1" hidden="1" x14ac:dyDescent="0.25">
      <c r="B269" s="38" t="s">
        <v>165</v>
      </c>
      <c r="C269" s="54">
        <f t="shared" ca="1" si="186"/>
        <v>10941162</v>
      </c>
      <c r="E269" s="10"/>
      <c r="G269" s="55">
        <f t="shared" ca="1" si="187"/>
        <v>10941162</v>
      </c>
      <c r="H269" s="10"/>
      <c r="I269" s="55"/>
      <c r="L269" s="12"/>
      <c r="N269" s="12"/>
      <c r="P269" s="12"/>
      <c r="R269" s="12"/>
      <c r="T269" s="12"/>
      <c r="U269" s="12"/>
      <c r="V269" s="171"/>
    </row>
    <row r="270" spans="2:25" s="9" customFormat="1" ht="36" hidden="1" x14ac:dyDescent="0.25">
      <c r="B270" s="38" t="s">
        <v>74</v>
      </c>
      <c r="C270" s="54">
        <f t="shared" ca="1" si="186"/>
        <v>1574050</v>
      </c>
      <c r="E270" s="10"/>
      <c r="G270" s="55">
        <f t="shared" ca="1" si="187"/>
        <v>1574050</v>
      </c>
      <c r="H270" s="10"/>
      <c r="I270" s="55"/>
      <c r="L270" s="12"/>
      <c r="N270" s="12"/>
      <c r="P270" s="12"/>
      <c r="R270" s="12"/>
      <c r="T270" s="12"/>
      <c r="U270" s="12"/>
      <c r="V270" s="171"/>
    </row>
    <row r="271" spans="2:25" s="9" customFormat="1" hidden="1" x14ac:dyDescent="0.25">
      <c r="B271" s="38" t="s">
        <v>146</v>
      </c>
      <c r="C271" s="54">
        <f t="shared" ca="1" si="186"/>
        <v>777033.2</v>
      </c>
      <c r="E271" s="10">
        <v>554992</v>
      </c>
      <c r="G271" s="55">
        <f t="shared" ca="1" si="187"/>
        <v>222041.19999999995</v>
      </c>
      <c r="H271" s="10"/>
      <c r="I271" s="55"/>
      <c r="L271" s="12"/>
      <c r="N271" s="12"/>
      <c r="P271" s="12"/>
      <c r="R271" s="12"/>
    </row>
    <row r="272" spans="2:25" s="9" customFormat="1" hidden="1" x14ac:dyDescent="0.25">
      <c r="C272" s="55">
        <f ca="1">C263+C264+C268+C269+C270+C271+C265+C266+C267</f>
        <v>63300000.280000001</v>
      </c>
      <c r="G272" s="55">
        <f ca="1">G263+G264+G265+G266+G267+G268+G269+G270+G271</f>
        <v>33300000.279999997</v>
      </c>
      <c r="H272" s="10"/>
      <c r="I272" s="55"/>
      <c r="L272" s="12"/>
      <c r="N272" s="12"/>
      <c r="P272" s="12"/>
      <c r="R272" s="12"/>
    </row>
    <row r="273" spans="8:40" s="9" customFormat="1" hidden="1" x14ac:dyDescent="0.25">
      <c r="H273" s="10"/>
      <c r="L273" s="12"/>
      <c r="N273" s="12"/>
      <c r="P273" s="12"/>
      <c r="R273" s="12"/>
    </row>
    <row r="274" spans="8:40" hidden="1" x14ac:dyDescent="0.25"/>
    <row r="275" spans="8:40" x14ac:dyDescent="0.25">
      <c r="J275" s="65"/>
      <c r="K275" s="43"/>
      <c r="AH275" s="9"/>
      <c r="AI275" s="12"/>
      <c r="AJ275" s="12"/>
      <c r="AK275" s="171"/>
      <c r="AL275" s="9"/>
      <c r="AM275" s="9"/>
      <c r="AN275" s="9"/>
    </row>
    <row r="276" spans="8:40" x14ac:dyDescent="0.25">
      <c r="AH276" s="9"/>
      <c r="AI276" s="12"/>
      <c r="AJ276" s="12"/>
      <c r="AK276" s="171"/>
    </row>
    <row r="277" spans="8:40" x14ac:dyDescent="0.25">
      <c r="AH277" s="9"/>
      <c r="AI277" s="12"/>
      <c r="AJ277" s="12"/>
      <c r="AK277" s="171"/>
    </row>
    <row r="278" spans="8:40" x14ac:dyDescent="0.25">
      <c r="AH278" s="9"/>
      <c r="AI278" s="12"/>
      <c r="AJ278" s="12"/>
      <c r="AK278" s="171"/>
      <c r="AM278" s="43"/>
    </row>
    <row r="279" spans="8:40" x14ac:dyDescent="0.25">
      <c r="AH279" s="9"/>
      <c r="AI279" s="12"/>
      <c r="AJ279" s="15"/>
      <c r="AK279" s="171"/>
      <c r="AM279" s="65"/>
    </row>
    <row r="280" spans="8:40" x14ac:dyDescent="0.25">
      <c r="AH280" s="9"/>
      <c r="AI280" s="12"/>
      <c r="AJ280" s="60"/>
      <c r="AK280" s="181"/>
    </row>
    <row r="281" spans="8:40" x14ac:dyDescent="0.25">
      <c r="AH281" s="9"/>
      <c r="AI281" s="12"/>
      <c r="AJ281" s="57"/>
      <c r="AK281" s="171"/>
    </row>
    <row r="282" spans="8:40" x14ac:dyDescent="0.25">
      <c r="O282" s="202"/>
      <c r="AH282" s="9"/>
      <c r="AI282" s="12"/>
      <c r="AJ282" s="12"/>
      <c r="AK282" s="171"/>
    </row>
    <row r="283" spans="8:40" x14ac:dyDescent="0.25">
      <c r="AH283" s="9"/>
      <c r="AI283" s="12"/>
      <c r="AJ283" s="12"/>
      <c r="AK283" s="171"/>
    </row>
    <row r="284" spans="8:40" x14ac:dyDescent="0.25">
      <c r="AH284" s="9"/>
      <c r="AI284" s="12"/>
      <c r="AJ284" s="57"/>
      <c r="AK284" s="171"/>
      <c r="AL284" s="43"/>
    </row>
    <row r="285" spans="8:40" x14ac:dyDescent="0.25">
      <c r="AH285" s="9"/>
      <c r="AI285" s="12"/>
      <c r="AJ285" s="56"/>
      <c r="AK285" s="181"/>
      <c r="AL285" s="65"/>
    </row>
    <row r="286" spans="8:40" x14ac:dyDescent="0.25">
      <c r="AH286" s="9"/>
      <c r="AI286" s="12"/>
      <c r="AJ286" s="12"/>
      <c r="AK286" s="171"/>
    </row>
    <row r="287" spans="8:40" x14ac:dyDescent="0.25">
      <c r="AH287" s="9"/>
      <c r="AI287" s="12"/>
      <c r="AJ287" s="12"/>
      <c r="AK287" s="171"/>
    </row>
  </sheetData>
  <autoFilter ref="B7:X260" xr:uid="{00000000-0009-0000-0000-000000000000}"/>
  <mergeCells count="159">
    <mergeCell ref="B162:B163"/>
    <mergeCell ref="F201:H201"/>
    <mergeCell ref="F203:H203"/>
    <mergeCell ref="F252:H252"/>
    <mergeCell ref="F253:H253"/>
    <mergeCell ref="B158:E160"/>
    <mergeCell ref="F158:H158"/>
    <mergeCell ref="F159:H159"/>
    <mergeCell ref="F160:H160"/>
    <mergeCell ref="B197:B199"/>
    <mergeCell ref="C197:C199"/>
    <mergeCell ref="B169:B173"/>
    <mergeCell ref="B190:B191"/>
    <mergeCell ref="B183:H183"/>
    <mergeCell ref="B189:H189"/>
    <mergeCell ref="C162:C163"/>
    <mergeCell ref="C169:C173"/>
    <mergeCell ref="C190:C191"/>
    <mergeCell ref="B175:B182"/>
    <mergeCell ref="B164:H164"/>
    <mergeCell ref="B208:H208"/>
    <mergeCell ref="B165:E167"/>
    <mergeCell ref="B201:E203"/>
    <mergeCell ref="B184:E186"/>
    <mergeCell ref="V5:V7"/>
    <mergeCell ref="K6:L6"/>
    <mergeCell ref="M6:N6"/>
    <mergeCell ref="O6:P6"/>
    <mergeCell ref="Q6:R6"/>
    <mergeCell ref="S6:T6"/>
    <mergeCell ref="B66:H66"/>
    <mergeCell ref="B47:B59"/>
    <mergeCell ref="B61:B65"/>
    <mergeCell ref="B60:H60"/>
    <mergeCell ref="C47:C59"/>
    <mergeCell ref="C61:C65"/>
    <mergeCell ref="B25:H25"/>
    <mergeCell ref="B46:H46"/>
    <mergeCell ref="B43:E45"/>
    <mergeCell ref="B42:H42"/>
    <mergeCell ref="F43:H43"/>
    <mergeCell ref="F45:H45"/>
    <mergeCell ref="I5:J6"/>
    <mergeCell ref="B5:B7"/>
    <mergeCell ref="C5:C7"/>
    <mergeCell ref="D5:D7"/>
    <mergeCell ref="E5:E7"/>
    <mergeCell ref="F5:F7"/>
    <mergeCell ref="B2:L2"/>
    <mergeCell ref="B143:H143"/>
    <mergeCell ref="C139:C142"/>
    <mergeCell ref="B138:H138"/>
    <mergeCell ref="B139:B142"/>
    <mergeCell ref="C8:C24"/>
    <mergeCell ref="B8:B24"/>
    <mergeCell ref="C100:C109"/>
    <mergeCell ref="B87:B92"/>
    <mergeCell ref="B100:B109"/>
    <mergeCell ref="B81:B85"/>
    <mergeCell ref="C26:C41"/>
    <mergeCell ref="B26:B41"/>
    <mergeCell ref="B125:E127"/>
    <mergeCell ref="B111:B113"/>
    <mergeCell ref="C111:C113"/>
    <mergeCell ref="K5:U5"/>
    <mergeCell ref="F73:H73"/>
    <mergeCell ref="B67:B71"/>
    <mergeCell ref="C67:C71"/>
    <mergeCell ref="B72:H72"/>
    <mergeCell ref="B99:H99"/>
    <mergeCell ref="B76:H76"/>
    <mergeCell ref="F78:H78"/>
    <mergeCell ref="B204:H204"/>
    <mergeCell ref="B187:H187"/>
    <mergeCell ref="B168:H168"/>
    <mergeCell ref="B157:H157"/>
    <mergeCell ref="B147:H147"/>
    <mergeCell ref="B128:H128"/>
    <mergeCell ref="B192:H192"/>
    <mergeCell ref="F154:H154"/>
    <mergeCell ref="F144:H144"/>
    <mergeCell ref="F146:H146"/>
    <mergeCell ref="F130:H130"/>
    <mergeCell ref="F131:H131"/>
    <mergeCell ref="B193:B195"/>
    <mergeCell ref="F155:H155"/>
    <mergeCell ref="F166:H166"/>
    <mergeCell ref="F185:H185"/>
    <mergeCell ref="F202:H202"/>
    <mergeCell ref="B133:B137"/>
    <mergeCell ref="C133:C137"/>
    <mergeCell ref="B153:H153"/>
    <mergeCell ref="B161:H161"/>
    <mergeCell ref="B148:B152"/>
    <mergeCell ref="C148:C152"/>
    <mergeCell ref="B154:E156"/>
    <mergeCell ref="B256:E258"/>
    <mergeCell ref="F258:H258"/>
    <mergeCell ref="B252:E254"/>
    <mergeCell ref="F254:H254"/>
    <mergeCell ref="B216:E218"/>
    <mergeCell ref="F216:H216"/>
    <mergeCell ref="F217:H217"/>
    <mergeCell ref="F218:H218"/>
    <mergeCell ref="B259:H259"/>
    <mergeCell ref="B251:H251"/>
    <mergeCell ref="B255:H255"/>
    <mergeCell ref="B243:H243"/>
    <mergeCell ref="F257:H257"/>
    <mergeCell ref="F256:H256"/>
    <mergeCell ref="B219:H219"/>
    <mergeCell ref="B205:E207"/>
    <mergeCell ref="F205:H205"/>
    <mergeCell ref="F206:H206"/>
    <mergeCell ref="F207:H207"/>
    <mergeCell ref="F79:H79"/>
    <mergeCell ref="B77:E79"/>
    <mergeCell ref="B129:E131"/>
    <mergeCell ref="F129:H129"/>
    <mergeCell ref="F44:H44"/>
    <mergeCell ref="F74:H74"/>
    <mergeCell ref="F98:H98"/>
    <mergeCell ref="B96:E98"/>
    <mergeCell ref="F126:H126"/>
    <mergeCell ref="F145:H145"/>
    <mergeCell ref="B174:H174"/>
    <mergeCell ref="C175:C182"/>
    <mergeCell ref="F156:H156"/>
    <mergeCell ref="F165:H165"/>
    <mergeCell ref="F167:H167"/>
    <mergeCell ref="F184:H184"/>
    <mergeCell ref="F186:H186"/>
    <mergeCell ref="C193:C195"/>
    <mergeCell ref="B200:H200"/>
    <mergeCell ref="B196:H196"/>
    <mergeCell ref="G5:G7"/>
    <mergeCell ref="H5:H7"/>
    <mergeCell ref="B73:E75"/>
    <mergeCell ref="B80:H80"/>
    <mergeCell ref="C81:C85"/>
    <mergeCell ref="B86:H86"/>
    <mergeCell ref="B93:H93"/>
    <mergeCell ref="B95:H95"/>
    <mergeCell ref="B144:E146"/>
    <mergeCell ref="B132:H132"/>
    <mergeCell ref="F75:H75"/>
    <mergeCell ref="F96:H96"/>
    <mergeCell ref="F97:H97"/>
    <mergeCell ref="F125:H125"/>
    <mergeCell ref="F127:H127"/>
    <mergeCell ref="B115:B119"/>
    <mergeCell ref="C87:C92"/>
    <mergeCell ref="F77:H77"/>
    <mergeCell ref="C115:C119"/>
    <mergeCell ref="B114:H114"/>
    <mergeCell ref="B120:H120"/>
    <mergeCell ref="B124:H124"/>
    <mergeCell ref="B121:B123"/>
    <mergeCell ref="C121:C123"/>
  </mergeCells>
  <phoneticPr fontId="13" type="noConversion"/>
  <pageMargins left="0.7" right="0.7" top="0.75" bottom="0.75" header="0.3" footer="0.3"/>
  <pageSetup orientation="portrait" horizontalDpi="4294967295" verticalDpi="4294967295"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promptTitle="Select from list" prompt="Select from list" xr:uid="{00000000-0002-0000-0000-000000000000}">
          <x14:formula1>
            <xm:f>categories!$A$3:$A$10</xm:f>
          </x14:formula1>
          <xm:sqref>G47:G59 G220:G237 G94 G100:G109 G190:G191 G188 G162:G163 G8:G24 G81 G193:G195 G169:G173 G111:G113 G139:G141 G121:G123 G115:G119 G148:G152 G197:G199 G67:G71 G61:G65 G175:G182 G133:G137 G87:G92 G26:G41</xm:sqref>
        </x14:dataValidation>
        <x14:dataValidation type="list" allowBlank="1" showInputMessage="1" showErrorMessage="1" promptTitle="Select from list" prompt="Select from list" xr:uid="{00000000-0002-0000-0000-000001000000}">
          <x14:formula1>
            <xm:f>categories!$A$3:$A$11</xm:f>
          </x14:formula1>
          <xm:sqref>G238:G242 G244:G250 G142 G82:G85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3:G35"/>
  <sheetViews>
    <sheetView workbookViewId="0">
      <selection activeCell="K25" sqref="K25"/>
    </sheetView>
  </sheetViews>
  <sheetFormatPr defaultColWidth="9.140625" defaultRowHeight="15" x14ac:dyDescent="0.25"/>
  <cols>
    <col min="2" max="2" width="38.85546875" customWidth="1"/>
    <col min="3" max="3" width="10.140625" bestFit="1" customWidth="1"/>
    <col min="5" max="5" width="9.140625" hidden="1" customWidth="1"/>
  </cols>
  <sheetData>
    <row r="3" spans="2:6" x14ac:dyDescent="0.25">
      <c r="B3" s="1" t="s">
        <v>390</v>
      </c>
      <c r="C3" s="1" t="s">
        <v>391</v>
      </c>
      <c r="D3" s="1" t="s">
        <v>392</v>
      </c>
    </row>
    <row r="4" spans="2:6" x14ac:dyDescent="0.25">
      <c r="B4" t="s">
        <v>196</v>
      </c>
      <c r="C4">
        <v>360000</v>
      </c>
      <c r="D4" s="4">
        <f>(C4*100)/C13/100</f>
        <v>1.0810810719909102E-2</v>
      </c>
      <c r="E4">
        <f>(C4*100)/C13</f>
        <v>1.0810810719909101</v>
      </c>
      <c r="F4" s="52"/>
    </row>
    <row r="5" spans="2:6" x14ac:dyDescent="0.25">
      <c r="B5" t="s">
        <v>32</v>
      </c>
      <c r="C5">
        <v>3886880</v>
      </c>
      <c r="D5" s="4">
        <f>(C5*100)/C13/100</f>
        <v>0.11672312214166744</v>
      </c>
      <c r="E5">
        <f>(C5*100)/C13</f>
        <v>11.672312214166745</v>
      </c>
      <c r="F5" s="52"/>
    </row>
    <row r="6" spans="2:6" x14ac:dyDescent="0.25">
      <c r="B6" t="s">
        <v>41</v>
      </c>
      <c r="C6">
        <v>827000</v>
      </c>
      <c r="D6" s="4">
        <f>(C6*100)/C13/100</f>
        <v>2.4834834626013404E-2</v>
      </c>
      <c r="E6">
        <f>(C6*100)/C13</f>
        <v>2.4834834626013405</v>
      </c>
      <c r="F6" s="52"/>
    </row>
    <row r="7" spans="2:6" x14ac:dyDescent="0.25">
      <c r="B7" t="s">
        <v>45</v>
      </c>
      <c r="C7">
        <v>4010033.08</v>
      </c>
      <c r="D7" s="4">
        <f>(C7*100)/C13/100</f>
        <v>0.1204214128012614</v>
      </c>
      <c r="E7">
        <f>(C7*100)/C13</f>
        <v>12.04214128012614</v>
      </c>
      <c r="F7" s="52"/>
    </row>
    <row r="8" spans="2:6" x14ac:dyDescent="0.25">
      <c r="B8" t="s">
        <v>49</v>
      </c>
      <c r="C8">
        <v>3500000</v>
      </c>
      <c r="D8" s="4">
        <f>(C8*100)/C13/100</f>
        <v>0.10510510422133848</v>
      </c>
      <c r="E8">
        <f>(C8*100)/C13</f>
        <v>10.510510422133848</v>
      </c>
      <c r="F8" s="52"/>
    </row>
    <row r="9" spans="2:6" x14ac:dyDescent="0.25">
      <c r="B9" t="s">
        <v>53</v>
      </c>
      <c r="C9">
        <v>7928834</v>
      </c>
      <c r="D9" s="4">
        <f>(C9*100)/C13/100</f>
        <v>0.23810312112105486</v>
      </c>
      <c r="E9">
        <f>(C9*100)/C13</f>
        <v>23.810312112105485</v>
      </c>
      <c r="F9" s="52"/>
    </row>
    <row r="10" spans="2:6" x14ac:dyDescent="0.25">
      <c r="B10" t="s">
        <v>165</v>
      </c>
      <c r="C10">
        <v>10991162</v>
      </c>
      <c r="D10" s="4">
        <f>(C10*100)/C13/100</f>
        <v>0.33006492214960431</v>
      </c>
      <c r="E10">
        <f>(C10*100)/C13</f>
        <v>33.006492214960431</v>
      </c>
      <c r="F10" s="52"/>
    </row>
    <row r="11" spans="2:6" x14ac:dyDescent="0.25">
      <c r="B11" t="s">
        <v>74</v>
      </c>
      <c r="C11">
        <v>1574050</v>
      </c>
      <c r="D11" s="4">
        <f>(C11*100)/C13/100</f>
        <v>4.7268768371313656E-2</v>
      </c>
      <c r="E11">
        <f>(C11*100)/C13</f>
        <v>4.7268768371313659</v>
      </c>
      <c r="F11" s="52"/>
    </row>
    <row r="12" spans="2:6" x14ac:dyDescent="0.25">
      <c r="B12" t="s">
        <v>146</v>
      </c>
      <c r="C12">
        <v>222041.19999999995</v>
      </c>
      <c r="D12" s="4">
        <f>(C12*100)/C13/100</f>
        <v>6.6679038478374445E-3</v>
      </c>
      <c r="E12">
        <f>(C12*100)/C13</f>
        <v>0.66679038478374442</v>
      </c>
      <c r="F12" s="52"/>
    </row>
    <row r="13" spans="2:6" x14ac:dyDescent="0.25">
      <c r="B13" s="2" t="s">
        <v>380</v>
      </c>
      <c r="C13" s="2">
        <f>C4+C5+C6+C7+C8+C9+C11+C10+C12</f>
        <v>33300000.279999997</v>
      </c>
      <c r="D13" s="241">
        <f>SUM(D4:D12)</f>
        <v>1.0000000000000002</v>
      </c>
    </row>
    <row r="16" spans="2:6" x14ac:dyDescent="0.25">
      <c r="B16" s="1" t="s">
        <v>518</v>
      </c>
      <c r="C16" s="1" t="s">
        <v>391</v>
      </c>
      <c r="D16" s="1" t="s">
        <v>392</v>
      </c>
    </row>
    <row r="17" spans="2:7" x14ac:dyDescent="0.25">
      <c r="B17" t="s">
        <v>28</v>
      </c>
      <c r="C17" s="3">
        <f>'DETAILED BUDGET PLAN'!U80</f>
        <v>15619629.75</v>
      </c>
      <c r="D17" s="4">
        <f>(C17*100)/C24/100</f>
        <v>0.24675560317390885</v>
      </c>
      <c r="E17">
        <f>(C17*100)/C24</f>
        <v>24.675560317390886</v>
      </c>
    </row>
    <row r="18" spans="2:7" x14ac:dyDescent="0.25">
      <c r="B18" t="s">
        <v>139</v>
      </c>
      <c r="C18" s="3">
        <f>'DETAILED BUDGET PLAN'!U132</f>
        <v>28729732</v>
      </c>
      <c r="D18" s="4">
        <f>(C18*100)/C24/100</f>
        <v>0.4538662223209709</v>
      </c>
      <c r="E18">
        <f>(C18*100)/C24</f>
        <v>45.386622232097089</v>
      </c>
    </row>
    <row r="19" spans="2:7" x14ac:dyDescent="0.25">
      <c r="B19" t="s">
        <v>223</v>
      </c>
      <c r="C19" s="3">
        <f>'DETAILED BUDGET PLAN'!U161</f>
        <v>10954481.199999999</v>
      </c>
      <c r="D19" s="4">
        <f>(C19*100)/C24/100</f>
        <v>0.17305657427399937</v>
      </c>
      <c r="E19">
        <f>(C19*100)/C24</f>
        <v>17.305657427399936</v>
      </c>
    </row>
    <row r="20" spans="2:7" x14ac:dyDescent="0.25">
      <c r="B20" t="s">
        <v>252</v>
      </c>
      <c r="C20" s="3">
        <f>'DETAILED BUDGET PLAN'!U208</f>
        <v>4011049.33</v>
      </c>
      <c r="D20" s="4">
        <f>(C20*100)/C24/100</f>
        <v>6.3365707934559271E-2</v>
      </c>
      <c r="E20">
        <f>(C20*100)/C24</f>
        <v>6.3365707934559268</v>
      </c>
    </row>
    <row r="21" spans="2:7" x14ac:dyDescent="0.25">
      <c r="B21" s="2" t="s">
        <v>519</v>
      </c>
      <c r="C21" s="2">
        <f>C17+C18+C19+C20</f>
        <v>59314892.280000001</v>
      </c>
      <c r="D21" s="5"/>
    </row>
    <row r="22" spans="2:7" x14ac:dyDescent="0.25">
      <c r="B22" t="s">
        <v>658</v>
      </c>
      <c r="C22" s="3">
        <f>'DETAILED BUDGET PLAN'!U219</f>
        <v>1032001</v>
      </c>
      <c r="D22" s="4">
        <f>(C22*100)/C24/100</f>
        <v>1.6303333261217481E-2</v>
      </c>
    </row>
    <row r="23" spans="2:7" x14ac:dyDescent="0.25">
      <c r="B23" t="s">
        <v>309</v>
      </c>
      <c r="C23" s="3">
        <f>'DETAILED BUDGET PLAN'!U252+'DETAILED BUDGET PLAN'!U253</f>
        <v>2953107</v>
      </c>
      <c r="D23" s="4">
        <f>(C23*100)/C24/100</f>
        <v>4.6652559035344127E-2</v>
      </c>
      <c r="E23">
        <f>(C23*100)/C24</f>
        <v>4.6652559035344128</v>
      </c>
      <c r="G23" s="256"/>
    </row>
    <row r="24" spans="2:7" x14ac:dyDescent="0.25">
      <c r="B24" s="2" t="s">
        <v>380</v>
      </c>
      <c r="C24" s="2">
        <f>C23+C21+C22</f>
        <v>63300000.280000001</v>
      </c>
      <c r="D24" s="241">
        <f>D17+D18+D19+D20+D23+D22</f>
        <v>1</v>
      </c>
    </row>
    <row r="25" spans="2:7" x14ac:dyDescent="0.25">
      <c r="B25" s="6"/>
      <c r="C25" s="6"/>
      <c r="D25" s="6"/>
    </row>
    <row r="27" spans="2:7" x14ac:dyDescent="0.25">
      <c r="B27" s="1" t="s">
        <v>520</v>
      </c>
      <c r="C27" s="1" t="s">
        <v>391</v>
      </c>
      <c r="D27" s="1" t="s">
        <v>392</v>
      </c>
    </row>
    <row r="28" spans="2:7" x14ac:dyDescent="0.25">
      <c r="B28" t="s">
        <v>28</v>
      </c>
      <c r="C28" s="3">
        <f>'DETAILED BUDGET PLAN'!$U$80</f>
        <v>15619629.75</v>
      </c>
      <c r="D28" s="4">
        <f>(C28*100)/C35/100</f>
        <v>0.46905794932358452</v>
      </c>
      <c r="E28">
        <f>(C28*100)/C35</f>
        <v>46.905794932358454</v>
      </c>
    </row>
    <row r="29" spans="2:7" x14ac:dyDescent="0.25">
      <c r="B29" t="s">
        <v>139</v>
      </c>
      <c r="C29" s="3">
        <f>'DETAILED BUDGET PLAN'!$U$81+'DETAILED BUDGET PLAN'!$U$93+'DETAILED BUDGET PLAN'!$U$95+'DETAILED BUDGET PLAN'!$U$110+'DETAILED BUDGET PLAN'!$U$120</f>
        <v>7029732</v>
      </c>
      <c r="D29" s="4">
        <f>(C29*100)/C35/100</f>
        <v>0.21110306255590858</v>
      </c>
      <c r="E29">
        <f>(C29*100)/C35</f>
        <v>21.110306255590856</v>
      </c>
    </row>
    <row r="30" spans="2:7" x14ac:dyDescent="0.25">
      <c r="B30" t="s">
        <v>223</v>
      </c>
      <c r="C30" s="3">
        <f>'DETAILED BUDGET PLAN'!$U$139+'DETAILED BUDGET PLAN'!$U$138+'DETAILED BUDGET PLAN'!$U$153</f>
        <v>4354489</v>
      </c>
      <c r="D30" s="4">
        <f>(C30*100)/C35/100</f>
        <v>0.13076543512128425</v>
      </c>
      <c r="E30">
        <f>(C30*100)/C35</f>
        <v>13.076543512128424</v>
      </c>
    </row>
    <row r="31" spans="2:7" x14ac:dyDescent="0.25">
      <c r="B31" t="s">
        <v>252</v>
      </c>
      <c r="C31" s="3">
        <f>'DETAILED BUDGET PLAN'!$U$164+'DETAILED BUDGET PLAN'!$U$174+'DETAILED BUDGET PLAN'!$U$183+'DETAILED BUDGET PLAN'!$U$189+'DETAILED BUDGET PLAN'!$U$192+'DETAILED BUDGET PLAN'!$U$200</f>
        <v>3711049.33</v>
      </c>
      <c r="D31" s="4">
        <f>(C31*100)/C35/100</f>
        <v>0.11144292255509208</v>
      </c>
      <c r="E31">
        <f>(C31*100)/C35</f>
        <v>11.144292255509209</v>
      </c>
    </row>
    <row r="32" spans="2:7" x14ac:dyDescent="0.25">
      <c r="B32" s="2" t="s">
        <v>519</v>
      </c>
      <c r="C32" s="2">
        <f>C28+C29+C30+C31</f>
        <v>30714900.079999998</v>
      </c>
      <c r="D32" s="257"/>
    </row>
    <row r="33" spans="2:5" x14ac:dyDescent="0.25">
      <c r="B33" t="s">
        <v>658</v>
      </c>
      <c r="C33" s="3">
        <f>C22</f>
        <v>1032001</v>
      </c>
      <c r="D33" s="4">
        <f>(C33*100)/C35/100</f>
        <v>3.099102094656812E-2</v>
      </c>
    </row>
    <row r="34" spans="2:5" x14ac:dyDescent="0.25">
      <c r="B34" t="s">
        <v>309</v>
      </c>
      <c r="C34" s="3">
        <f>'DETAILED BUDGET PLAN'!$U$243</f>
        <v>1553099</v>
      </c>
      <c r="D34" s="4">
        <f>(C34*100)/C35/100</f>
        <v>4.6639609497562497E-2</v>
      </c>
      <c r="E34">
        <f>(C34*100)/C35</f>
        <v>4.66396094975625</v>
      </c>
    </row>
    <row r="35" spans="2:5" x14ac:dyDescent="0.25">
      <c r="B35" s="2" t="s">
        <v>380</v>
      </c>
      <c r="C35" s="2">
        <f>C34+C32+C33</f>
        <v>33300000.079999998</v>
      </c>
      <c r="D35" s="241">
        <f>D28+D29+D33+D30+D31+D34</f>
        <v>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N109"/>
  <sheetViews>
    <sheetView workbookViewId="0">
      <selection activeCell="G86" sqref="G86"/>
    </sheetView>
  </sheetViews>
  <sheetFormatPr defaultColWidth="9.140625" defaultRowHeight="15" x14ac:dyDescent="0.25"/>
  <cols>
    <col min="2" max="2" width="13.85546875" customWidth="1"/>
    <col min="3" max="5" width="10.5703125" customWidth="1"/>
    <col min="6" max="6" width="12.28515625" customWidth="1"/>
    <col min="7" max="7" width="15.7109375" customWidth="1"/>
    <col min="8" max="8" width="11.42578125" customWidth="1"/>
    <col min="9" max="9" width="10.5703125" customWidth="1"/>
    <col min="10" max="10" width="13.28515625" hidden="1" customWidth="1"/>
    <col min="11" max="11" width="16.5703125" hidden="1" customWidth="1"/>
    <col min="12" max="12" width="6.5703125" hidden="1" customWidth="1"/>
    <col min="13" max="13" width="6" hidden="1" customWidth="1"/>
    <col min="14" max="14" width="11.28515625" hidden="1" customWidth="1"/>
    <col min="15" max="16" width="9.140625" customWidth="1"/>
    <col min="17" max="17" width="4" customWidth="1"/>
    <col min="18" max="18" width="9.140625" customWidth="1"/>
  </cols>
  <sheetData>
    <row r="1" spans="2:14" ht="15.75" thickBot="1" x14ac:dyDescent="0.3"/>
    <row r="2" spans="2:14" x14ac:dyDescent="0.25">
      <c r="B2" s="36"/>
      <c r="C2" s="34"/>
      <c r="D2" s="34"/>
      <c r="E2" s="34"/>
      <c r="F2" s="35" t="s">
        <v>374</v>
      </c>
      <c r="G2" s="34"/>
      <c r="H2" s="34"/>
      <c r="I2" s="33"/>
    </row>
    <row r="3" spans="2:14" x14ac:dyDescent="0.25">
      <c r="B3" s="26"/>
      <c r="C3" s="28"/>
      <c r="D3" s="28"/>
      <c r="E3" s="28"/>
      <c r="F3" s="28"/>
      <c r="G3" s="28"/>
      <c r="H3" s="28"/>
      <c r="I3" s="27"/>
    </row>
    <row r="4" spans="2:14" x14ac:dyDescent="0.25">
      <c r="B4" s="32"/>
      <c r="C4" s="31"/>
      <c r="D4" s="8" t="s">
        <v>375</v>
      </c>
      <c r="E4" s="8" t="s">
        <v>376</v>
      </c>
      <c r="F4" s="8" t="s">
        <v>377</v>
      </c>
      <c r="G4" s="8" t="s">
        <v>378</v>
      </c>
      <c r="H4" s="8" t="s">
        <v>379</v>
      </c>
      <c r="I4" s="30" t="s">
        <v>380</v>
      </c>
    </row>
    <row r="5" spans="2:14" x14ac:dyDescent="0.25">
      <c r="B5" s="26"/>
      <c r="C5" s="29"/>
      <c r="D5" s="28"/>
      <c r="E5" s="28"/>
      <c r="F5" s="28"/>
      <c r="G5" s="28"/>
      <c r="H5" s="28"/>
      <c r="I5" s="27"/>
    </row>
    <row r="6" spans="2:14" x14ac:dyDescent="0.25">
      <c r="B6" s="26"/>
      <c r="C6" s="25" t="s">
        <v>28</v>
      </c>
      <c r="D6" s="24">
        <f>'DETAILED BUDGET PLAN'!L80</f>
        <v>3095766.75</v>
      </c>
      <c r="E6" s="24">
        <f>'DETAILED BUDGET PLAN'!N80</f>
        <v>5233366.75</v>
      </c>
      <c r="F6" s="24">
        <f>'DETAILED BUDGET PLAN'!P80</f>
        <v>4800298.75</v>
      </c>
      <c r="G6" s="24">
        <f>'DETAILED BUDGET PLAN'!R80</f>
        <v>1915766.75</v>
      </c>
      <c r="H6" s="24">
        <f>'DETAILED BUDGET PLAN'!T80</f>
        <v>574430.75</v>
      </c>
      <c r="I6" s="23">
        <f>'DETAILED BUDGET PLAN'!U80</f>
        <v>15619629.75</v>
      </c>
      <c r="J6" s="7">
        <f t="shared" ref="J6:J11" si="0">D6+E6+F6+G6+H6</f>
        <v>15619629.75</v>
      </c>
      <c r="K6" s="7">
        <f t="shared" ref="K6:K12" si="1">I6-J6</f>
        <v>0</v>
      </c>
      <c r="L6" s="52"/>
    </row>
    <row r="7" spans="2:14" x14ac:dyDescent="0.25">
      <c r="B7" s="26"/>
      <c r="C7" s="25" t="s">
        <v>139</v>
      </c>
      <c r="D7" s="24">
        <f>'DETAILED BUDGET PLAN'!$L$132</f>
        <v>5768495.2000000002</v>
      </c>
      <c r="E7" s="24">
        <f>'DETAILED BUDGET PLAN'!$N$132</f>
        <v>7091134.2000000002</v>
      </c>
      <c r="F7" s="24">
        <f>'DETAILED BUDGET PLAN'!$P$132</f>
        <v>6449534.2000000002</v>
      </c>
      <c r="G7" s="24">
        <f>'DETAILED BUDGET PLAN'!$R$132</f>
        <v>4893134.2</v>
      </c>
      <c r="H7" s="24">
        <f>'DETAILED BUDGET PLAN'!$T$132</f>
        <v>4527434.2</v>
      </c>
      <c r="I7" s="23">
        <f>'DETAILED BUDGET PLAN'!$U$132</f>
        <v>28729732</v>
      </c>
      <c r="J7" s="7">
        <f t="shared" si="0"/>
        <v>28729732</v>
      </c>
      <c r="K7" s="7">
        <f t="shared" si="1"/>
        <v>0</v>
      </c>
      <c r="L7" s="52"/>
    </row>
    <row r="8" spans="2:14" x14ac:dyDescent="0.25">
      <c r="B8" s="26"/>
      <c r="C8" s="25" t="s">
        <v>223</v>
      </c>
      <c r="D8" s="24">
        <f>'DETAILED BUDGET PLAN'!$L$161</f>
        <v>2994296.2399999998</v>
      </c>
      <c r="E8" s="24">
        <f>'DETAILED BUDGET PLAN'!$N$161</f>
        <v>3526796.2399999998</v>
      </c>
      <c r="F8" s="24">
        <f>'DETAILED BUDGET PLAN'!$P$161</f>
        <v>2819796.2399999998</v>
      </c>
      <c r="G8" s="24">
        <f>'DETAILED BUDGET PLAN'!$R$161</f>
        <v>811796.24</v>
      </c>
      <c r="H8" s="24">
        <f>'DETAILED BUDGET PLAN'!$T$161</f>
        <v>801796.24</v>
      </c>
      <c r="I8" s="23">
        <f>'DETAILED BUDGET PLAN'!$U$161</f>
        <v>10954481.199999999</v>
      </c>
      <c r="J8" s="7">
        <f t="shared" si="0"/>
        <v>10954481.199999999</v>
      </c>
      <c r="K8" s="7">
        <f t="shared" si="1"/>
        <v>0</v>
      </c>
      <c r="L8" s="52"/>
    </row>
    <row r="9" spans="2:14" x14ac:dyDescent="0.25">
      <c r="B9" s="26"/>
      <c r="C9" s="25" t="s">
        <v>252</v>
      </c>
      <c r="D9" s="24">
        <f>'DETAILED BUDGET PLAN'!$L$208</f>
        <v>887006.96</v>
      </c>
      <c r="E9" s="24">
        <f>'DETAILED BUDGET PLAN'!$N$208</f>
        <v>1102006.96</v>
      </c>
      <c r="F9" s="24">
        <f>'DETAILED BUDGET PLAN'!$P$208</f>
        <v>1046943.49</v>
      </c>
      <c r="G9" s="24">
        <f>'DETAILED BUDGET PLAN'!$R$208</f>
        <v>400083.46</v>
      </c>
      <c r="H9" s="24">
        <f>'DETAILED BUDGET PLAN'!$T$208</f>
        <v>575008.46</v>
      </c>
      <c r="I9" s="23">
        <f>'DETAILED BUDGET PLAN'!$U$208</f>
        <v>4011049.33</v>
      </c>
      <c r="J9" s="7">
        <f t="shared" si="0"/>
        <v>4011049.33</v>
      </c>
      <c r="K9" s="7">
        <f t="shared" si="1"/>
        <v>0</v>
      </c>
      <c r="L9" s="52"/>
    </row>
    <row r="10" spans="2:14" x14ac:dyDescent="0.25">
      <c r="B10" s="26"/>
      <c r="C10" s="25" t="s">
        <v>658</v>
      </c>
      <c r="D10" s="24">
        <f>'DETAILED BUDGET PLAN'!L219</f>
        <v>260267</v>
      </c>
      <c r="E10" s="24">
        <f>'DETAILED BUDGET PLAN'!N219</f>
        <v>159600</v>
      </c>
      <c r="F10" s="24">
        <f>'DETAILED BUDGET PLAN'!P219</f>
        <v>227267</v>
      </c>
      <c r="G10" s="24">
        <f>'DETAILED BUDGET PLAN'!R219</f>
        <v>159600</v>
      </c>
      <c r="H10" s="24">
        <f>'DETAILED BUDGET PLAN'!T219</f>
        <v>225267</v>
      </c>
      <c r="I10" s="23">
        <f>'DETAILED BUDGET PLAN'!U219</f>
        <v>1032001</v>
      </c>
      <c r="J10" s="7">
        <f t="shared" si="0"/>
        <v>1032001</v>
      </c>
      <c r="K10" s="7">
        <f t="shared" si="1"/>
        <v>0</v>
      </c>
      <c r="L10" s="52"/>
    </row>
    <row r="11" spans="2:14" x14ac:dyDescent="0.25">
      <c r="B11" s="26"/>
      <c r="C11" s="25" t="s">
        <v>309</v>
      </c>
      <c r="D11" s="24">
        <f>'DETAILED BUDGET PLAN'!$L$255</f>
        <v>642280.6</v>
      </c>
      <c r="E11" s="24">
        <f>'DETAILED BUDGET PLAN'!$N$255</f>
        <v>580409.59999999998</v>
      </c>
      <c r="F11" s="24">
        <f>'DETAILED BUDGET PLAN'!$P$255</f>
        <v>580409.59999999998</v>
      </c>
      <c r="G11" s="24">
        <f>'DETAILED BUDGET PLAN'!$R$255</f>
        <v>579409.6</v>
      </c>
      <c r="H11" s="24">
        <f>'DETAILED BUDGET PLAN'!$T$255</f>
        <v>570597.6</v>
      </c>
      <c r="I11" s="23">
        <f>'DETAILED BUDGET PLAN'!$U$255</f>
        <v>2953107</v>
      </c>
      <c r="J11" s="7">
        <f t="shared" si="0"/>
        <v>2953107</v>
      </c>
      <c r="K11" s="7">
        <f t="shared" si="1"/>
        <v>0</v>
      </c>
      <c r="L11" s="52"/>
    </row>
    <row r="12" spans="2:14" x14ac:dyDescent="0.25">
      <c r="B12" s="22"/>
      <c r="C12" s="21" t="s">
        <v>381</v>
      </c>
      <c r="D12" s="21">
        <f>SUM(D6:D11)</f>
        <v>13648112.749999998</v>
      </c>
      <c r="E12" s="21">
        <f>SUM(E6:E11)</f>
        <v>17693313.75</v>
      </c>
      <c r="F12" s="21">
        <f>SUM(F6:F11)</f>
        <v>15924249.279999999</v>
      </c>
      <c r="G12" s="21">
        <f>SUM(G6:G11)</f>
        <v>8759790.25</v>
      </c>
      <c r="H12" s="21">
        <f>SUM(H6:H11)</f>
        <v>7274534.25</v>
      </c>
      <c r="I12" s="20">
        <f>SUM(I6+I7+I8+I9+I11+I10)</f>
        <v>63300000.280000001</v>
      </c>
      <c r="J12" s="7">
        <f>J11+J9+J8+J7+J6+J10</f>
        <v>63300000.280000001</v>
      </c>
      <c r="K12" s="7">
        <f t="shared" si="1"/>
        <v>0</v>
      </c>
      <c r="N12" s="7"/>
    </row>
    <row r="13" spans="2:14" ht="15.75" thickBot="1" x14ac:dyDescent="0.3">
      <c r="B13" s="19"/>
      <c r="C13" s="18"/>
      <c r="D13" s="17">
        <f t="shared" ref="D13:I13" si="2">D12/$I12</f>
        <v>0.21560999509682779</v>
      </c>
      <c r="E13" s="17">
        <f t="shared" si="2"/>
        <v>0.27951522388208117</v>
      </c>
      <c r="F13" s="17">
        <f t="shared" si="2"/>
        <v>0.25156791800254313</v>
      </c>
      <c r="G13" s="17">
        <f t="shared" si="2"/>
        <v>0.13838531139418819</v>
      </c>
      <c r="H13" s="17">
        <f t="shared" si="2"/>
        <v>0.11492155162435964</v>
      </c>
      <c r="I13" s="16">
        <f t="shared" si="2"/>
        <v>1</v>
      </c>
      <c r="K13" s="7"/>
    </row>
    <row r="14" spans="2:14" ht="15.75" thickBot="1" x14ac:dyDescent="0.3">
      <c r="D14" s="4"/>
      <c r="E14" s="4"/>
      <c r="F14" s="4"/>
      <c r="G14" s="4"/>
      <c r="H14" s="4"/>
      <c r="I14" s="4"/>
      <c r="K14" s="7"/>
    </row>
    <row r="15" spans="2:14" x14ac:dyDescent="0.25">
      <c r="B15" s="36"/>
      <c r="C15" s="34"/>
      <c r="D15" s="34"/>
      <c r="E15" s="34"/>
      <c r="F15" s="35" t="s">
        <v>681</v>
      </c>
      <c r="G15" s="34"/>
      <c r="H15" s="34"/>
      <c r="I15" s="33"/>
      <c r="K15" s="7"/>
    </row>
    <row r="16" spans="2:14" x14ac:dyDescent="0.25">
      <c r="B16" s="26"/>
      <c r="C16" s="28"/>
      <c r="D16" s="28"/>
      <c r="E16" s="28"/>
      <c r="F16" s="28"/>
      <c r="G16" s="28"/>
      <c r="H16" s="28"/>
      <c r="I16" s="27"/>
      <c r="K16" s="7"/>
    </row>
    <row r="17" spans="2:11" x14ac:dyDescent="0.25">
      <c r="B17" s="32"/>
      <c r="C17" s="31"/>
      <c r="D17" s="8" t="s">
        <v>375</v>
      </c>
      <c r="E17" s="8" t="s">
        <v>376</v>
      </c>
      <c r="F17" s="8" t="s">
        <v>377</v>
      </c>
      <c r="G17" s="8" t="s">
        <v>378</v>
      </c>
      <c r="H17" s="8" t="s">
        <v>379</v>
      </c>
      <c r="I17" s="30" t="s">
        <v>380</v>
      </c>
      <c r="K17" s="7"/>
    </row>
    <row r="18" spans="2:11" x14ac:dyDescent="0.25">
      <c r="B18" s="26"/>
      <c r="C18" s="29"/>
      <c r="D18" s="28"/>
      <c r="E18" s="28"/>
      <c r="F18" s="28"/>
      <c r="G18" s="28"/>
      <c r="H18" s="28"/>
      <c r="I18" s="27"/>
      <c r="K18" s="7">
        <f t="shared" ref="K18:K31" si="3">I18-J18</f>
        <v>0</v>
      </c>
    </row>
    <row r="19" spans="2:11" x14ac:dyDescent="0.25">
      <c r="B19" s="565" t="s">
        <v>28</v>
      </c>
      <c r="C19" s="25" t="s">
        <v>31</v>
      </c>
      <c r="D19" s="24">
        <f>'DETAILED BUDGET PLAN'!L80</f>
        <v>3095766.75</v>
      </c>
      <c r="E19" s="24">
        <f>'DETAILED BUDGET PLAN'!N80</f>
        <v>5233366.75</v>
      </c>
      <c r="F19" s="24">
        <f>'DETAILED BUDGET PLAN'!P80</f>
        <v>4800298.75</v>
      </c>
      <c r="G19" s="24">
        <f>'DETAILED BUDGET PLAN'!R80</f>
        <v>1915766.75</v>
      </c>
      <c r="H19" s="24">
        <f>'DETAILED BUDGET PLAN'!T80</f>
        <v>574430.75</v>
      </c>
      <c r="I19" s="23">
        <f>'DETAILED BUDGET PLAN'!U80</f>
        <v>15619629.75</v>
      </c>
      <c r="J19" s="7">
        <f t="shared" ref="J19:J30" si="4">D19+E19+F19+G19+H19</f>
        <v>15619629.75</v>
      </c>
      <c r="K19" s="7">
        <f t="shared" si="3"/>
        <v>0</v>
      </c>
    </row>
    <row r="20" spans="2:11" x14ac:dyDescent="0.25">
      <c r="B20" s="565"/>
      <c r="C20" s="25" t="s">
        <v>94</v>
      </c>
      <c r="D20" s="24">
        <v>0</v>
      </c>
      <c r="E20" s="24">
        <v>0</v>
      </c>
      <c r="F20" s="24">
        <v>0</v>
      </c>
      <c r="G20" s="24">
        <v>0</v>
      </c>
      <c r="H20" s="24">
        <v>0</v>
      </c>
      <c r="I20" s="23">
        <v>0</v>
      </c>
      <c r="J20" s="7">
        <f t="shared" si="4"/>
        <v>0</v>
      </c>
      <c r="K20" s="7">
        <f t="shared" si="3"/>
        <v>0</v>
      </c>
    </row>
    <row r="21" spans="2:11" x14ac:dyDescent="0.25">
      <c r="B21" s="565" t="s">
        <v>139</v>
      </c>
      <c r="C21" s="25" t="s">
        <v>31</v>
      </c>
      <c r="D21" s="24">
        <f>D7-'DETAILED BUDGET PLAN'!$L$86-'DETAILED BUDGET PLAN'!$N$114-'DETAILED BUDGET PLAN'!$L$124+'DETAILED BUDGET PLAN'!$L$81</f>
        <v>1420495.2000000002</v>
      </c>
      <c r="E21" s="24">
        <f>E7-'DETAILED BUDGET PLAN'!$N$86-'DETAILED BUDGET PLAN'!$P$114-'DETAILED BUDGET PLAN'!$N$124+'DETAILED BUDGET PLAN'!$N$81</f>
        <v>2753134.2</v>
      </c>
      <c r="F21" s="24">
        <f>F7-'DETAILED BUDGET PLAN'!$P$86-'DETAILED BUDGET PLAN'!$R$114-'DETAILED BUDGET PLAN'!$P$124+'DETAILED BUDGET PLAN'!$P$81</f>
        <v>2111534.2000000002</v>
      </c>
      <c r="G21" s="24">
        <f>G7-'DETAILED BUDGET PLAN'!$R$86-'DETAILED BUDGET PLAN'!$T$114-'DETAILED BUDGET PLAN'!$R$124+'DETAILED BUDGET PLAN'!$R$81</f>
        <v>555134.20000000019</v>
      </c>
      <c r="H21" s="24">
        <f>H7-'DETAILED BUDGET PLAN'!$T$86-'DETAILED BUDGET PLAN'!$T$114-'DETAILED BUDGET PLAN'!$T$124+'DETAILED BUDGET PLAN'!$T$81</f>
        <v>189434.20000000019</v>
      </c>
      <c r="I21" s="23">
        <f>I7-'DETAILED BUDGET PLAN'!$U$86-'DETAILED BUDGET PLAN'!$U$114-'DETAILED BUDGET PLAN'!$U$124+'DETAILED BUDGET PLAN'!$U$81</f>
        <v>7029732</v>
      </c>
      <c r="J21" s="7">
        <f t="shared" si="4"/>
        <v>7029732.0000000009</v>
      </c>
      <c r="K21" s="7">
        <f t="shared" si="3"/>
        <v>0</v>
      </c>
    </row>
    <row r="22" spans="2:11" x14ac:dyDescent="0.25">
      <c r="B22" s="565"/>
      <c r="C22" s="25" t="s">
        <v>94</v>
      </c>
      <c r="D22" s="24">
        <f>'DETAILED BUDGET PLAN'!$L$86+'DETAILED BUDGET PLAN'!$L$114+'DETAILED BUDGET PLAN'!$L$124-'DETAILED BUDGET PLAN'!$L$81</f>
        <v>4348000</v>
      </c>
      <c r="E22" s="24">
        <f>'DETAILED BUDGET PLAN'!$N$86+'DETAILED BUDGET PLAN'!$N$114+'DETAILED BUDGET PLAN'!$N$124-'DETAILED BUDGET PLAN'!$N$81</f>
        <v>4338000</v>
      </c>
      <c r="F22" s="24">
        <f>'DETAILED BUDGET PLAN'!$P$86+'DETAILED BUDGET PLAN'!$P$114+'DETAILED BUDGET PLAN'!$P$124-'DETAILED BUDGET PLAN'!$P$81</f>
        <v>4338000</v>
      </c>
      <c r="G22" s="24">
        <f>'DETAILED BUDGET PLAN'!$R$86+'DETAILED BUDGET PLAN'!$R$114+'DETAILED BUDGET PLAN'!$R$124-'DETAILED BUDGET PLAN'!$R$81</f>
        <v>4338000</v>
      </c>
      <c r="H22" s="24">
        <f>'DETAILED BUDGET PLAN'!$T$86+'DETAILED BUDGET PLAN'!$T$114+'DETAILED BUDGET PLAN'!$T$124-'DETAILED BUDGET PLAN'!$T$81</f>
        <v>4338000</v>
      </c>
      <c r="I22" s="23">
        <f>'DETAILED BUDGET PLAN'!$U$86+'DETAILED BUDGET PLAN'!$U$114+'DETAILED BUDGET PLAN'!$U$124-'DETAILED BUDGET PLAN'!$U$81</f>
        <v>21700000</v>
      </c>
      <c r="J22" s="7">
        <f t="shared" si="4"/>
        <v>21700000</v>
      </c>
      <c r="K22" s="7">
        <f t="shared" si="3"/>
        <v>0</v>
      </c>
    </row>
    <row r="23" spans="2:11" x14ac:dyDescent="0.25">
      <c r="B23" s="565" t="s">
        <v>223</v>
      </c>
      <c r="C23" s="25" t="s">
        <v>31</v>
      </c>
      <c r="D23" s="24">
        <f>D8-'DETAILED BUDGET PLAN'!$L$143+'DETAILED BUDGET PLAN'!$L$139</f>
        <v>1634297.7999999998</v>
      </c>
      <c r="E23" s="24">
        <f>E8-'DETAILED BUDGET PLAN'!$N$143+'DETAILED BUDGET PLAN'!$N$139</f>
        <v>1666797.7999999998</v>
      </c>
      <c r="F23" s="24">
        <f>F8-'DETAILED BUDGET PLAN'!$P$143+'DETAILED BUDGET PLAN'!$P$139</f>
        <v>959797.79999999981</v>
      </c>
      <c r="G23" s="24">
        <f>G8-'DETAILED BUDGET PLAN'!$R$143+'DETAILED BUDGET PLAN'!$R$139</f>
        <v>51797.800000000047</v>
      </c>
      <c r="H23" s="24">
        <f>H8-'DETAILED BUDGET PLAN'!$T$143+'DETAILED BUDGET PLAN'!$T$139</f>
        <v>41797.800000000047</v>
      </c>
      <c r="I23" s="23">
        <f>I8-'DETAILED BUDGET PLAN'!$U$143+'DETAILED BUDGET PLAN'!$U$139</f>
        <v>4354488.9999999991</v>
      </c>
      <c r="J23" s="7">
        <f t="shared" si="4"/>
        <v>4354488.9999999991</v>
      </c>
      <c r="K23" s="7">
        <f t="shared" si="3"/>
        <v>0</v>
      </c>
    </row>
    <row r="24" spans="2:11" x14ac:dyDescent="0.25">
      <c r="B24" s="565"/>
      <c r="C24" s="25" t="s">
        <v>94</v>
      </c>
      <c r="D24" s="24">
        <f>'DETAILED BUDGET PLAN'!$L$143-'DETAILED BUDGET PLAN'!$L$139</f>
        <v>1359998.44</v>
      </c>
      <c r="E24" s="24">
        <f>'DETAILED BUDGET PLAN'!$N$143-'DETAILED BUDGET PLAN'!$N$139</f>
        <v>1859998.44</v>
      </c>
      <c r="F24" s="24">
        <f>'DETAILED BUDGET PLAN'!$P$143-'DETAILED BUDGET PLAN'!$P$139</f>
        <v>1859998.44</v>
      </c>
      <c r="G24" s="24">
        <f>'DETAILED BUDGET PLAN'!$R$143-'DETAILED BUDGET PLAN'!$R$139</f>
        <v>759998.44</v>
      </c>
      <c r="H24" s="24">
        <f>'DETAILED BUDGET PLAN'!$T$143-'DETAILED BUDGET PLAN'!$T$139</f>
        <v>759998.44</v>
      </c>
      <c r="I24" s="23">
        <f>'DETAILED BUDGET PLAN'!$U$143-'DETAILED BUDGET PLAN'!$U$139</f>
        <v>6599992.2000000002</v>
      </c>
      <c r="J24" s="7">
        <f t="shared" si="4"/>
        <v>6599992.1999999993</v>
      </c>
      <c r="K24" s="7">
        <f t="shared" si="3"/>
        <v>0</v>
      </c>
    </row>
    <row r="25" spans="2:11" x14ac:dyDescent="0.25">
      <c r="B25" s="565" t="s">
        <v>252</v>
      </c>
      <c r="C25" s="25" t="s">
        <v>31</v>
      </c>
      <c r="D25" s="24">
        <f>D9-'DETAILED BUDGET PLAN'!$L$196</f>
        <v>830506.96</v>
      </c>
      <c r="E25" s="24">
        <f>E9-'DETAILED BUDGET PLAN'!$N$196</f>
        <v>1025506.96</v>
      </c>
      <c r="F25" s="24">
        <f>F9-'DETAILED BUDGET PLAN'!$P$196</f>
        <v>990443.49</v>
      </c>
      <c r="G25" s="24">
        <f>G9-'DETAILED BUDGET PLAN'!$R$196</f>
        <v>343583.46</v>
      </c>
      <c r="H25" s="24">
        <f>H9-H26</f>
        <v>521008.45999999996</v>
      </c>
      <c r="I25" s="23">
        <f>I9-'DETAILED BUDGET PLAN'!$U$196</f>
        <v>3711049.33</v>
      </c>
      <c r="J25" s="7">
        <f t="shared" si="4"/>
        <v>3711049.33</v>
      </c>
      <c r="K25" s="7">
        <f t="shared" si="3"/>
        <v>0</v>
      </c>
    </row>
    <row r="26" spans="2:11" x14ac:dyDescent="0.25">
      <c r="B26" s="565"/>
      <c r="C26" s="25" t="s">
        <v>94</v>
      </c>
      <c r="D26" s="24">
        <f>'DETAILED BUDGET PLAN'!$L$196</f>
        <v>56500</v>
      </c>
      <c r="E26" s="24">
        <f>'DETAILED BUDGET PLAN'!$N$196</f>
        <v>76500</v>
      </c>
      <c r="F26" s="24">
        <f>'DETAILED BUDGET PLAN'!$P$196</f>
        <v>56500</v>
      </c>
      <c r="G26" s="24">
        <f>'DETAILED BUDGET PLAN'!$R$196</f>
        <v>56500</v>
      </c>
      <c r="H26" s="24">
        <f>'DETAILED BUDGET PLAN'!$T$196</f>
        <v>54000</v>
      </c>
      <c r="I26" s="23">
        <f>'DETAILED BUDGET PLAN'!$U$196</f>
        <v>300000</v>
      </c>
      <c r="J26" s="7">
        <f t="shared" si="4"/>
        <v>300000</v>
      </c>
      <c r="K26" s="7">
        <f t="shared" si="3"/>
        <v>0</v>
      </c>
    </row>
    <row r="27" spans="2:11" x14ac:dyDescent="0.25">
      <c r="B27" s="565" t="s">
        <v>658</v>
      </c>
      <c r="C27" s="25" t="s">
        <v>31</v>
      </c>
      <c r="D27" s="24">
        <f>'DETAILED BUDGET PLAN'!$L$219</f>
        <v>260267</v>
      </c>
      <c r="E27" s="24">
        <f>'DETAILED BUDGET PLAN'!$N$219</f>
        <v>159600</v>
      </c>
      <c r="F27" s="24">
        <f>'DETAILED BUDGET PLAN'!$P$219</f>
        <v>227267</v>
      </c>
      <c r="G27" s="24">
        <f>'DETAILED BUDGET PLAN'!$R$219</f>
        <v>159600</v>
      </c>
      <c r="H27" s="24">
        <f>'DETAILED BUDGET PLAN'!$T$219</f>
        <v>225267</v>
      </c>
      <c r="I27" s="23">
        <f>'DETAILED BUDGET PLAN'!$U$219</f>
        <v>1032001</v>
      </c>
      <c r="J27" s="7">
        <f t="shared" si="4"/>
        <v>1032001</v>
      </c>
      <c r="K27" s="7">
        <f t="shared" si="3"/>
        <v>0</v>
      </c>
    </row>
    <row r="28" spans="2:11" x14ac:dyDescent="0.25">
      <c r="B28" s="565"/>
      <c r="C28" s="25" t="s">
        <v>94</v>
      </c>
      <c r="D28" s="24">
        <v>0</v>
      </c>
      <c r="E28" s="24">
        <v>0</v>
      </c>
      <c r="F28" s="24">
        <v>0</v>
      </c>
      <c r="G28" s="24">
        <v>0</v>
      </c>
      <c r="H28" s="24">
        <v>0</v>
      </c>
      <c r="I28" s="23">
        <v>0</v>
      </c>
      <c r="J28" s="7">
        <f t="shared" si="4"/>
        <v>0</v>
      </c>
      <c r="K28" s="7">
        <f t="shared" si="3"/>
        <v>0</v>
      </c>
    </row>
    <row r="29" spans="2:11" x14ac:dyDescent="0.25">
      <c r="B29" s="573" t="s">
        <v>309</v>
      </c>
      <c r="C29" s="25" t="s">
        <v>31</v>
      </c>
      <c r="D29" s="24">
        <f>'DETAILED BUDGET PLAN'!$L$243</f>
        <v>362279</v>
      </c>
      <c r="E29" s="24">
        <f>'DETAILED BUDGET PLAN'!$N$243</f>
        <v>300408</v>
      </c>
      <c r="F29" s="24">
        <f>'DETAILED BUDGET PLAN'!$P$243</f>
        <v>300408</v>
      </c>
      <c r="G29" s="24">
        <f>'DETAILED BUDGET PLAN'!$R$243</f>
        <v>299408</v>
      </c>
      <c r="H29" s="24">
        <f>'DETAILED BUDGET PLAN'!$T$243</f>
        <v>290596</v>
      </c>
      <c r="I29" s="23">
        <f>'DETAILED BUDGET PLAN'!$U$243</f>
        <v>1553099</v>
      </c>
      <c r="J29" s="7">
        <f t="shared" si="4"/>
        <v>1553099</v>
      </c>
      <c r="K29" s="7">
        <f t="shared" si="3"/>
        <v>0</v>
      </c>
    </row>
    <row r="30" spans="2:11" x14ac:dyDescent="0.25">
      <c r="B30" s="573"/>
      <c r="C30" s="25" t="s">
        <v>94</v>
      </c>
      <c r="D30" s="24">
        <f>'DETAILED BUDGET PLAN'!$L$251</f>
        <v>280001.59999999998</v>
      </c>
      <c r="E30" s="24">
        <f>'DETAILED BUDGET PLAN'!$N$251</f>
        <v>280001.59999999998</v>
      </c>
      <c r="F30" s="24">
        <f>'DETAILED BUDGET PLAN'!$P$251</f>
        <v>280001.59999999998</v>
      </c>
      <c r="G30" s="24">
        <f>'DETAILED BUDGET PLAN'!$R$251</f>
        <v>280001.59999999998</v>
      </c>
      <c r="H30" s="24">
        <f>'DETAILED BUDGET PLAN'!$T$251</f>
        <v>280001.59999999998</v>
      </c>
      <c r="I30" s="23">
        <f>'DETAILED BUDGET PLAN'!$U$251</f>
        <v>1400008</v>
      </c>
      <c r="J30" s="7">
        <f t="shared" si="4"/>
        <v>1400008</v>
      </c>
      <c r="K30" s="7">
        <f t="shared" si="3"/>
        <v>0</v>
      </c>
    </row>
    <row r="31" spans="2:11" x14ac:dyDescent="0.25">
      <c r="B31" s="22"/>
      <c r="C31" s="21" t="s">
        <v>381</v>
      </c>
      <c r="D31" s="21">
        <f t="shared" ref="D31:J31" si="5">SUM(D19:D30)</f>
        <v>13648112.749999998</v>
      </c>
      <c r="E31" s="21">
        <f t="shared" si="5"/>
        <v>17693313.75</v>
      </c>
      <c r="F31" s="21">
        <f t="shared" si="5"/>
        <v>15924249.279999999</v>
      </c>
      <c r="G31" s="21">
        <f t="shared" si="5"/>
        <v>8759790.2499999981</v>
      </c>
      <c r="H31" s="21">
        <f t="shared" si="5"/>
        <v>7274534.2499999991</v>
      </c>
      <c r="I31" s="20">
        <f t="shared" si="5"/>
        <v>63300000.280000001</v>
      </c>
      <c r="J31" s="7">
        <f t="shared" si="5"/>
        <v>63300000.280000001</v>
      </c>
      <c r="K31" s="7">
        <f t="shared" si="3"/>
        <v>0</v>
      </c>
    </row>
    <row r="32" spans="2:11" ht="15.75" thickBot="1" x14ac:dyDescent="0.3">
      <c r="B32" s="19"/>
      <c r="C32" s="18"/>
      <c r="D32" s="17">
        <f t="shared" ref="D32:I32" si="6">D31/$I31</f>
        <v>0.21560999509682779</v>
      </c>
      <c r="E32" s="17">
        <f t="shared" si="6"/>
        <v>0.27951522388208117</v>
      </c>
      <c r="F32" s="17">
        <f t="shared" si="6"/>
        <v>0.25156791800254313</v>
      </c>
      <c r="G32" s="17">
        <f t="shared" si="6"/>
        <v>0.13838531139418817</v>
      </c>
      <c r="H32" s="17">
        <f t="shared" si="6"/>
        <v>0.11492155162435963</v>
      </c>
      <c r="I32" s="16">
        <f t="shared" si="6"/>
        <v>1</v>
      </c>
      <c r="K32" s="7"/>
    </row>
    <row r="33" spans="2:13" ht="15.75" thickBot="1" x14ac:dyDescent="0.3">
      <c r="K33" s="7"/>
    </row>
    <row r="34" spans="2:13" x14ac:dyDescent="0.25">
      <c r="B34" s="36"/>
      <c r="C34" s="34"/>
      <c r="D34" s="34"/>
      <c r="E34" s="34"/>
      <c r="F34" s="35" t="s">
        <v>382</v>
      </c>
      <c r="G34" s="34"/>
      <c r="H34" s="34"/>
      <c r="I34" s="33"/>
      <c r="K34" s="7"/>
    </row>
    <row r="35" spans="2:13" x14ac:dyDescent="0.25">
      <c r="B35" s="26"/>
      <c r="C35" s="28"/>
      <c r="D35" s="28"/>
      <c r="E35" s="28"/>
      <c r="F35" s="28"/>
      <c r="G35" s="28"/>
      <c r="H35" s="28"/>
      <c r="I35" s="27"/>
      <c r="K35" s="7"/>
    </row>
    <row r="36" spans="2:13" x14ac:dyDescent="0.25">
      <c r="B36" s="32"/>
      <c r="C36" s="31"/>
      <c r="D36" s="8" t="s">
        <v>375</v>
      </c>
      <c r="E36" s="8" t="s">
        <v>376</v>
      </c>
      <c r="F36" s="8" t="s">
        <v>377</v>
      </c>
      <c r="G36" s="8" t="s">
        <v>378</v>
      </c>
      <c r="H36" s="8" t="s">
        <v>379</v>
      </c>
      <c r="I36" s="30" t="s">
        <v>380</v>
      </c>
      <c r="K36" s="7"/>
    </row>
    <row r="37" spans="2:13" x14ac:dyDescent="0.25">
      <c r="B37" s="26"/>
      <c r="C37" s="29"/>
      <c r="D37" s="28"/>
      <c r="E37" s="28"/>
      <c r="F37" s="28"/>
      <c r="G37" s="28"/>
      <c r="H37" s="28"/>
      <c r="I37" s="27"/>
      <c r="K37" s="7">
        <f t="shared" ref="K37:K60" si="7">I37-J37</f>
        <v>0</v>
      </c>
    </row>
    <row r="38" spans="2:13" x14ac:dyDescent="0.25">
      <c r="B38" s="565" t="s">
        <v>383</v>
      </c>
      <c r="C38" s="25" t="s">
        <v>31</v>
      </c>
      <c r="D38" s="24">
        <f>'DETAILED BUDGET PLAN'!L43</f>
        <v>2206300.75</v>
      </c>
      <c r="E38" s="24">
        <f>'DETAILED BUDGET PLAN'!N43</f>
        <v>4086700.75</v>
      </c>
      <c r="F38" s="24">
        <f>'DETAILED BUDGET PLAN'!P43</f>
        <v>3550864.75</v>
      </c>
      <c r="G38" s="24">
        <f>'DETAILED BUDGET PLAN'!R43</f>
        <v>1114100.75</v>
      </c>
      <c r="H38" s="24">
        <f>'DETAILED BUDGET PLAN'!T43</f>
        <v>354564.75</v>
      </c>
      <c r="I38" s="23">
        <f>'DETAILED BUDGET PLAN'!U43</f>
        <v>11312531.75</v>
      </c>
      <c r="J38" s="7">
        <f t="shared" ref="J38:J59" si="8">D38+E38+F38+G38+H38</f>
        <v>11312531.75</v>
      </c>
      <c r="K38" s="7">
        <f t="shared" si="7"/>
        <v>0</v>
      </c>
      <c r="L38">
        <v>11.31</v>
      </c>
    </row>
    <row r="39" spans="2:13" x14ac:dyDescent="0.25">
      <c r="B39" s="565"/>
      <c r="C39" s="25" t="s">
        <v>94</v>
      </c>
      <c r="D39" s="24">
        <f>'DETAILED BUDGET PLAN'!L45</f>
        <v>0</v>
      </c>
      <c r="E39" s="24">
        <f>'DETAILED BUDGET PLAN'!N45</f>
        <v>0</v>
      </c>
      <c r="F39" s="24">
        <f>'DETAILED BUDGET PLAN'!P45</f>
        <v>0</v>
      </c>
      <c r="G39" s="24">
        <f>'DETAILED BUDGET PLAN'!R45</f>
        <v>0</v>
      </c>
      <c r="H39" s="24">
        <f>'DETAILED BUDGET PLAN'!T45</f>
        <v>0</v>
      </c>
      <c r="I39" s="23">
        <f>'DETAILED BUDGET PLAN'!U45</f>
        <v>0</v>
      </c>
      <c r="J39" s="7">
        <f t="shared" si="8"/>
        <v>0</v>
      </c>
      <c r="K39" s="7">
        <f t="shared" si="7"/>
        <v>0</v>
      </c>
    </row>
    <row r="40" spans="2:13" ht="22.5" customHeight="1" x14ac:dyDescent="0.25">
      <c r="B40" s="565" t="s">
        <v>384</v>
      </c>
      <c r="C40" s="25" t="s">
        <v>31</v>
      </c>
      <c r="D40" s="24">
        <f>'DETAILED BUDGET PLAN'!L73</f>
        <v>889466</v>
      </c>
      <c r="E40" s="24">
        <f>'DETAILED BUDGET PLAN'!N73</f>
        <v>1146666</v>
      </c>
      <c r="F40" s="24">
        <f>'DETAILED BUDGET PLAN'!P73</f>
        <v>1249434</v>
      </c>
      <c r="G40" s="24">
        <f>'DETAILED BUDGET PLAN'!R73</f>
        <v>801666</v>
      </c>
      <c r="H40" s="24">
        <f>'DETAILED BUDGET PLAN'!T73</f>
        <v>219866</v>
      </c>
      <c r="I40" s="23">
        <f>'DETAILED BUDGET PLAN'!U73</f>
        <v>4307098</v>
      </c>
      <c r="J40" s="7">
        <f t="shared" si="8"/>
        <v>4307098</v>
      </c>
      <c r="K40" s="7">
        <f t="shared" si="7"/>
        <v>0</v>
      </c>
      <c r="L40">
        <v>4.3</v>
      </c>
      <c r="M40">
        <f>L38+L40</f>
        <v>15.61</v>
      </c>
    </row>
    <row r="41" spans="2:13" ht="15.75" customHeight="1" x14ac:dyDescent="0.25">
      <c r="B41" s="565"/>
      <c r="C41" s="25" t="s">
        <v>94</v>
      </c>
      <c r="D41" s="24">
        <f>'DETAILED BUDGET PLAN'!L75</f>
        <v>0</v>
      </c>
      <c r="E41" s="24">
        <f>'DETAILED BUDGET PLAN'!N75</f>
        <v>0</v>
      </c>
      <c r="F41" s="24">
        <f>'DETAILED BUDGET PLAN'!P75</f>
        <v>0</v>
      </c>
      <c r="G41" s="24">
        <f>'DETAILED BUDGET PLAN'!R75</f>
        <v>0</v>
      </c>
      <c r="H41" s="24">
        <f>'DETAILED BUDGET PLAN'!T75</f>
        <v>0</v>
      </c>
      <c r="I41" s="23">
        <f>'DETAILED BUDGET PLAN'!U75</f>
        <v>0</v>
      </c>
      <c r="J41" s="7">
        <f t="shared" si="8"/>
        <v>0</v>
      </c>
      <c r="K41" s="7">
        <f t="shared" si="7"/>
        <v>0</v>
      </c>
    </row>
    <row r="42" spans="2:13" ht="15.75" customHeight="1" x14ac:dyDescent="0.25">
      <c r="B42" s="565" t="s">
        <v>385</v>
      </c>
      <c r="C42" s="25" t="s">
        <v>31</v>
      </c>
      <c r="D42" s="24">
        <f>'DETAILED BUDGET PLAN'!$L$81+'DETAILED BUDGET PLAN'!$L$93+'DETAILED BUDGET PLAN'!$L$95</f>
        <v>1235061</v>
      </c>
      <c r="E42" s="24">
        <f>'DETAILED BUDGET PLAN'!N96</f>
        <v>2143900</v>
      </c>
      <c r="F42" s="24">
        <f>'DETAILED BUDGET PLAN'!P96</f>
        <v>1586900</v>
      </c>
      <c r="G42" s="24">
        <f>'DETAILED BUDGET PLAN'!R96</f>
        <v>138400</v>
      </c>
      <c r="H42" s="24">
        <f>'DETAILED BUDGET PLAN'!T96</f>
        <v>92900</v>
      </c>
      <c r="I42" s="23">
        <f>'DETAILED BUDGET PLAN'!$U$95+'DETAILED BUDGET PLAN'!$U$93+'DETAILED BUDGET PLAN'!$U$81</f>
        <v>5197161</v>
      </c>
      <c r="J42" s="7">
        <f t="shared" si="8"/>
        <v>5197161</v>
      </c>
      <c r="K42" s="7">
        <f t="shared" si="7"/>
        <v>0</v>
      </c>
      <c r="L42">
        <v>5.2</v>
      </c>
    </row>
    <row r="43" spans="2:13" ht="15.75" customHeight="1" x14ac:dyDescent="0.25">
      <c r="B43" s="565"/>
      <c r="C43" s="25" t="s">
        <v>94</v>
      </c>
      <c r="D43" s="24">
        <f>'DETAILED BUDGET PLAN'!L97</f>
        <v>4100000</v>
      </c>
      <c r="E43" s="24">
        <f>'DETAILED BUDGET PLAN'!$N$86-'DETAILED BUDGET PLAN'!$N$81</f>
        <v>4100000</v>
      </c>
      <c r="F43" s="24">
        <f>'DETAILED BUDGET PLAN'!$P$86-'DETAILED BUDGET PLAN'!$P$81</f>
        <v>4100000</v>
      </c>
      <c r="G43" s="24">
        <f>'DETAILED BUDGET PLAN'!$L$86-'DETAILED BUDGET PLAN'!$L$81</f>
        <v>4100000</v>
      </c>
      <c r="H43" s="24">
        <f>'DETAILED BUDGET PLAN'!$L$86-'DETAILED BUDGET PLAN'!$L$81</f>
        <v>4100000</v>
      </c>
      <c r="I43" s="201">
        <f>'DETAILED BUDGET PLAN'!$U$86-'DETAILED BUDGET PLAN'!$U$81</f>
        <v>20500000</v>
      </c>
      <c r="J43" s="7">
        <f t="shared" si="8"/>
        <v>20500000</v>
      </c>
      <c r="K43" s="7">
        <f t="shared" si="7"/>
        <v>0</v>
      </c>
      <c r="L43">
        <v>20.5</v>
      </c>
    </row>
    <row r="44" spans="2:13" ht="15.75" customHeight="1" x14ac:dyDescent="0.25">
      <c r="B44" s="565" t="s">
        <v>386</v>
      </c>
      <c r="C44" s="25" t="s">
        <v>31</v>
      </c>
      <c r="D44" s="24">
        <f>'DETAILED BUDGET PLAN'!L125</f>
        <v>185434.2</v>
      </c>
      <c r="E44" s="24">
        <f>'DETAILED BUDGET PLAN'!N125</f>
        <v>609234.19999999995</v>
      </c>
      <c r="F44" s="24">
        <f>'DETAILED BUDGET PLAN'!P125</f>
        <v>524634.19999999995</v>
      </c>
      <c r="G44" s="24">
        <f>'DETAILED BUDGET PLAN'!R125</f>
        <v>416734.2</v>
      </c>
      <c r="H44" s="24">
        <f>'DETAILED BUDGET PLAN'!T125</f>
        <v>96534.2</v>
      </c>
      <c r="I44" s="201">
        <f>'DETAILED BUDGET PLAN'!U125</f>
        <v>1832571</v>
      </c>
      <c r="J44" s="7">
        <f t="shared" si="8"/>
        <v>1832570.9999999998</v>
      </c>
      <c r="K44" s="7">
        <f t="shared" si="7"/>
        <v>0</v>
      </c>
      <c r="L44">
        <v>1.83</v>
      </c>
      <c r="M44">
        <f>L42+L44</f>
        <v>7.03</v>
      </c>
    </row>
    <row r="45" spans="2:13" x14ac:dyDescent="0.25">
      <c r="B45" s="565"/>
      <c r="C45" s="25" t="s">
        <v>94</v>
      </c>
      <c r="D45" s="24">
        <f>'DETAILED BUDGET PLAN'!L126+'DETAILED BUDGET PLAN'!L127</f>
        <v>248000</v>
      </c>
      <c r="E45" s="24">
        <f>'DETAILED BUDGET PLAN'!N126+'DETAILED BUDGET PLAN'!N127</f>
        <v>238000</v>
      </c>
      <c r="F45" s="24">
        <f>'DETAILED BUDGET PLAN'!P126+'DETAILED BUDGET PLAN'!P127</f>
        <v>238000</v>
      </c>
      <c r="G45" s="24">
        <f>'DETAILED BUDGET PLAN'!R126+'DETAILED BUDGET PLAN'!R127</f>
        <v>238000</v>
      </c>
      <c r="H45" s="24">
        <f>'DETAILED BUDGET PLAN'!T126+'DETAILED BUDGET PLAN'!T127</f>
        <v>238000</v>
      </c>
      <c r="I45" s="201">
        <f>'DETAILED BUDGET PLAN'!U126+'DETAILED BUDGET PLAN'!U127</f>
        <v>1200000</v>
      </c>
      <c r="J45" s="7">
        <f t="shared" si="8"/>
        <v>1200000</v>
      </c>
      <c r="K45" s="7">
        <f t="shared" si="7"/>
        <v>0</v>
      </c>
      <c r="L45">
        <v>1.2</v>
      </c>
    </row>
    <row r="46" spans="2:13" ht="15.75" customHeight="1" x14ac:dyDescent="0.25">
      <c r="B46" s="565" t="s">
        <v>387</v>
      </c>
      <c r="C46" s="25" t="s">
        <v>31</v>
      </c>
      <c r="D46" s="24">
        <f>'DETAILED BUDGET PLAN'!L144</f>
        <v>1365000</v>
      </c>
      <c r="E46" s="24">
        <f>'DETAILED BUDGET PLAN'!N144</f>
        <v>1595000</v>
      </c>
      <c r="F46" s="24">
        <f>'DETAILED BUDGET PLAN'!P144</f>
        <v>888000</v>
      </c>
      <c r="G46" s="24">
        <f>'DETAILED BUDGET PLAN'!R144</f>
        <v>0</v>
      </c>
      <c r="H46" s="24">
        <f>'DETAILED BUDGET PLAN'!T144</f>
        <v>0</v>
      </c>
      <c r="I46" s="201">
        <f>'DETAILED BUDGET PLAN'!U144</f>
        <v>3848000</v>
      </c>
      <c r="J46" s="7">
        <f t="shared" si="8"/>
        <v>3848000</v>
      </c>
      <c r="K46" s="7">
        <f t="shared" si="7"/>
        <v>0</v>
      </c>
      <c r="L46">
        <v>3.85</v>
      </c>
    </row>
    <row r="47" spans="2:13" x14ac:dyDescent="0.25">
      <c r="B47" s="565"/>
      <c r="C47" s="25" t="s">
        <v>94</v>
      </c>
      <c r="D47" s="24">
        <f>'DETAILED BUDGET PLAN'!L145</f>
        <v>1359998.44</v>
      </c>
      <c r="E47" s="24">
        <f>'DETAILED BUDGET PLAN'!N145</f>
        <v>1859998.44</v>
      </c>
      <c r="F47" s="24">
        <f>'DETAILED BUDGET PLAN'!P145</f>
        <v>1859998.44</v>
      </c>
      <c r="G47" s="24">
        <f>'DETAILED BUDGET PLAN'!R145</f>
        <v>759998.44</v>
      </c>
      <c r="H47" s="24">
        <f>'DETAILED BUDGET PLAN'!T145</f>
        <v>759998.44</v>
      </c>
      <c r="I47" s="201">
        <f>'DETAILED BUDGET PLAN'!U145</f>
        <v>6599992.2000000002</v>
      </c>
      <c r="J47" s="7">
        <f t="shared" si="8"/>
        <v>6599992.1999999993</v>
      </c>
      <c r="K47" s="7">
        <f t="shared" si="7"/>
        <v>0</v>
      </c>
      <c r="L47">
        <v>6.6</v>
      </c>
    </row>
    <row r="48" spans="2:13" ht="15.75" customHeight="1" x14ac:dyDescent="0.25">
      <c r="B48" s="565" t="s">
        <v>388</v>
      </c>
      <c r="C48" s="25" t="s">
        <v>31</v>
      </c>
      <c r="D48" s="24">
        <f>'DETAILED BUDGET PLAN'!L154</f>
        <v>269297.8</v>
      </c>
      <c r="E48" s="24">
        <f>'DETAILED BUDGET PLAN'!N154</f>
        <v>71797.8</v>
      </c>
      <c r="F48" s="24">
        <f>'DETAILED BUDGET PLAN'!P154</f>
        <v>71797.8</v>
      </c>
      <c r="G48" s="24">
        <f>'DETAILED BUDGET PLAN'!R154</f>
        <v>51797.8</v>
      </c>
      <c r="H48" s="24">
        <f>'DETAILED BUDGET PLAN'!T154</f>
        <v>41797.800000000003</v>
      </c>
      <c r="I48" s="201">
        <f>'DETAILED BUDGET PLAN'!U154</f>
        <v>506489</v>
      </c>
      <c r="J48" s="7">
        <f t="shared" si="8"/>
        <v>506488.99999999994</v>
      </c>
      <c r="K48" s="7">
        <f t="shared" si="7"/>
        <v>0</v>
      </c>
      <c r="L48">
        <v>0.51</v>
      </c>
      <c r="M48">
        <f>L46+L48</f>
        <v>4.3600000000000003</v>
      </c>
    </row>
    <row r="49" spans="2:13" x14ac:dyDescent="0.25">
      <c r="B49" s="565"/>
      <c r="C49" s="25" t="s">
        <v>94</v>
      </c>
      <c r="D49" s="24">
        <f>'DETAILED BUDGET PLAN'!L156</f>
        <v>0</v>
      </c>
      <c r="E49" s="24">
        <f>'DETAILED BUDGET PLAN'!N156</f>
        <v>0</v>
      </c>
      <c r="F49" s="24">
        <f>'DETAILED BUDGET PLAN'!P156</f>
        <v>0</v>
      </c>
      <c r="G49" s="24">
        <f>'DETAILED BUDGET PLAN'!R156</f>
        <v>0</v>
      </c>
      <c r="H49" s="24">
        <f>'DETAILED BUDGET PLAN'!T156</f>
        <v>0</v>
      </c>
      <c r="I49" s="201">
        <f>'DETAILED BUDGET PLAN'!U156</f>
        <v>0</v>
      </c>
      <c r="J49" s="7">
        <f t="shared" si="8"/>
        <v>0</v>
      </c>
      <c r="K49" s="7">
        <f t="shared" si="7"/>
        <v>0</v>
      </c>
    </row>
    <row r="50" spans="2:13" x14ac:dyDescent="0.25">
      <c r="B50" s="565" t="s">
        <v>389</v>
      </c>
      <c r="C50" s="25" t="s">
        <v>31</v>
      </c>
      <c r="D50" s="24">
        <f>'DETAILED BUDGET PLAN'!$L$168</f>
        <v>280050</v>
      </c>
      <c r="E50" s="24">
        <f>'DETAILED BUDGET PLAN'!$N$168</f>
        <v>0</v>
      </c>
      <c r="F50" s="24">
        <f>'DETAILED BUDGET PLAN'!$P$168</f>
        <v>0</v>
      </c>
      <c r="G50" s="24">
        <f>'DETAILED BUDGET PLAN'!$R$168</f>
        <v>0</v>
      </c>
      <c r="H50" s="24">
        <f>'DETAILED BUDGET PLAN'!$T$168</f>
        <v>0</v>
      </c>
      <c r="I50" s="201">
        <f>'DETAILED BUDGET PLAN'!$U$168</f>
        <v>280050</v>
      </c>
      <c r="J50" s="7">
        <f t="shared" si="8"/>
        <v>280050</v>
      </c>
      <c r="K50" s="7">
        <f t="shared" si="7"/>
        <v>0</v>
      </c>
      <c r="L50">
        <v>0.28000000000000003</v>
      </c>
    </row>
    <row r="51" spans="2:13" x14ac:dyDescent="0.25">
      <c r="B51" s="565"/>
      <c r="C51" s="25" t="s">
        <v>94</v>
      </c>
      <c r="D51" s="24">
        <v>0</v>
      </c>
      <c r="E51" s="24">
        <v>0</v>
      </c>
      <c r="F51" s="24">
        <v>0</v>
      </c>
      <c r="G51" s="24">
        <v>0</v>
      </c>
      <c r="H51" s="24">
        <v>0</v>
      </c>
      <c r="I51" s="201">
        <v>0</v>
      </c>
      <c r="J51" s="7">
        <f t="shared" si="8"/>
        <v>0</v>
      </c>
      <c r="K51" s="7">
        <f t="shared" si="7"/>
        <v>0</v>
      </c>
    </row>
    <row r="52" spans="2:13" x14ac:dyDescent="0.25">
      <c r="B52" s="565" t="s">
        <v>276</v>
      </c>
      <c r="C52" s="25" t="s">
        <v>31</v>
      </c>
      <c r="D52" s="24">
        <f>'DETAILED BUDGET PLAN'!$L$184</f>
        <v>353606.96</v>
      </c>
      <c r="E52" s="24">
        <f>'DETAILED BUDGET PLAN'!$N$184</f>
        <v>623806.96</v>
      </c>
      <c r="F52" s="24">
        <f>'DETAILED BUDGET PLAN'!$P$184</f>
        <v>619818.49</v>
      </c>
      <c r="G52" s="24">
        <f>'DETAILED BUDGET PLAN'!$R$184</f>
        <v>133883.46000000002</v>
      </c>
      <c r="H52" s="24">
        <f>'DETAILED BUDGET PLAN'!$T$184</f>
        <v>108883.46</v>
      </c>
      <c r="I52" s="201">
        <f>'DETAILED BUDGET PLAN'!$U$184</f>
        <v>1839999.33</v>
      </c>
      <c r="J52" s="7">
        <f t="shared" si="8"/>
        <v>1839999.3299999998</v>
      </c>
      <c r="K52" s="7">
        <f t="shared" si="7"/>
        <v>0</v>
      </c>
      <c r="L52">
        <v>1.84</v>
      </c>
    </row>
    <row r="53" spans="2:13" x14ac:dyDescent="0.25">
      <c r="B53" s="565"/>
      <c r="C53" s="25" t="s">
        <v>94</v>
      </c>
      <c r="D53" s="24">
        <f>'DETAILED BUDGET PLAN'!$L$186</f>
        <v>0</v>
      </c>
      <c r="E53" s="24">
        <f>'DETAILED BUDGET PLAN'!$N$186</f>
        <v>0</v>
      </c>
      <c r="F53" s="24">
        <f>'DETAILED BUDGET PLAN'!$P$186</f>
        <v>0</v>
      </c>
      <c r="G53" s="24">
        <f>'DETAILED BUDGET PLAN'!$R$186</f>
        <v>0</v>
      </c>
      <c r="H53" s="24">
        <f>'DETAILED BUDGET PLAN'!$T$186</f>
        <v>0</v>
      </c>
      <c r="I53" s="201">
        <f>'DETAILED BUDGET PLAN'!$U$186</f>
        <v>0</v>
      </c>
      <c r="J53" s="7">
        <f t="shared" si="8"/>
        <v>0</v>
      </c>
      <c r="K53" s="7">
        <f t="shared" si="7"/>
        <v>0</v>
      </c>
    </row>
    <row r="54" spans="2:13" x14ac:dyDescent="0.25">
      <c r="B54" s="565" t="s">
        <v>284</v>
      </c>
      <c r="C54" s="25" t="s">
        <v>31</v>
      </c>
      <c r="D54" s="24">
        <f>'DETAILED BUDGET PLAN'!L201</f>
        <v>196850</v>
      </c>
      <c r="E54" s="24">
        <f>'DETAILED BUDGET PLAN'!N201</f>
        <v>401700</v>
      </c>
      <c r="F54" s="24">
        <f>'DETAILED BUDGET PLAN'!P201</f>
        <v>370625</v>
      </c>
      <c r="G54" s="24">
        <f>'DETAILED BUDGET PLAN'!R201</f>
        <v>209700</v>
      </c>
      <c r="H54" s="24">
        <f>'DETAILED BUDGET PLAN'!T201</f>
        <v>412125</v>
      </c>
      <c r="I54" s="201">
        <f>'DETAILED BUDGET PLAN'!U201</f>
        <v>1591000</v>
      </c>
      <c r="J54" s="7">
        <f t="shared" si="8"/>
        <v>1591000</v>
      </c>
      <c r="K54" s="7">
        <f t="shared" si="7"/>
        <v>0</v>
      </c>
      <c r="L54">
        <v>1.6</v>
      </c>
    </row>
    <row r="55" spans="2:13" x14ac:dyDescent="0.25">
      <c r="B55" s="565"/>
      <c r="C55" s="25" t="s">
        <v>94</v>
      </c>
      <c r="D55" s="24">
        <f>'DETAILED BUDGET PLAN'!$L$203</f>
        <v>56500</v>
      </c>
      <c r="E55" s="24">
        <f>'DETAILED BUDGET PLAN'!$N$203</f>
        <v>76500</v>
      </c>
      <c r="F55" s="24">
        <f>'DETAILED BUDGET PLAN'!$P$203</f>
        <v>56500</v>
      </c>
      <c r="G55" s="24">
        <f>'DETAILED BUDGET PLAN'!$R$203</f>
        <v>56500</v>
      </c>
      <c r="H55" s="24">
        <f>'DETAILED BUDGET PLAN'!$T$203</f>
        <v>54000</v>
      </c>
      <c r="I55" s="201">
        <f>'DETAILED BUDGET PLAN'!$U$203</f>
        <v>300000</v>
      </c>
      <c r="J55" s="7">
        <f t="shared" si="8"/>
        <v>300000</v>
      </c>
      <c r="K55" s="7">
        <f t="shared" si="7"/>
        <v>0</v>
      </c>
      <c r="L55" s="255">
        <v>0.3</v>
      </c>
      <c r="M55">
        <f>L50+L52+L54</f>
        <v>3.72</v>
      </c>
    </row>
    <row r="56" spans="2:13" x14ac:dyDescent="0.25">
      <c r="B56" s="565" t="s">
        <v>658</v>
      </c>
      <c r="C56" s="25" t="s">
        <v>31</v>
      </c>
      <c r="D56" s="24">
        <f>'DETAILED BUDGET PLAN'!$L$219</f>
        <v>260267</v>
      </c>
      <c r="E56" s="24">
        <f>'DETAILED BUDGET PLAN'!$N$219</f>
        <v>159600</v>
      </c>
      <c r="F56" s="24">
        <f>'DETAILED BUDGET PLAN'!$P$219</f>
        <v>227267</v>
      </c>
      <c r="G56" s="24">
        <f>'DETAILED BUDGET PLAN'!$R$219</f>
        <v>159600</v>
      </c>
      <c r="H56" s="24">
        <f>'DETAILED BUDGET PLAN'!$T$219</f>
        <v>225267</v>
      </c>
      <c r="I56" s="23">
        <f>'DETAILED BUDGET PLAN'!$U$219</f>
        <v>1032001</v>
      </c>
      <c r="J56" s="7">
        <f t="shared" si="8"/>
        <v>1032001</v>
      </c>
      <c r="K56" s="7">
        <f t="shared" si="7"/>
        <v>0</v>
      </c>
      <c r="L56" s="254">
        <v>1.03</v>
      </c>
    </row>
    <row r="57" spans="2:13" x14ac:dyDescent="0.25">
      <c r="B57" s="565"/>
      <c r="C57" s="25" t="s">
        <v>94</v>
      </c>
      <c r="D57" s="24">
        <v>0</v>
      </c>
      <c r="E57" s="24">
        <v>0</v>
      </c>
      <c r="F57" s="24">
        <v>0</v>
      </c>
      <c r="G57" s="24">
        <v>0</v>
      </c>
      <c r="H57" s="24">
        <v>0</v>
      </c>
      <c r="I57" s="23">
        <v>0</v>
      </c>
      <c r="J57" s="7">
        <f t="shared" si="8"/>
        <v>0</v>
      </c>
      <c r="K57" s="7">
        <f t="shared" si="7"/>
        <v>0</v>
      </c>
      <c r="L57">
        <v>0</v>
      </c>
      <c r="M57" s="254">
        <f>L56</f>
        <v>1.03</v>
      </c>
    </row>
    <row r="58" spans="2:13" x14ac:dyDescent="0.25">
      <c r="B58" s="573" t="s">
        <v>309</v>
      </c>
      <c r="C58" s="25" t="s">
        <v>31</v>
      </c>
      <c r="D58" s="24">
        <f>'DETAILED BUDGET PLAN'!$L$243</f>
        <v>362279</v>
      </c>
      <c r="E58" s="24">
        <f>'DETAILED BUDGET PLAN'!$N$243</f>
        <v>300408</v>
      </c>
      <c r="F58" s="24">
        <f>'DETAILED BUDGET PLAN'!$P$243</f>
        <v>300408</v>
      </c>
      <c r="G58" s="24">
        <f>'DETAILED BUDGET PLAN'!$R$243</f>
        <v>299408</v>
      </c>
      <c r="H58" s="24">
        <f>'DETAILED BUDGET PLAN'!$T$243</f>
        <v>290596</v>
      </c>
      <c r="I58" s="201">
        <f>'DETAILED BUDGET PLAN'!$U$243</f>
        <v>1553099</v>
      </c>
      <c r="J58" s="7">
        <f t="shared" si="8"/>
        <v>1553099</v>
      </c>
      <c r="K58" s="7">
        <f t="shared" si="7"/>
        <v>0</v>
      </c>
      <c r="L58">
        <v>1.55</v>
      </c>
    </row>
    <row r="59" spans="2:13" x14ac:dyDescent="0.25">
      <c r="B59" s="573"/>
      <c r="C59" s="25" t="s">
        <v>94</v>
      </c>
      <c r="D59" s="24">
        <f>'DETAILED BUDGET PLAN'!$L$251</f>
        <v>280001.59999999998</v>
      </c>
      <c r="E59" s="24">
        <f>'DETAILED BUDGET PLAN'!$N$251</f>
        <v>280001.59999999998</v>
      </c>
      <c r="F59" s="24">
        <f>'DETAILED BUDGET PLAN'!$P$251</f>
        <v>280001.59999999998</v>
      </c>
      <c r="G59" s="24">
        <f>'DETAILED BUDGET PLAN'!$R$251</f>
        <v>280001.59999999998</v>
      </c>
      <c r="H59" s="24">
        <f>'DETAILED BUDGET PLAN'!$T$251</f>
        <v>280001.59999999998</v>
      </c>
      <c r="I59" s="201">
        <f>'DETAILED BUDGET PLAN'!$U$251</f>
        <v>1400008</v>
      </c>
      <c r="J59" s="7">
        <f t="shared" si="8"/>
        <v>1400008</v>
      </c>
      <c r="K59" s="7">
        <f t="shared" si="7"/>
        <v>0</v>
      </c>
      <c r="L59">
        <v>1.4</v>
      </c>
    </row>
    <row r="60" spans="2:13" x14ac:dyDescent="0.25">
      <c r="B60" s="22"/>
      <c r="C60" s="21" t="s">
        <v>381</v>
      </c>
      <c r="D60" s="21">
        <f t="shared" ref="D60:J60" si="9">SUM(D38:D59)</f>
        <v>13648112.75</v>
      </c>
      <c r="E60" s="21">
        <f t="shared" si="9"/>
        <v>17693313.75</v>
      </c>
      <c r="F60" s="21">
        <f t="shared" si="9"/>
        <v>15924249.279999999</v>
      </c>
      <c r="G60" s="21">
        <f t="shared" si="9"/>
        <v>8759790.25</v>
      </c>
      <c r="H60" s="21">
        <f t="shared" si="9"/>
        <v>7274534.25</v>
      </c>
      <c r="I60" s="20">
        <f>SUM(I38:I59)</f>
        <v>63300000.280000001</v>
      </c>
      <c r="J60" s="7">
        <f t="shared" si="9"/>
        <v>63300000.280000001</v>
      </c>
      <c r="K60" s="7">
        <f t="shared" si="7"/>
        <v>0</v>
      </c>
      <c r="L60" s="53">
        <f>SUM(L38:L59)</f>
        <v>63.300000000000004</v>
      </c>
    </row>
    <row r="61" spans="2:13" ht="15.75" thickBot="1" x14ac:dyDescent="0.3">
      <c r="B61" s="19"/>
      <c r="C61" s="18"/>
      <c r="D61" s="17">
        <f t="shared" ref="D61:I61" si="10">D60/$I60</f>
        <v>0.21560999509682782</v>
      </c>
      <c r="E61" s="17">
        <f t="shared" si="10"/>
        <v>0.27951522388208117</v>
      </c>
      <c r="F61" s="17">
        <f t="shared" si="10"/>
        <v>0.25156791800254313</v>
      </c>
      <c r="G61" s="17">
        <f t="shared" si="10"/>
        <v>0.13838531139418819</v>
      </c>
      <c r="H61" s="17">
        <f t="shared" si="10"/>
        <v>0.11492155162435964</v>
      </c>
      <c r="I61" s="16">
        <f t="shared" si="10"/>
        <v>1</v>
      </c>
      <c r="L61">
        <f>L59+L55+L53+L51+L49+L47+L45+L43+L41+L39</f>
        <v>30</v>
      </c>
    </row>
    <row r="62" spans="2:13" x14ac:dyDescent="0.25">
      <c r="L62" s="254">
        <f>L58+L54+L52+L50+L48+L46+L44+L42+L40+L38+L56</f>
        <v>33.300000000000004</v>
      </c>
      <c r="M62" s="254">
        <f>M55+M48+M44+M40+L58+M57</f>
        <v>33.299999999999997</v>
      </c>
    </row>
    <row r="63" spans="2:13" x14ac:dyDescent="0.25">
      <c r="D63" s="7"/>
      <c r="E63" s="7"/>
      <c r="F63" s="7"/>
      <c r="G63" s="7"/>
      <c r="H63" s="7"/>
      <c r="I63" s="7"/>
    </row>
    <row r="64" spans="2:13" ht="15.75" thickBot="1" x14ac:dyDescent="0.3"/>
    <row r="65" spans="2:12" ht="24.75" thickBot="1" x14ac:dyDescent="0.3">
      <c r="B65" s="574" t="s">
        <v>9</v>
      </c>
      <c r="C65" s="577" t="s">
        <v>10</v>
      </c>
      <c r="D65" s="183" t="s">
        <v>611</v>
      </c>
      <c r="E65" s="566" t="s">
        <v>613</v>
      </c>
      <c r="F65" s="580"/>
      <c r="G65" s="566" t="s">
        <v>614</v>
      </c>
      <c r="H65" s="567"/>
      <c r="I65" s="568"/>
      <c r="J65" s="153"/>
      <c r="K65" s="264"/>
      <c r="L65" s="12"/>
    </row>
    <row r="66" spans="2:12" ht="22.5" x14ac:dyDescent="0.25">
      <c r="B66" s="575"/>
      <c r="C66" s="578"/>
      <c r="D66" s="184" t="s">
        <v>612</v>
      </c>
      <c r="E66" s="186" t="s">
        <v>615</v>
      </c>
      <c r="F66" s="569" t="s">
        <v>616</v>
      </c>
      <c r="G66" s="186" t="s">
        <v>615</v>
      </c>
      <c r="H66" s="569" t="s">
        <v>616</v>
      </c>
      <c r="I66" s="571" t="s">
        <v>617</v>
      </c>
      <c r="J66" s="154"/>
    </row>
    <row r="67" spans="2:12" ht="23.25" thickBot="1" x14ac:dyDescent="0.3">
      <c r="B67" s="576"/>
      <c r="C67" s="579"/>
      <c r="D67" s="185"/>
      <c r="E67" s="187" t="s">
        <v>612</v>
      </c>
      <c r="F67" s="570"/>
      <c r="G67" s="187" t="s">
        <v>612</v>
      </c>
      <c r="H67" s="570"/>
      <c r="I67" s="572"/>
      <c r="J67" s="155"/>
    </row>
    <row r="68" spans="2:12" ht="15.75" thickBot="1" x14ac:dyDescent="0.3">
      <c r="B68" s="555" t="s">
        <v>618</v>
      </c>
      <c r="C68" s="188" t="s">
        <v>492</v>
      </c>
      <c r="D68" s="189">
        <f t="shared" ref="D68:D78" si="11">E68+G68</f>
        <v>11312531.75</v>
      </c>
      <c r="E68" s="189">
        <f>I38</f>
        <v>11312531.75</v>
      </c>
      <c r="F68" s="190" t="s">
        <v>619</v>
      </c>
      <c r="G68" s="191">
        <v>0</v>
      </c>
      <c r="H68" s="190" t="s">
        <v>620</v>
      </c>
      <c r="I68" s="192" t="s">
        <v>620</v>
      </c>
      <c r="J68" s="12"/>
    </row>
    <row r="69" spans="2:12" ht="15.75" thickBot="1" x14ac:dyDescent="0.3">
      <c r="B69" s="556"/>
      <c r="C69" s="188" t="s">
        <v>384</v>
      </c>
      <c r="D69" s="189">
        <f t="shared" si="11"/>
        <v>4307098</v>
      </c>
      <c r="E69" s="189">
        <f>I40</f>
        <v>4307098</v>
      </c>
      <c r="F69" s="190" t="s">
        <v>619</v>
      </c>
      <c r="G69" s="191">
        <v>0</v>
      </c>
      <c r="H69" s="190" t="s">
        <v>620</v>
      </c>
      <c r="I69" s="192" t="s">
        <v>620</v>
      </c>
      <c r="J69" s="12"/>
    </row>
    <row r="70" spans="2:12" ht="15.75" thickBot="1" x14ac:dyDescent="0.3">
      <c r="B70" s="555" t="s">
        <v>621</v>
      </c>
      <c r="C70" s="188" t="s">
        <v>516</v>
      </c>
      <c r="D70" s="189">
        <f t="shared" si="11"/>
        <v>25697161</v>
      </c>
      <c r="E70" s="189">
        <f>I42</f>
        <v>5197161</v>
      </c>
      <c r="F70" s="190" t="s">
        <v>619</v>
      </c>
      <c r="G70" s="189">
        <v>20500000</v>
      </c>
      <c r="H70" s="190" t="s">
        <v>622</v>
      </c>
      <c r="I70" s="192" t="s">
        <v>623</v>
      </c>
      <c r="J70" s="153"/>
    </row>
    <row r="71" spans="2:12" ht="15.75" thickBot="1" x14ac:dyDescent="0.3">
      <c r="B71" s="556"/>
      <c r="C71" s="188" t="s">
        <v>386</v>
      </c>
      <c r="D71" s="189">
        <f t="shared" si="11"/>
        <v>3032571</v>
      </c>
      <c r="E71" s="189">
        <f>I44</f>
        <v>1832571</v>
      </c>
      <c r="F71" s="190" t="s">
        <v>619</v>
      </c>
      <c r="G71" s="189">
        <v>1200000</v>
      </c>
      <c r="H71" s="190" t="s">
        <v>622</v>
      </c>
      <c r="I71" s="192" t="s">
        <v>624</v>
      </c>
      <c r="J71" s="153"/>
    </row>
    <row r="72" spans="2:12" ht="15.75" thickBot="1" x14ac:dyDescent="0.3">
      <c r="B72" s="555" t="s">
        <v>625</v>
      </c>
      <c r="C72" s="188" t="s">
        <v>387</v>
      </c>
      <c r="D72" s="189">
        <f t="shared" si="11"/>
        <v>10447992</v>
      </c>
      <c r="E72" s="189">
        <f>I46</f>
        <v>3848000</v>
      </c>
      <c r="F72" s="190" t="s">
        <v>619</v>
      </c>
      <c r="G72" s="189">
        <v>6599992</v>
      </c>
      <c r="H72" s="190" t="s">
        <v>622</v>
      </c>
      <c r="I72" s="192" t="s">
        <v>626</v>
      </c>
      <c r="J72" s="153"/>
    </row>
    <row r="73" spans="2:12" ht="15.75" thickBot="1" x14ac:dyDescent="0.3">
      <c r="B73" s="556"/>
      <c r="C73" s="188" t="s">
        <v>388</v>
      </c>
      <c r="D73" s="189">
        <f t="shared" si="11"/>
        <v>506489</v>
      </c>
      <c r="E73" s="189">
        <f>I48</f>
        <v>506489</v>
      </c>
      <c r="F73" s="190" t="s">
        <v>619</v>
      </c>
      <c r="G73" s="191">
        <v>0</v>
      </c>
      <c r="H73" s="190" t="s">
        <v>620</v>
      </c>
      <c r="I73" s="192" t="s">
        <v>627</v>
      </c>
      <c r="J73" s="156"/>
    </row>
    <row r="74" spans="2:12" ht="15.75" thickBot="1" x14ac:dyDescent="0.3">
      <c r="B74" s="555" t="s">
        <v>628</v>
      </c>
      <c r="C74" s="188" t="s">
        <v>389</v>
      </c>
      <c r="D74" s="189">
        <f t="shared" si="11"/>
        <v>280050</v>
      </c>
      <c r="E74" s="189">
        <f>I50</f>
        <v>280050</v>
      </c>
      <c r="F74" s="190" t="s">
        <v>619</v>
      </c>
      <c r="G74" s="191">
        <v>0</v>
      </c>
      <c r="H74" s="190" t="s">
        <v>620</v>
      </c>
      <c r="I74" s="192" t="s">
        <v>627</v>
      </c>
      <c r="J74" s="12"/>
    </row>
    <row r="75" spans="2:12" ht="15.75" thickBot="1" x14ac:dyDescent="0.3">
      <c r="B75" s="557"/>
      <c r="C75" s="188" t="s">
        <v>276</v>
      </c>
      <c r="D75" s="189">
        <f t="shared" si="11"/>
        <v>1839999.33</v>
      </c>
      <c r="E75" s="189">
        <f>I52</f>
        <v>1839999.33</v>
      </c>
      <c r="F75" s="190" t="s">
        <v>619</v>
      </c>
      <c r="G75" s="191">
        <v>0</v>
      </c>
      <c r="H75" s="190" t="s">
        <v>620</v>
      </c>
      <c r="I75" s="192" t="s">
        <v>627</v>
      </c>
      <c r="J75" s="12"/>
    </row>
    <row r="76" spans="2:12" ht="15.75" thickBot="1" x14ac:dyDescent="0.3">
      <c r="B76" s="556"/>
      <c r="C76" s="188" t="s">
        <v>284</v>
      </c>
      <c r="D76" s="189">
        <f t="shared" si="11"/>
        <v>1891000</v>
      </c>
      <c r="E76" s="189">
        <f>I54</f>
        <v>1591000</v>
      </c>
      <c r="F76" s="190" t="s">
        <v>619</v>
      </c>
      <c r="G76" s="189">
        <v>300000</v>
      </c>
      <c r="H76" s="190" t="s">
        <v>622</v>
      </c>
      <c r="I76" s="192" t="s">
        <v>629</v>
      </c>
      <c r="J76" s="12"/>
    </row>
    <row r="77" spans="2:12" ht="15.75" thickBot="1" x14ac:dyDescent="0.3">
      <c r="B77" s="560" t="s">
        <v>658</v>
      </c>
      <c r="C77" s="561"/>
      <c r="D77" s="189">
        <f t="shared" si="11"/>
        <v>1032001</v>
      </c>
      <c r="E77" s="189">
        <f>I56</f>
        <v>1032001</v>
      </c>
      <c r="F77" s="190" t="s">
        <v>619</v>
      </c>
      <c r="G77" s="189">
        <v>0</v>
      </c>
      <c r="H77" s="190" t="s">
        <v>620</v>
      </c>
      <c r="I77" s="192"/>
      <c r="J77" s="12"/>
    </row>
    <row r="78" spans="2:12" ht="15.75" thickBot="1" x14ac:dyDescent="0.3">
      <c r="B78" s="558" t="s">
        <v>630</v>
      </c>
      <c r="C78" s="559"/>
      <c r="D78" s="189">
        <f t="shared" si="11"/>
        <v>2953107</v>
      </c>
      <c r="E78" s="189">
        <f>I58</f>
        <v>1553099</v>
      </c>
      <c r="F78" s="191" t="s">
        <v>619</v>
      </c>
      <c r="G78" s="193">
        <v>1400008</v>
      </c>
      <c r="H78" s="190" t="s">
        <v>631</v>
      </c>
      <c r="I78" s="192" t="s">
        <v>623</v>
      </c>
      <c r="J78" s="12"/>
      <c r="K78" s="157"/>
      <c r="L78" s="157"/>
    </row>
    <row r="79" spans="2:12" ht="15.75" thickBot="1" x14ac:dyDescent="0.3">
      <c r="B79" s="562" t="s">
        <v>632</v>
      </c>
      <c r="C79" s="563"/>
      <c r="D79" s="194">
        <f>D68+D69+D70+D71+D72+D73+D74+D75+D76+D78+D77</f>
        <v>63300000.079999998</v>
      </c>
      <c r="E79" s="552">
        <f>E68+E69+E70+E71+E72+E73+E74+E75+E76+E78+E77</f>
        <v>33300000.079999998</v>
      </c>
      <c r="F79" s="564"/>
      <c r="G79" s="552">
        <f>G70+G71+G72+G76+G78</f>
        <v>30000000</v>
      </c>
      <c r="H79" s="553"/>
      <c r="I79" s="554"/>
      <c r="J79" s="12"/>
      <c r="K79" s="264"/>
      <c r="L79" s="12"/>
    </row>
    <row r="80" spans="2:12" x14ac:dyDescent="0.25">
      <c r="I80" s="264"/>
      <c r="J80" s="12"/>
      <c r="K80" s="264"/>
      <c r="L80" s="12"/>
    </row>
    <row r="81" spans="2:12" x14ac:dyDescent="0.25">
      <c r="I81" s="264"/>
      <c r="J81" s="12"/>
      <c r="K81" s="264"/>
      <c r="L81" s="12"/>
    </row>
    <row r="82" spans="2:12" ht="15.75" thickBot="1" x14ac:dyDescent="0.3"/>
    <row r="83" spans="2:12" ht="15.75" thickBot="1" x14ac:dyDescent="0.3">
      <c r="B83" s="204"/>
      <c r="C83" s="205" t="s">
        <v>31</v>
      </c>
      <c r="D83" s="205" t="s">
        <v>623</v>
      </c>
      <c r="E83" s="205" t="s">
        <v>642</v>
      </c>
      <c r="F83" s="205" t="s">
        <v>380</v>
      </c>
    </row>
    <row r="84" spans="2:12" ht="15.75" thickBot="1" x14ac:dyDescent="0.3">
      <c r="B84" s="206" t="s">
        <v>492</v>
      </c>
      <c r="C84" s="207">
        <f>I38</f>
        <v>11312531.75</v>
      </c>
      <c r="D84" s="208">
        <v>0</v>
      </c>
      <c r="E84" s="208">
        <v>0</v>
      </c>
      <c r="F84" s="207">
        <f>C84+D84+E84</f>
        <v>11312531.75</v>
      </c>
    </row>
    <row r="85" spans="2:12" ht="15.75" thickBot="1" x14ac:dyDescent="0.3">
      <c r="B85" s="206" t="s">
        <v>384</v>
      </c>
      <c r="C85" s="207">
        <f>I40</f>
        <v>4307098</v>
      </c>
      <c r="D85" s="208">
        <v>0</v>
      </c>
      <c r="E85" s="208">
        <v>0</v>
      </c>
      <c r="F85" s="207">
        <f>C85+D85+E85</f>
        <v>4307098</v>
      </c>
    </row>
    <row r="86" spans="2:12" ht="26.25" thickBot="1" x14ac:dyDescent="0.3">
      <c r="B86" s="209" t="s">
        <v>138</v>
      </c>
      <c r="C86" s="210">
        <f>C84+C85</f>
        <v>15619629.75</v>
      </c>
      <c r="D86" s="211">
        <v>0</v>
      </c>
      <c r="E86" s="211">
        <v>0</v>
      </c>
      <c r="F86" s="210">
        <f>F84+F85</f>
        <v>15619629.75</v>
      </c>
      <c r="G86" s="214">
        <f>C86+D86+E86-F86</f>
        <v>0</v>
      </c>
    </row>
    <row r="87" spans="2:12" ht="15.75" thickBot="1" x14ac:dyDescent="0.3">
      <c r="B87" s="206" t="s">
        <v>516</v>
      </c>
      <c r="C87" s="207">
        <f>I42</f>
        <v>5197161</v>
      </c>
      <c r="D87" s="207">
        <f>I43</f>
        <v>20500000</v>
      </c>
      <c r="E87" s="208">
        <v>0</v>
      </c>
      <c r="F87" s="207">
        <f>C87+D87+E87</f>
        <v>25697161</v>
      </c>
    </row>
    <row r="88" spans="2:12" ht="15.75" thickBot="1" x14ac:dyDescent="0.3">
      <c r="B88" s="206" t="s">
        <v>386</v>
      </c>
      <c r="C88" s="207">
        <f>I44</f>
        <v>1832571</v>
      </c>
      <c r="D88" s="207">
        <v>1000000</v>
      </c>
      <c r="E88" s="207">
        <v>200000</v>
      </c>
      <c r="F88" s="207">
        <f>C88+D88+E88</f>
        <v>3032571</v>
      </c>
    </row>
    <row r="89" spans="2:12" ht="26.25" thickBot="1" x14ac:dyDescent="0.3">
      <c r="B89" s="209" t="s">
        <v>222</v>
      </c>
      <c r="C89" s="210">
        <f>C87+C88</f>
        <v>7029732</v>
      </c>
      <c r="D89" s="210">
        <f>D87+D88</f>
        <v>21500000</v>
      </c>
      <c r="E89" s="210">
        <f>E87+E88</f>
        <v>200000</v>
      </c>
      <c r="F89" s="210">
        <f>F87+F88</f>
        <v>28729732</v>
      </c>
      <c r="G89" s="214">
        <f>C89+D89+E89-F89</f>
        <v>0</v>
      </c>
    </row>
    <row r="90" spans="2:12" ht="15.75" thickBot="1" x14ac:dyDescent="0.3">
      <c r="B90" s="206" t="s">
        <v>387</v>
      </c>
      <c r="C90" s="207">
        <f>I46</f>
        <v>3848000</v>
      </c>
      <c r="D90" s="207">
        <f>I47</f>
        <v>6599992.2000000002</v>
      </c>
      <c r="E90" s="208">
        <v>0</v>
      </c>
      <c r="F90" s="207">
        <f t="shared" ref="F90:F98" si="12">C90+D90+E90</f>
        <v>10447992.199999999</v>
      </c>
    </row>
    <row r="91" spans="2:12" ht="15.75" thickBot="1" x14ac:dyDescent="0.3">
      <c r="B91" s="212" t="s">
        <v>388</v>
      </c>
      <c r="C91" s="207">
        <f>I48</f>
        <v>506489</v>
      </c>
      <c r="D91" s="208">
        <v>0</v>
      </c>
      <c r="E91" s="208">
        <v>0</v>
      </c>
      <c r="F91" s="207">
        <f t="shared" si="12"/>
        <v>506489</v>
      </c>
    </row>
    <row r="92" spans="2:12" ht="26.25" thickBot="1" x14ac:dyDescent="0.3">
      <c r="B92" s="213" t="s">
        <v>643</v>
      </c>
      <c r="C92" s="210">
        <f>C90+C91</f>
        <v>4354489</v>
      </c>
      <c r="D92" s="210">
        <f>D90</f>
        <v>6599992.2000000002</v>
      </c>
      <c r="E92" s="211">
        <v>0</v>
      </c>
      <c r="F92" s="210">
        <f>C92+D92+E92</f>
        <v>10954481.199999999</v>
      </c>
      <c r="G92" s="214">
        <f>C92+D92+E92-F92</f>
        <v>0</v>
      </c>
    </row>
    <row r="93" spans="2:12" ht="15.75" thickBot="1" x14ac:dyDescent="0.3">
      <c r="B93" s="212" t="s">
        <v>389</v>
      </c>
      <c r="C93" s="207">
        <f>I50</f>
        <v>280050</v>
      </c>
      <c r="D93" s="208">
        <v>0</v>
      </c>
      <c r="E93" s="208">
        <v>0</v>
      </c>
      <c r="F93" s="207">
        <f t="shared" si="12"/>
        <v>280050</v>
      </c>
    </row>
    <row r="94" spans="2:12" ht="15.75" thickBot="1" x14ac:dyDescent="0.3">
      <c r="B94" s="215" t="s">
        <v>276</v>
      </c>
      <c r="C94" s="216">
        <f>I52</f>
        <v>1839999.33</v>
      </c>
      <c r="D94" s="217">
        <v>0</v>
      </c>
      <c r="E94" s="217">
        <v>0</v>
      </c>
      <c r="F94" s="207">
        <f t="shared" si="12"/>
        <v>1839999.33</v>
      </c>
    </row>
    <row r="95" spans="2:12" ht="15.75" thickBot="1" x14ac:dyDescent="0.3">
      <c r="B95" s="212" t="s">
        <v>284</v>
      </c>
      <c r="C95" s="207">
        <f>I54</f>
        <v>1591000</v>
      </c>
      <c r="D95" s="208">
        <v>0</v>
      </c>
      <c r="E95" s="207">
        <f>I55</f>
        <v>300000</v>
      </c>
      <c r="F95" s="207">
        <f t="shared" si="12"/>
        <v>1891000</v>
      </c>
    </row>
    <row r="96" spans="2:12" ht="26.25" thickBot="1" x14ac:dyDescent="0.3">
      <c r="B96" s="213" t="s">
        <v>644</v>
      </c>
      <c r="C96" s="210">
        <f>C93+C94+C95</f>
        <v>3711049.33</v>
      </c>
      <c r="D96" s="211">
        <v>0</v>
      </c>
      <c r="E96" s="210">
        <f>E95</f>
        <v>300000</v>
      </c>
      <c r="F96" s="210">
        <f t="shared" si="12"/>
        <v>4011049.33</v>
      </c>
    </row>
    <row r="97" spans="2:7" ht="15.75" thickBot="1" x14ac:dyDescent="0.3">
      <c r="B97" s="321" t="s">
        <v>658</v>
      </c>
      <c r="C97" s="322">
        <f>I56</f>
        <v>1032001</v>
      </c>
      <c r="D97" s="323">
        <v>0</v>
      </c>
      <c r="E97" s="322">
        <v>0</v>
      </c>
      <c r="F97" s="322">
        <f>C97+D97+E97</f>
        <v>1032001</v>
      </c>
    </row>
    <row r="98" spans="2:7" ht="15.75" thickBot="1" x14ac:dyDescent="0.3">
      <c r="B98" s="218" t="s">
        <v>309</v>
      </c>
      <c r="C98" s="207">
        <f>I58</f>
        <v>1553099</v>
      </c>
      <c r="D98" s="207">
        <f>I59</f>
        <v>1400008</v>
      </c>
      <c r="E98" s="208">
        <v>0</v>
      </c>
      <c r="F98" s="207">
        <f t="shared" si="12"/>
        <v>2953107</v>
      </c>
      <c r="G98" s="214">
        <f>C98+D98+E98-F98</f>
        <v>0</v>
      </c>
    </row>
    <row r="99" spans="2:7" ht="15.75" thickBot="1" x14ac:dyDescent="0.3">
      <c r="B99" s="219" t="s">
        <v>645</v>
      </c>
      <c r="C99" s="222">
        <f>C98+C96+C92+C89+C86+C97</f>
        <v>33300000.079999998</v>
      </c>
      <c r="D99" s="222">
        <f>D98+D96+D92+D89+D86</f>
        <v>29500000.199999999</v>
      </c>
      <c r="E99" s="222">
        <f>E98+E96+E92+E89+E86</f>
        <v>500000</v>
      </c>
      <c r="F99" s="220">
        <f>F96+F98+F92+F89+F86+F97</f>
        <v>63300000.280000001</v>
      </c>
      <c r="G99" s="214">
        <f>C99+D99+E99-F99</f>
        <v>0</v>
      </c>
    </row>
    <row r="100" spans="2:7" x14ac:dyDescent="0.25">
      <c r="B100" s="221"/>
    </row>
    <row r="101" spans="2:7" ht="15.75" thickBot="1" x14ac:dyDescent="0.3"/>
    <row r="102" spans="2:7" ht="72" thickBot="1" x14ac:dyDescent="0.3">
      <c r="B102" s="223" t="s">
        <v>646</v>
      </c>
      <c r="C102" s="224" t="s">
        <v>647</v>
      </c>
    </row>
    <row r="103" spans="2:7" ht="15.75" thickBot="1" x14ac:dyDescent="0.3">
      <c r="B103" s="225">
        <v>1</v>
      </c>
      <c r="C103" s="226">
        <f>D19+D21+D23+D25+D29+D27</f>
        <v>7603612.71</v>
      </c>
    </row>
    <row r="104" spans="2:7" ht="15.75" thickBot="1" x14ac:dyDescent="0.3">
      <c r="B104" s="225">
        <v>2</v>
      </c>
      <c r="C104" s="226">
        <f>E19+E21+E23+E25+E29+E27</f>
        <v>11138813.710000001</v>
      </c>
    </row>
    <row r="105" spans="2:7" ht="15.75" thickBot="1" x14ac:dyDescent="0.3">
      <c r="B105" s="225">
        <v>3</v>
      </c>
      <c r="C105" s="226">
        <f>F19+F21+F23+F25+F29+F27</f>
        <v>9389749.2400000002</v>
      </c>
    </row>
    <row r="106" spans="2:7" ht="15.75" thickBot="1" x14ac:dyDescent="0.3">
      <c r="B106" s="225">
        <v>4</v>
      </c>
      <c r="C106" s="226">
        <f>G19+G21+G23+G25+G29+G27</f>
        <v>3325290.21</v>
      </c>
    </row>
    <row r="107" spans="2:7" ht="15.75" thickBot="1" x14ac:dyDescent="0.3">
      <c r="B107" s="225">
        <v>5</v>
      </c>
      <c r="C107" s="226">
        <f>H19+H21+H23+H25+H29+H27</f>
        <v>1842534.2100000002</v>
      </c>
    </row>
    <row r="108" spans="2:7" ht="15.75" thickBot="1" x14ac:dyDescent="0.3">
      <c r="B108" s="225" t="s">
        <v>381</v>
      </c>
      <c r="C108" s="226">
        <f>C103+C104+C105+C106+C107</f>
        <v>33300000.080000006</v>
      </c>
    </row>
    <row r="109" spans="2:7" x14ac:dyDescent="0.25">
      <c r="B109" s="221"/>
    </row>
  </sheetData>
  <mergeCells count="33">
    <mergeCell ref="B29:B30"/>
    <mergeCell ref="B50:B51"/>
    <mergeCell ref="B52:B53"/>
    <mergeCell ref="B54:B55"/>
    <mergeCell ref="B38:B39"/>
    <mergeCell ref="B40:B41"/>
    <mergeCell ref="B42:B43"/>
    <mergeCell ref="B44:B45"/>
    <mergeCell ref="B46:B47"/>
    <mergeCell ref="B48:B49"/>
    <mergeCell ref="B19:B20"/>
    <mergeCell ref="B21:B22"/>
    <mergeCell ref="B23:B24"/>
    <mergeCell ref="B25:B26"/>
    <mergeCell ref="B27:B28"/>
    <mergeCell ref="B56:B57"/>
    <mergeCell ref="G65:I65"/>
    <mergeCell ref="F66:F67"/>
    <mergeCell ref="H66:H67"/>
    <mergeCell ref="I66:I67"/>
    <mergeCell ref="B58:B59"/>
    <mergeCell ref="B65:B67"/>
    <mergeCell ref="C65:C67"/>
    <mergeCell ref="E65:F65"/>
    <mergeCell ref="G79:I79"/>
    <mergeCell ref="B68:B69"/>
    <mergeCell ref="B70:B71"/>
    <mergeCell ref="B72:B73"/>
    <mergeCell ref="B74:B76"/>
    <mergeCell ref="B78:C78"/>
    <mergeCell ref="B77:C77"/>
    <mergeCell ref="B79:C79"/>
    <mergeCell ref="E79:F79"/>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37"/>
  <sheetViews>
    <sheetView topLeftCell="C22" zoomScale="85" zoomScaleNormal="85" workbookViewId="0">
      <selection activeCell="G24" sqref="G24"/>
    </sheetView>
  </sheetViews>
  <sheetFormatPr defaultColWidth="9.140625" defaultRowHeight="15" x14ac:dyDescent="0.25"/>
  <cols>
    <col min="1" max="1" width="22.5703125" style="50" customWidth="1"/>
    <col min="2" max="2" width="20.140625" style="50" customWidth="1"/>
    <col min="3" max="3" width="25" style="50" customWidth="1"/>
    <col min="4" max="4" width="14.5703125" customWidth="1"/>
    <col min="5" max="5" width="23.28515625" style="45" customWidth="1"/>
    <col min="6" max="6" width="9.7109375" customWidth="1"/>
    <col min="7" max="7" width="92.5703125" customWidth="1"/>
  </cols>
  <sheetData>
    <row r="1" spans="1:9" ht="30.75" thickBot="1" x14ac:dyDescent="0.3">
      <c r="A1" s="138" t="s">
        <v>9</v>
      </c>
      <c r="B1" s="138" t="s">
        <v>10</v>
      </c>
      <c r="C1" s="138" t="s">
        <v>11</v>
      </c>
      <c r="D1" s="138" t="s">
        <v>393</v>
      </c>
      <c r="E1" s="138" t="s">
        <v>394</v>
      </c>
      <c r="F1" s="138" t="s">
        <v>395</v>
      </c>
      <c r="G1" s="138" t="s">
        <v>396</v>
      </c>
    </row>
    <row r="2" spans="1:9" ht="87.75" customHeight="1" x14ac:dyDescent="0.25">
      <c r="A2" s="613" t="s">
        <v>597</v>
      </c>
      <c r="B2" s="622" t="s">
        <v>492</v>
      </c>
      <c r="C2" s="616" t="s">
        <v>494</v>
      </c>
      <c r="D2" s="608" t="s">
        <v>31</v>
      </c>
      <c r="E2" s="139" t="s">
        <v>32</v>
      </c>
      <c r="F2" s="140" t="s">
        <v>557</v>
      </c>
      <c r="G2" s="141" t="s">
        <v>552</v>
      </c>
    </row>
    <row r="3" spans="1:9" ht="50.25" customHeight="1" x14ac:dyDescent="0.25">
      <c r="A3" s="614"/>
      <c r="B3" s="623"/>
      <c r="C3" s="584"/>
      <c r="D3" s="590"/>
      <c r="E3" s="46" t="s">
        <v>41</v>
      </c>
      <c r="F3" s="58" t="s">
        <v>44</v>
      </c>
      <c r="G3" s="142" t="s">
        <v>463</v>
      </c>
    </row>
    <row r="4" spans="1:9" ht="20.25" customHeight="1" x14ac:dyDescent="0.25">
      <c r="A4" s="614"/>
      <c r="B4" s="623"/>
      <c r="C4" s="584"/>
      <c r="D4" s="590"/>
      <c r="E4" s="46" t="s">
        <v>397</v>
      </c>
      <c r="F4" s="58" t="s">
        <v>48</v>
      </c>
      <c r="G4" s="142" t="s">
        <v>46</v>
      </c>
    </row>
    <row r="5" spans="1:9" ht="53.25" customHeight="1" x14ac:dyDescent="0.25">
      <c r="A5" s="614"/>
      <c r="B5" s="623"/>
      <c r="C5" s="584"/>
      <c r="D5" s="590"/>
      <c r="E5" s="46" t="s">
        <v>398</v>
      </c>
      <c r="F5" s="58" t="s">
        <v>558</v>
      </c>
      <c r="G5" s="142" t="s">
        <v>550</v>
      </c>
    </row>
    <row r="6" spans="1:9" ht="180" x14ac:dyDescent="0.25">
      <c r="A6" s="614"/>
      <c r="B6" s="623"/>
      <c r="C6" s="585"/>
      <c r="D6" s="590"/>
      <c r="E6" s="46" t="s">
        <v>53</v>
      </c>
      <c r="F6" s="58" t="s">
        <v>559</v>
      </c>
      <c r="G6" s="142" t="s">
        <v>563</v>
      </c>
    </row>
    <row r="7" spans="1:9" ht="75" customHeight="1" x14ac:dyDescent="0.25">
      <c r="A7" s="614"/>
      <c r="B7" s="623"/>
      <c r="C7" s="583" t="s">
        <v>493</v>
      </c>
      <c r="D7" s="590" t="s">
        <v>31</v>
      </c>
      <c r="E7" s="46" t="s">
        <v>32</v>
      </c>
      <c r="F7" s="58" t="s">
        <v>541</v>
      </c>
      <c r="G7" s="142" t="s">
        <v>399</v>
      </c>
    </row>
    <row r="8" spans="1:9" ht="45" x14ac:dyDescent="0.25">
      <c r="A8" s="614"/>
      <c r="B8" s="623"/>
      <c r="C8" s="584"/>
      <c r="D8" s="590"/>
      <c r="E8" s="47" t="s">
        <v>400</v>
      </c>
      <c r="F8" s="58" t="s">
        <v>542</v>
      </c>
      <c r="G8" s="142" t="s">
        <v>401</v>
      </c>
    </row>
    <row r="9" spans="1:9" ht="30" x14ac:dyDescent="0.25">
      <c r="A9" s="614"/>
      <c r="B9" s="623"/>
      <c r="C9" s="584"/>
      <c r="D9" s="590"/>
      <c r="E9" s="47" t="s">
        <v>41</v>
      </c>
      <c r="F9" s="58" t="s">
        <v>543</v>
      </c>
      <c r="G9" s="142" t="s">
        <v>462</v>
      </c>
    </row>
    <row r="10" spans="1:9" ht="30" x14ac:dyDescent="0.25">
      <c r="A10" s="614"/>
      <c r="B10" s="623"/>
      <c r="C10" s="584"/>
      <c r="D10" s="590"/>
      <c r="E10" s="47" t="s">
        <v>402</v>
      </c>
      <c r="F10" s="58" t="s">
        <v>86</v>
      </c>
      <c r="G10" s="142" t="s">
        <v>85</v>
      </c>
    </row>
    <row r="11" spans="1:9" ht="75" x14ac:dyDescent="0.25">
      <c r="A11" s="614"/>
      <c r="B11" s="586"/>
      <c r="C11" s="585"/>
      <c r="D11" s="590"/>
      <c r="E11" s="47" t="s">
        <v>53</v>
      </c>
      <c r="F11" s="58" t="s">
        <v>564</v>
      </c>
      <c r="G11" s="142" t="s">
        <v>565</v>
      </c>
    </row>
    <row r="12" spans="1:9" ht="90" customHeight="1" x14ac:dyDescent="0.25">
      <c r="A12" s="614"/>
      <c r="B12" s="593" t="s">
        <v>384</v>
      </c>
      <c r="C12" s="583" t="s">
        <v>495</v>
      </c>
      <c r="D12" s="582" t="s">
        <v>31</v>
      </c>
      <c r="E12" s="46" t="s">
        <v>32</v>
      </c>
      <c r="F12" s="58" t="s">
        <v>544</v>
      </c>
      <c r="G12" s="142" t="s">
        <v>553</v>
      </c>
    </row>
    <row r="13" spans="1:9" ht="39.75" customHeight="1" x14ac:dyDescent="0.25">
      <c r="A13" s="614"/>
      <c r="B13" s="623"/>
      <c r="C13" s="584"/>
      <c r="D13" s="582"/>
      <c r="E13" s="46" t="s">
        <v>165</v>
      </c>
      <c r="F13" s="58" t="s">
        <v>545</v>
      </c>
      <c r="G13" s="142" t="s">
        <v>481</v>
      </c>
    </row>
    <row r="14" spans="1:9" ht="45" x14ac:dyDescent="0.25">
      <c r="A14" s="614"/>
      <c r="B14" s="623"/>
      <c r="C14" s="584"/>
      <c r="D14" s="582"/>
      <c r="E14" s="47" t="s">
        <v>400</v>
      </c>
      <c r="F14" s="58" t="s">
        <v>546</v>
      </c>
      <c r="G14" s="142" t="s">
        <v>482</v>
      </c>
    </row>
    <row r="15" spans="1:9" ht="45" x14ac:dyDescent="0.25">
      <c r="A15" s="614"/>
      <c r="B15" s="623"/>
      <c r="C15" s="584"/>
      <c r="D15" s="582"/>
      <c r="E15" s="47" t="s">
        <v>402</v>
      </c>
      <c r="F15" s="58" t="s">
        <v>547</v>
      </c>
      <c r="G15" s="142" t="s">
        <v>477</v>
      </c>
    </row>
    <row r="16" spans="1:9" ht="90" x14ac:dyDescent="0.25">
      <c r="A16" s="614"/>
      <c r="B16" s="623"/>
      <c r="C16" s="585"/>
      <c r="D16" s="582"/>
      <c r="E16" s="47" t="s">
        <v>53</v>
      </c>
      <c r="F16" s="58" t="s">
        <v>566</v>
      </c>
      <c r="G16" s="142" t="s">
        <v>567</v>
      </c>
      <c r="I16" s="40"/>
    </row>
    <row r="17" spans="1:7" ht="90" customHeight="1" x14ac:dyDescent="0.25">
      <c r="A17" s="614"/>
      <c r="B17" s="623"/>
      <c r="C17" s="583" t="s">
        <v>496</v>
      </c>
      <c r="D17" s="590" t="s">
        <v>31</v>
      </c>
      <c r="E17" s="46" t="s">
        <v>32</v>
      </c>
      <c r="F17" s="58" t="s">
        <v>548</v>
      </c>
      <c r="G17" s="142" t="s">
        <v>465</v>
      </c>
    </row>
    <row r="18" spans="1:7" ht="75" x14ac:dyDescent="0.25">
      <c r="A18" s="614"/>
      <c r="B18" s="623"/>
      <c r="C18" s="584"/>
      <c r="D18" s="590"/>
      <c r="E18" s="47" t="s">
        <v>400</v>
      </c>
      <c r="F18" s="58" t="s">
        <v>125</v>
      </c>
      <c r="G18" s="142" t="s">
        <v>403</v>
      </c>
    </row>
    <row r="19" spans="1:7" ht="45" x14ac:dyDescent="0.25">
      <c r="A19" s="614"/>
      <c r="B19" s="623"/>
      <c r="C19" s="584"/>
      <c r="D19" s="590"/>
      <c r="E19" s="47" t="s">
        <v>41</v>
      </c>
      <c r="F19" s="58" t="s">
        <v>126</v>
      </c>
      <c r="G19" s="142" t="s">
        <v>464</v>
      </c>
    </row>
    <row r="20" spans="1:7" ht="52.5" customHeight="1" x14ac:dyDescent="0.25">
      <c r="A20" s="614"/>
      <c r="B20" s="623"/>
      <c r="C20" s="583" t="s">
        <v>497</v>
      </c>
      <c r="D20" s="590" t="s">
        <v>31</v>
      </c>
      <c r="E20" s="47" t="s">
        <v>32</v>
      </c>
      <c r="F20" s="58" t="s">
        <v>577</v>
      </c>
      <c r="G20" s="142" t="s">
        <v>578</v>
      </c>
    </row>
    <row r="21" spans="1:7" ht="30" x14ac:dyDescent="0.25">
      <c r="A21" s="614"/>
      <c r="B21" s="623"/>
      <c r="C21" s="584"/>
      <c r="D21" s="590"/>
      <c r="E21" s="47" t="s">
        <v>400</v>
      </c>
      <c r="F21" s="58" t="s">
        <v>579</v>
      </c>
      <c r="G21" s="142" t="s">
        <v>586</v>
      </c>
    </row>
    <row r="22" spans="1:7" ht="45" x14ac:dyDescent="0.25">
      <c r="A22" s="614"/>
      <c r="B22" s="623"/>
      <c r="C22" s="584"/>
      <c r="D22" s="590"/>
      <c r="E22" s="47" t="s">
        <v>53</v>
      </c>
      <c r="F22" s="58" t="s">
        <v>133</v>
      </c>
      <c r="G22" s="142" t="s">
        <v>458</v>
      </c>
    </row>
    <row r="23" spans="1:7" ht="30.75" thickBot="1" x14ac:dyDescent="0.3">
      <c r="A23" s="614"/>
      <c r="B23" s="623"/>
      <c r="C23" s="584"/>
      <c r="D23" s="581"/>
      <c r="E23" s="47" t="s">
        <v>402</v>
      </c>
      <c r="F23" s="58" t="s">
        <v>580</v>
      </c>
      <c r="G23" s="147" t="s">
        <v>581</v>
      </c>
    </row>
    <row r="24" spans="1:7" ht="73.5" customHeight="1" x14ac:dyDescent="0.25">
      <c r="A24" s="613" t="s">
        <v>517</v>
      </c>
      <c r="B24" s="607" t="s">
        <v>516</v>
      </c>
      <c r="C24" s="616" t="s">
        <v>498</v>
      </c>
      <c r="D24" s="238" t="s">
        <v>31</v>
      </c>
      <c r="E24" s="145" t="s">
        <v>404</v>
      </c>
      <c r="F24" s="140" t="s">
        <v>143</v>
      </c>
      <c r="G24" s="146" t="s">
        <v>692</v>
      </c>
    </row>
    <row r="25" spans="1:7" ht="30" customHeight="1" x14ac:dyDescent="0.25">
      <c r="A25" s="614"/>
      <c r="B25" s="587"/>
      <c r="C25" s="584"/>
      <c r="D25" s="595" t="s">
        <v>405</v>
      </c>
      <c r="E25" s="47" t="s">
        <v>32</v>
      </c>
      <c r="F25" s="58" t="s">
        <v>406</v>
      </c>
      <c r="G25" s="142" t="s">
        <v>407</v>
      </c>
    </row>
    <row r="26" spans="1:7" x14ac:dyDescent="0.25">
      <c r="A26" s="614"/>
      <c r="B26" s="587"/>
      <c r="C26" s="584"/>
      <c r="D26" s="596"/>
      <c r="E26" s="47" t="s">
        <v>146</v>
      </c>
      <c r="F26" s="58" t="s">
        <v>148</v>
      </c>
      <c r="G26" s="142" t="s">
        <v>408</v>
      </c>
    </row>
    <row r="27" spans="1:7" ht="75" x14ac:dyDescent="0.25">
      <c r="A27" s="614"/>
      <c r="B27" s="587"/>
      <c r="C27" s="585"/>
      <c r="D27" s="597"/>
      <c r="E27" s="47" t="s">
        <v>41</v>
      </c>
      <c r="F27" s="58" t="s">
        <v>150</v>
      </c>
      <c r="G27" s="142" t="s">
        <v>531</v>
      </c>
    </row>
    <row r="28" spans="1:7" ht="29.25" customHeight="1" x14ac:dyDescent="0.25">
      <c r="A28" s="614"/>
      <c r="B28" s="587"/>
      <c r="C28" s="585" t="s">
        <v>499</v>
      </c>
      <c r="D28" s="582" t="s">
        <v>31</v>
      </c>
      <c r="E28" s="48" t="s">
        <v>32</v>
      </c>
      <c r="F28" s="58" t="s">
        <v>154</v>
      </c>
      <c r="G28" s="142" t="s">
        <v>409</v>
      </c>
    </row>
    <row r="29" spans="1:7" ht="60" x14ac:dyDescent="0.25">
      <c r="A29" s="614"/>
      <c r="B29" s="587"/>
      <c r="C29" s="598"/>
      <c r="D29" s="582"/>
      <c r="E29" s="47" t="s">
        <v>165</v>
      </c>
      <c r="F29" s="58" t="s">
        <v>155</v>
      </c>
      <c r="G29" s="142" t="s">
        <v>472</v>
      </c>
    </row>
    <row r="30" spans="1:7" ht="30" x14ac:dyDescent="0.25">
      <c r="A30" s="614"/>
      <c r="B30" s="587"/>
      <c r="C30" s="598"/>
      <c r="D30" s="582"/>
      <c r="E30" s="47" t="s">
        <v>402</v>
      </c>
      <c r="F30" s="58" t="s">
        <v>410</v>
      </c>
      <c r="G30" s="142" t="s">
        <v>411</v>
      </c>
    </row>
    <row r="31" spans="1:7" ht="24" x14ac:dyDescent="0.25">
      <c r="A31" s="614"/>
      <c r="B31" s="587"/>
      <c r="C31" s="598"/>
      <c r="D31" s="582"/>
      <c r="E31" s="47" t="s">
        <v>41</v>
      </c>
      <c r="F31" s="58" t="s">
        <v>412</v>
      </c>
      <c r="G31" s="142" t="s">
        <v>413</v>
      </c>
    </row>
    <row r="32" spans="1:7" ht="67.5" customHeight="1" x14ac:dyDescent="0.25">
      <c r="A32" s="614"/>
      <c r="B32" s="587"/>
      <c r="C32" s="239" t="s">
        <v>500</v>
      </c>
      <c r="D32" s="236" t="s">
        <v>31</v>
      </c>
      <c r="E32" s="47" t="s">
        <v>32</v>
      </c>
      <c r="F32" s="58" t="s">
        <v>168</v>
      </c>
      <c r="G32" s="142" t="s">
        <v>414</v>
      </c>
    </row>
    <row r="33" spans="1:7" ht="64.5" customHeight="1" x14ac:dyDescent="0.25">
      <c r="A33" s="614"/>
      <c r="B33" s="599" t="s">
        <v>171</v>
      </c>
      <c r="C33" s="598" t="s">
        <v>515</v>
      </c>
      <c r="D33" s="601" t="s">
        <v>31</v>
      </c>
      <c r="E33" s="47" t="s">
        <v>32</v>
      </c>
      <c r="F33" s="58" t="s">
        <v>415</v>
      </c>
      <c r="G33" s="142" t="s">
        <v>416</v>
      </c>
    </row>
    <row r="34" spans="1:7" ht="64.5" customHeight="1" x14ac:dyDescent="0.25">
      <c r="A34" s="614"/>
      <c r="B34" s="599"/>
      <c r="C34" s="598"/>
      <c r="D34" s="601"/>
      <c r="E34" s="47" t="s">
        <v>165</v>
      </c>
      <c r="F34" s="58" t="s">
        <v>483</v>
      </c>
      <c r="G34" s="142" t="s">
        <v>485</v>
      </c>
    </row>
    <row r="35" spans="1:7" ht="30" x14ac:dyDescent="0.25">
      <c r="A35" s="614"/>
      <c r="B35" s="599"/>
      <c r="C35" s="598"/>
      <c r="D35" s="601"/>
      <c r="E35" s="47" t="s">
        <v>400</v>
      </c>
      <c r="F35" s="58" t="s">
        <v>181</v>
      </c>
      <c r="G35" s="147" t="s">
        <v>484</v>
      </c>
    </row>
    <row r="36" spans="1:7" ht="24" x14ac:dyDescent="0.25">
      <c r="A36" s="614"/>
      <c r="B36" s="599"/>
      <c r="C36" s="598"/>
      <c r="D36" s="601"/>
      <c r="E36" s="47" t="s">
        <v>41</v>
      </c>
      <c r="F36" s="58" t="s">
        <v>417</v>
      </c>
      <c r="G36" s="142" t="s">
        <v>418</v>
      </c>
    </row>
    <row r="37" spans="1:7" ht="60" x14ac:dyDescent="0.25">
      <c r="A37" s="614"/>
      <c r="B37" s="599"/>
      <c r="C37" s="598"/>
      <c r="D37" s="601"/>
      <c r="E37" s="47" t="s">
        <v>402</v>
      </c>
      <c r="F37" s="58" t="s">
        <v>186</v>
      </c>
      <c r="G37" s="142" t="s">
        <v>459</v>
      </c>
    </row>
    <row r="38" spans="1:7" ht="24" x14ac:dyDescent="0.25">
      <c r="A38" s="614"/>
      <c r="B38" s="599"/>
      <c r="C38" s="598"/>
      <c r="D38" s="601"/>
      <c r="E38" s="47" t="s">
        <v>53</v>
      </c>
      <c r="F38" s="58" t="s">
        <v>419</v>
      </c>
      <c r="G38" s="142" t="s">
        <v>420</v>
      </c>
    </row>
    <row r="39" spans="1:7" ht="30" customHeight="1" x14ac:dyDescent="0.25">
      <c r="A39" s="614"/>
      <c r="B39" s="599"/>
      <c r="C39" s="598" t="s">
        <v>514</v>
      </c>
      <c r="D39" s="602" t="s">
        <v>405</v>
      </c>
      <c r="E39" s="47" t="s">
        <v>402</v>
      </c>
      <c r="F39" s="58" t="s">
        <v>195</v>
      </c>
      <c r="G39" s="142" t="s">
        <v>194</v>
      </c>
    </row>
    <row r="40" spans="1:7" x14ac:dyDescent="0.25">
      <c r="A40" s="614"/>
      <c r="B40" s="599"/>
      <c r="C40" s="598"/>
      <c r="D40" s="603"/>
      <c r="E40" s="47" t="s">
        <v>421</v>
      </c>
      <c r="F40" s="58" t="s">
        <v>198</v>
      </c>
      <c r="G40" s="142" t="s">
        <v>422</v>
      </c>
    </row>
    <row r="41" spans="1:7" ht="60" x14ac:dyDescent="0.25">
      <c r="A41" s="614"/>
      <c r="B41" s="599"/>
      <c r="C41" s="598"/>
      <c r="D41" s="603"/>
      <c r="E41" s="47" t="s">
        <v>41</v>
      </c>
      <c r="F41" s="58" t="s">
        <v>201</v>
      </c>
      <c r="G41" s="142" t="s">
        <v>532</v>
      </c>
    </row>
    <row r="42" spans="1:7" ht="45" customHeight="1" x14ac:dyDescent="0.25">
      <c r="A42" s="614"/>
      <c r="B42" s="599"/>
      <c r="C42" s="583" t="s">
        <v>513</v>
      </c>
      <c r="D42" s="590" t="s">
        <v>31</v>
      </c>
      <c r="E42" s="47" t="s">
        <v>423</v>
      </c>
      <c r="F42" s="58" t="s">
        <v>424</v>
      </c>
      <c r="G42" s="142" t="s">
        <v>425</v>
      </c>
    </row>
    <row r="43" spans="1:7" ht="24" x14ac:dyDescent="0.25">
      <c r="A43" s="614"/>
      <c r="B43" s="599"/>
      <c r="C43" s="584"/>
      <c r="D43" s="590"/>
      <c r="E43" s="47" t="s">
        <v>165</v>
      </c>
      <c r="F43" s="58" t="s">
        <v>582</v>
      </c>
      <c r="G43" s="142" t="s">
        <v>469</v>
      </c>
    </row>
    <row r="44" spans="1:7" x14ac:dyDescent="0.25">
      <c r="A44" s="614"/>
      <c r="B44" s="599"/>
      <c r="C44" s="584"/>
      <c r="D44" s="590"/>
      <c r="E44" s="47" t="s">
        <v>53</v>
      </c>
      <c r="F44" s="58" t="s">
        <v>209</v>
      </c>
      <c r="G44" s="142" t="s">
        <v>426</v>
      </c>
    </row>
    <row r="45" spans="1:7" ht="30" x14ac:dyDescent="0.25">
      <c r="A45" s="614"/>
      <c r="B45" s="599"/>
      <c r="C45" s="584"/>
      <c r="D45" s="590"/>
      <c r="E45" s="47" t="s">
        <v>402</v>
      </c>
      <c r="F45" s="58" t="s">
        <v>210</v>
      </c>
      <c r="G45" s="142" t="s">
        <v>521</v>
      </c>
    </row>
    <row r="46" spans="1:7" ht="51" customHeight="1" x14ac:dyDescent="0.25">
      <c r="A46" s="614"/>
      <c r="B46" s="599"/>
      <c r="C46" s="598" t="s">
        <v>512</v>
      </c>
      <c r="D46" s="602" t="s">
        <v>427</v>
      </c>
      <c r="E46" s="47" t="s">
        <v>402</v>
      </c>
      <c r="F46" s="59" t="s">
        <v>215</v>
      </c>
      <c r="G46" s="142" t="s">
        <v>428</v>
      </c>
    </row>
    <row r="47" spans="1:7" ht="65.25" customHeight="1" x14ac:dyDescent="0.25">
      <c r="A47" s="614"/>
      <c r="B47" s="599"/>
      <c r="C47" s="598"/>
      <c r="D47" s="603"/>
      <c r="E47" s="47" t="s">
        <v>41</v>
      </c>
      <c r="F47" s="59" t="s">
        <v>217</v>
      </c>
      <c r="G47" s="142" t="s">
        <v>533</v>
      </c>
    </row>
    <row r="48" spans="1:7" ht="51" customHeight="1" thickBot="1" x14ac:dyDescent="0.3">
      <c r="A48" s="615"/>
      <c r="B48" s="600"/>
      <c r="C48" s="605"/>
      <c r="D48" s="604"/>
      <c r="E48" s="148" t="s">
        <v>421</v>
      </c>
      <c r="F48" s="149" t="s">
        <v>219</v>
      </c>
      <c r="G48" s="150" t="s">
        <v>429</v>
      </c>
    </row>
    <row r="49" spans="1:7" ht="53.25" customHeight="1" x14ac:dyDescent="0.25">
      <c r="A49" s="612" t="s">
        <v>511</v>
      </c>
      <c r="B49" s="607" t="s">
        <v>387</v>
      </c>
      <c r="C49" s="617" t="s">
        <v>510</v>
      </c>
      <c r="D49" s="608" t="s">
        <v>31</v>
      </c>
      <c r="E49" s="145" t="s">
        <v>165</v>
      </c>
      <c r="F49" s="140" t="s">
        <v>430</v>
      </c>
      <c r="G49" s="141" t="s">
        <v>480</v>
      </c>
    </row>
    <row r="50" spans="1:7" ht="90" x14ac:dyDescent="0.25">
      <c r="A50" s="610"/>
      <c r="B50" s="587"/>
      <c r="C50" s="598"/>
      <c r="D50" s="590"/>
      <c r="E50" s="47" t="s">
        <v>53</v>
      </c>
      <c r="F50" s="58" t="s">
        <v>549</v>
      </c>
      <c r="G50" s="147" t="s">
        <v>641</v>
      </c>
    </row>
    <row r="51" spans="1:7" ht="73.5" customHeight="1" x14ac:dyDescent="0.25">
      <c r="A51" s="610"/>
      <c r="B51" s="587"/>
      <c r="C51" s="583" t="s">
        <v>509</v>
      </c>
      <c r="D51" s="237" t="s">
        <v>31</v>
      </c>
      <c r="E51" s="47" t="s">
        <v>165</v>
      </c>
      <c r="F51" s="58" t="s">
        <v>232</v>
      </c>
      <c r="G51" s="142" t="s">
        <v>474</v>
      </c>
    </row>
    <row r="52" spans="1:7" ht="27.75" customHeight="1" x14ac:dyDescent="0.25">
      <c r="A52" s="610"/>
      <c r="B52" s="587"/>
      <c r="C52" s="584"/>
      <c r="D52" s="595" t="s">
        <v>431</v>
      </c>
      <c r="E52" s="151" t="s">
        <v>421</v>
      </c>
      <c r="F52" s="58" t="s">
        <v>233</v>
      </c>
      <c r="G52" s="142" t="s">
        <v>534</v>
      </c>
    </row>
    <row r="53" spans="1:7" ht="75" x14ac:dyDescent="0.25">
      <c r="A53" s="610"/>
      <c r="B53" s="587"/>
      <c r="C53" s="584"/>
      <c r="D53" s="596"/>
      <c r="E53" s="47" t="s">
        <v>41</v>
      </c>
      <c r="F53" s="58" t="s">
        <v>235</v>
      </c>
      <c r="G53" s="142" t="s">
        <v>535</v>
      </c>
    </row>
    <row r="54" spans="1:7" x14ac:dyDescent="0.25">
      <c r="A54" s="610"/>
      <c r="B54" s="587"/>
      <c r="C54" s="585"/>
      <c r="D54" s="596"/>
      <c r="E54" s="47" t="s">
        <v>146</v>
      </c>
      <c r="F54" s="58" t="s">
        <v>236</v>
      </c>
      <c r="G54" s="142" t="s">
        <v>147</v>
      </c>
    </row>
    <row r="55" spans="1:7" ht="30.75" customHeight="1" x14ac:dyDescent="0.25">
      <c r="A55" s="610"/>
      <c r="B55" s="621" t="s">
        <v>388</v>
      </c>
      <c r="C55" s="598" t="s">
        <v>508</v>
      </c>
      <c r="D55" s="581" t="s">
        <v>31</v>
      </c>
      <c r="E55" s="47" t="s">
        <v>32</v>
      </c>
      <c r="F55" s="58" t="s">
        <v>241</v>
      </c>
      <c r="G55" s="142" t="s">
        <v>583</v>
      </c>
    </row>
    <row r="56" spans="1:7" ht="30" x14ac:dyDescent="0.25">
      <c r="A56" s="610"/>
      <c r="B56" s="587"/>
      <c r="C56" s="598"/>
      <c r="D56" s="582"/>
      <c r="E56" s="47" t="s">
        <v>165</v>
      </c>
      <c r="F56" s="58" t="s">
        <v>243</v>
      </c>
      <c r="G56" s="142" t="s">
        <v>242</v>
      </c>
    </row>
    <row r="57" spans="1:7" x14ac:dyDescent="0.25">
      <c r="A57" s="610"/>
      <c r="B57" s="587"/>
      <c r="C57" s="598"/>
      <c r="D57" s="582"/>
      <c r="E57" s="47" t="s">
        <v>41</v>
      </c>
      <c r="F57" s="58" t="s">
        <v>244</v>
      </c>
      <c r="G57" s="142" t="s">
        <v>42</v>
      </c>
    </row>
    <row r="58" spans="1:7" ht="30.75" thickBot="1" x14ac:dyDescent="0.3">
      <c r="A58" s="611"/>
      <c r="B58" s="588"/>
      <c r="C58" s="605"/>
      <c r="D58" s="606"/>
      <c r="E58" s="143" t="s">
        <v>402</v>
      </c>
      <c r="F58" s="144" t="s">
        <v>584</v>
      </c>
      <c r="G58" s="150" t="s">
        <v>585</v>
      </c>
    </row>
    <row r="59" spans="1:7" ht="36.75" customHeight="1" x14ac:dyDescent="0.25">
      <c r="A59" s="613" t="s">
        <v>598</v>
      </c>
      <c r="B59" s="622" t="s">
        <v>389</v>
      </c>
      <c r="C59" s="616" t="s">
        <v>507</v>
      </c>
      <c r="D59" s="594" t="s">
        <v>31</v>
      </c>
      <c r="E59" s="145" t="s">
        <v>165</v>
      </c>
      <c r="F59" s="140" t="s">
        <v>256</v>
      </c>
      <c r="G59" s="146" t="s">
        <v>486</v>
      </c>
    </row>
    <row r="60" spans="1:7" ht="36.75" customHeight="1" x14ac:dyDescent="0.25">
      <c r="A60" s="614"/>
      <c r="B60" s="586"/>
      <c r="C60" s="585"/>
      <c r="D60" s="589"/>
      <c r="E60" s="47" t="s">
        <v>400</v>
      </c>
      <c r="F60" s="58" t="s">
        <v>259</v>
      </c>
      <c r="G60" s="147" t="s">
        <v>487</v>
      </c>
    </row>
    <row r="61" spans="1:7" ht="30.75" customHeight="1" x14ac:dyDescent="0.25">
      <c r="A61" s="614"/>
      <c r="B61" s="587" t="s">
        <v>276</v>
      </c>
      <c r="C61" s="583" t="s">
        <v>506</v>
      </c>
      <c r="D61" s="581" t="s">
        <v>31</v>
      </c>
      <c r="E61" s="151" t="s">
        <v>32</v>
      </c>
      <c r="F61" s="58" t="s">
        <v>264</v>
      </c>
      <c r="G61" s="142" t="s">
        <v>432</v>
      </c>
    </row>
    <row r="62" spans="1:7" ht="54" customHeight="1" x14ac:dyDescent="0.25">
      <c r="A62" s="614"/>
      <c r="B62" s="587"/>
      <c r="C62" s="584"/>
      <c r="D62" s="582"/>
      <c r="E62" s="47" t="s">
        <v>165</v>
      </c>
      <c r="F62" s="58" t="s">
        <v>433</v>
      </c>
      <c r="G62" s="142" t="s">
        <v>434</v>
      </c>
    </row>
    <row r="63" spans="1:7" ht="30.75" customHeight="1" x14ac:dyDescent="0.25">
      <c r="A63" s="614"/>
      <c r="B63" s="587"/>
      <c r="C63" s="584"/>
      <c r="D63" s="582"/>
      <c r="E63" s="47" t="s">
        <v>402</v>
      </c>
      <c r="F63" s="232" t="s">
        <v>272</v>
      </c>
      <c r="G63" s="182" t="s">
        <v>605</v>
      </c>
    </row>
    <row r="64" spans="1:7" ht="30.75" customHeight="1" x14ac:dyDescent="0.25">
      <c r="A64" s="614"/>
      <c r="B64" s="587"/>
      <c r="C64" s="585"/>
      <c r="D64" s="582"/>
      <c r="E64" s="47" t="s">
        <v>53</v>
      </c>
      <c r="F64" s="232" t="s">
        <v>273</v>
      </c>
      <c r="G64" s="182" t="s">
        <v>435</v>
      </c>
    </row>
    <row r="65" spans="1:7" ht="26.25" customHeight="1" x14ac:dyDescent="0.25">
      <c r="A65" s="614"/>
      <c r="B65" s="587"/>
      <c r="C65" s="583" t="s">
        <v>505</v>
      </c>
      <c r="D65" s="581" t="s">
        <v>31</v>
      </c>
      <c r="E65" s="47" t="s">
        <v>53</v>
      </c>
      <c r="F65" s="232" t="s">
        <v>606</v>
      </c>
      <c r="G65" s="182" t="s">
        <v>607</v>
      </c>
    </row>
    <row r="66" spans="1:7" ht="60" customHeight="1" x14ac:dyDescent="0.25">
      <c r="A66" s="614"/>
      <c r="B66" s="587"/>
      <c r="C66" s="584"/>
      <c r="D66" s="582"/>
      <c r="E66" s="151" t="s">
        <v>32</v>
      </c>
      <c r="F66" s="232" t="s">
        <v>652</v>
      </c>
      <c r="G66" s="182" t="s">
        <v>653</v>
      </c>
    </row>
    <row r="67" spans="1:7" ht="60" customHeight="1" x14ac:dyDescent="0.25">
      <c r="A67" s="614"/>
      <c r="B67" s="587"/>
      <c r="C67" s="584"/>
      <c r="D67" s="582"/>
      <c r="E67" s="151"/>
      <c r="F67" s="232" t="s">
        <v>650</v>
      </c>
      <c r="G67" s="182" t="s">
        <v>648</v>
      </c>
    </row>
    <row r="68" spans="1:7" ht="135" x14ac:dyDescent="0.25">
      <c r="A68" s="614"/>
      <c r="B68" s="587"/>
      <c r="C68" s="585"/>
      <c r="D68" s="582"/>
      <c r="E68" s="47" t="s">
        <v>402</v>
      </c>
      <c r="F68" s="232" t="s">
        <v>655</v>
      </c>
      <c r="G68" s="182" t="s">
        <v>656</v>
      </c>
    </row>
    <row r="69" spans="1:7" ht="60.75" customHeight="1" x14ac:dyDescent="0.25">
      <c r="A69" s="614"/>
      <c r="B69" s="587" t="s">
        <v>284</v>
      </c>
      <c r="C69" s="235" t="s">
        <v>504</v>
      </c>
      <c r="D69" s="236" t="s">
        <v>31</v>
      </c>
      <c r="E69" s="47" t="s">
        <v>402</v>
      </c>
      <c r="F69" s="231" t="s">
        <v>288</v>
      </c>
      <c r="G69" s="142" t="s">
        <v>286</v>
      </c>
    </row>
    <row r="70" spans="1:7" ht="15" customHeight="1" x14ac:dyDescent="0.25">
      <c r="A70" s="614"/>
      <c r="B70" s="587"/>
      <c r="C70" s="583" t="s">
        <v>503</v>
      </c>
      <c r="D70" s="581" t="s">
        <v>31</v>
      </c>
      <c r="E70" s="151" t="s">
        <v>421</v>
      </c>
      <c r="F70" s="231"/>
      <c r="G70" s="142" t="s">
        <v>436</v>
      </c>
    </row>
    <row r="71" spans="1:7" x14ac:dyDescent="0.25">
      <c r="A71" s="614"/>
      <c r="B71" s="587"/>
      <c r="C71" s="584"/>
      <c r="D71" s="582"/>
      <c r="E71" s="47" t="s">
        <v>32</v>
      </c>
      <c r="F71" s="231" t="s">
        <v>292</v>
      </c>
      <c r="G71" s="142" t="s">
        <v>437</v>
      </c>
    </row>
    <row r="72" spans="1:7" ht="30" x14ac:dyDescent="0.25">
      <c r="A72" s="614"/>
      <c r="B72" s="587"/>
      <c r="C72" s="585"/>
      <c r="D72" s="582"/>
      <c r="E72" s="47" t="s">
        <v>402</v>
      </c>
      <c r="F72" s="231" t="s">
        <v>293</v>
      </c>
      <c r="G72" s="142" t="s">
        <v>438</v>
      </c>
    </row>
    <row r="73" spans="1:7" ht="48" customHeight="1" x14ac:dyDescent="0.25">
      <c r="A73" s="614"/>
      <c r="B73" s="587"/>
      <c r="C73" s="583" t="s">
        <v>502</v>
      </c>
      <c r="D73" s="591" t="s">
        <v>439</v>
      </c>
      <c r="E73" s="47" t="s">
        <v>402</v>
      </c>
      <c r="F73" s="231" t="s">
        <v>297</v>
      </c>
      <c r="G73" s="142" t="s">
        <v>440</v>
      </c>
    </row>
    <row r="74" spans="1:7" ht="58.5" customHeight="1" x14ac:dyDescent="0.25">
      <c r="A74" s="614"/>
      <c r="B74" s="587"/>
      <c r="C74" s="584"/>
      <c r="D74" s="591"/>
      <c r="E74" s="47" t="s">
        <v>41</v>
      </c>
      <c r="F74" s="231" t="s">
        <v>299</v>
      </c>
      <c r="G74" s="142" t="s">
        <v>536</v>
      </c>
    </row>
    <row r="75" spans="1:7" ht="48" customHeight="1" x14ac:dyDescent="0.25">
      <c r="A75" s="614"/>
      <c r="B75" s="587"/>
      <c r="C75" s="584"/>
      <c r="D75" s="591"/>
      <c r="E75" s="47" t="s">
        <v>421</v>
      </c>
      <c r="F75" s="231" t="s">
        <v>301</v>
      </c>
      <c r="G75" s="142" t="s">
        <v>441</v>
      </c>
    </row>
    <row r="76" spans="1:7" ht="48" customHeight="1" x14ac:dyDescent="0.25">
      <c r="A76" s="614"/>
      <c r="B76" s="593"/>
      <c r="C76" s="584"/>
      <c r="D76" s="591"/>
      <c r="E76" s="47" t="s">
        <v>165</v>
      </c>
      <c r="F76" s="231" t="s">
        <v>304</v>
      </c>
      <c r="G76" s="142" t="s">
        <v>595</v>
      </c>
    </row>
    <row r="77" spans="1:7" ht="48" customHeight="1" x14ac:dyDescent="0.25">
      <c r="A77" s="614"/>
      <c r="B77" s="593"/>
      <c r="C77" s="584"/>
      <c r="D77" s="591"/>
      <c r="E77" s="160" t="s">
        <v>32</v>
      </c>
      <c r="F77" s="231" t="s">
        <v>305</v>
      </c>
      <c r="G77" s="142" t="s">
        <v>490</v>
      </c>
    </row>
    <row r="78" spans="1:7" ht="48" customHeight="1" x14ac:dyDescent="0.25">
      <c r="A78" s="614"/>
      <c r="B78" s="593"/>
      <c r="C78" s="584"/>
      <c r="D78" s="591"/>
      <c r="E78" s="47" t="s">
        <v>402</v>
      </c>
      <c r="F78" s="231" t="s">
        <v>306</v>
      </c>
      <c r="G78" s="142" t="s">
        <v>596</v>
      </c>
    </row>
    <row r="79" spans="1:7" ht="99" customHeight="1" x14ac:dyDescent="0.25">
      <c r="A79" s="614"/>
      <c r="B79" s="593"/>
      <c r="C79" s="584" t="s">
        <v>501</v>
      </c>
      <c r="D79" s="590" t="s">
        <v>31</v>
      </c>
      <c r="E79" s="160" t="s">
        <v>32</v>
      </c>
      <c r="F79" s="231" t="s">
        <v>572</v>
      </c>
      <c r="G79" s="142" t="s">
        <v>593</v>
      </c>
    </row>
    <row r="80" spans="1:7" ht="47.25" customHeight="1" x14ac:dyDescent="0.25">
      <c r="A80" s="614"/>
      <c r="B80" s="593"/>
      <c r="C80" s="584"/>
      <c r="D80" s="590"/>
      <c r="E80" s="47" t="s">
        <v>165</v>
      </c>
      <c r="F80" s="228" t="s">
        <v>573</v>
      </c>
      <c r="G80" s="159" t="s">
        <v>576</v>
      </c>
    </row>
    <row r="81" spans="1:7" ht="29.25" customHeight="1" x14ac:dyDescent="0.25">
      <c r="A81" s="614"/>
      <c r="B81" s="593"/>
      <c r="C81" s="584"/>
      <c r="D81" s="590"/>
      <c r="E81" s="47" t="s">
        <v>402</v>
      </c>
      <c r="F81" s="227" t="s">
        <v>574</v>
      </c>
      <c r="G81" s="158" t="s">
        <v>591</v>
      </c>
    </row>
    <row r="82" spans="1:7" ht="29.25" customHeight="1" x14ac:dyDescent="0.25">
      <c r="A82" s="614"/>
      <c r="B82" s="593"/>
      <c r="C82" s="584"/>
      <c r="D82" s="590"/>
      <c r="E82" s="151" t="s">
        <v>41</v>
      </c>
      <c r="F82" s="227" t="s">
        <v>575</v>
      </c>
      <c r="G82" s="158" t="s">
        <v>592</v>
      </c>
    </row>
    <row r="83" spans="1:7" ht="29.25" customHeight="1" x14ac:dyDescent="0.25">
      <c r="A83" s="610" t="s">
        <v>658</v>
      </c>
      <c r="B83" s="587" t="s">
        <v>658</v>
      </c>
      <c r="C83" s="587" t="s">
        <v>658</v>
      </c>
      <c r="D83" s="590" t="s">
        <v>31</v>
      </c>
      <c r="E83" s="618" t="s">
        <v>32</v>
      </c>
      <c r="F83" s="251" t="s">
        <v>660</v>
      </c>
      <c r="G83" s="182" t="s">
        <v>666</v>
      </c>
    </row>
    <row r="84" spans="1:7" ht="29.25" customHeight="1" x14ac:dyDescent="0.25">
      <c r="A84" s="610"/>
      <c r="B84" s="587"/>
      <c r="C84" s="587"/>
      <c r="D84" s="590"/>
      <c r="E84" s="619"/>
      <c r="F84" s="251" t="s">
        <v>661</v>
      </c>
      <c r="G84" s="182" t="s">
        <v>680</v>
      </c>
    </row>
    <row r="85" spans="1:7" ht="60.75" customHeight="1" x14ac:dyDescent="0.25">
      <c r="A85" s="610"/>
      <c r="B85" s="587"/>
      <c r="C85" s="587"/>
      <c r="D85" s="590"/>
      <c r="E85" s="620" t="s">
        <v>165</v>
      </c>
      <c r="F85" s="251" t="s">
        <v>662</v>
      </c>
      <c r="G85" s="182" t="s">
        <v>682</v>
      </c>
    </row>
    <row r="86" spans="1:7" ht="63" customHeight="1" x14ac:dyDescent="0.25">
      <c r="A86" s="610"/>
      <c r="B86" s="587"/>
      <c r="C86" s="587"/>
      <c r="D86" s="590"/>
      <c r="E86" s="620"/>
      <c r="F86" s="251" t="s">
        <v>663</v>
      </c>
      <c r="G86" s="182" t="s">
        <v>676</v>
      </c>
    </row>
    <row r="87" spans="1:7" ht="97.5" customHeight="1" x14ac:dyDescent="0.25">
      <c r="A87" s="610"/>
      <c r="B87" s="587"/>
      <c r="C87" s="587"/>
      <c r="D87" s="590"/>
      <c r="E87" s="252" t="s">
        <v>675</v>
      </c>
      <c r="F87" s="251" t="s">
        <v>672</v>
      </c>
      <c r="G87" s="182" t="s">
        <v>591</v>
      </c>
    </row>
    <row r="88" spans="1:7" ht="29.25" customHeight="1" x14ac:dyDescent="0.25">
      <c r="A88" s="610"/>
      <c r="B88" s="587"/>
      <c r="C88" s="587"/>
      <c r="D88" s="590"/>
      <c r="E88" s="252" t="s">
        <v>41</v>
      </c>
      <c r="F88" s="251" t="s">
        <v>674</v>
      </c>
      <c r="G88" s="182" t="s">
        <v>678</v>
      </c>
    </row>
    <row r="89" spans="1:7" x14ac:dyDescent="0.25">
      <c r="A89" s="609" t="s">
        <v>442</v>
      </c>
      <c r="B89" s="586" t="s">
        <v>443</v>
      </c>
      <c r="C89" s="586" t="s">
        <v>443</v>
      </c>
      <c r="D89" s="589" t="s">
        <v>31</v>
      </c>
      <c r="E89" s="248" t="s">
        <v>421</v>
      </c>
      <c r="F89" s="229" t="s">
        <v>312</v>
      </c>
      <c r="G89" s="249" t="s">
        <v>444</v>
      </c>
    </row>
    <row r="90" spans="1:7" ht="108" x14ac:dyDescent="0.25">
      <c r="A90" s="610"/>
      <c r="B90" s="587"/>
      <c r="C90" s="587"/>
      <c r="D90" s="590"/>
      <c r="E90" s="47" t="s">
        <v>32</v>
      </c>
      <c r="F90" s="231" t="s">
        <v>445</v>
      </c>
      <c r="G90" s="142" t="s">
        <v>446</v>
      </c>
    </row>
    <row r="91" spans="1:7" ht="96" x14ac:dyDescent="0.25">
      <c r="A91" s="610"/>
      <c r="B91" s="587"/>
      <c r="C91" s="587"/>
      <c r="D91" s="590"/>
      <c r="E91" s="47" t="s">
        <v>53</v>
      </c>
      <c r="F91" s="231" t="s">
        <v>447</v>
      </c>
      <c r="G91" s="142" t="s">
        <v>448</v>
      </c>
    </row>
    <row r="92" spans="1:7" x14ac:dyDescent="0.25">
      <c r="A92" s="610"/>
      <c r="B92" s="587"/>
      <c r="C92" s="587"/>
      <c r="D92" s="590"/>
      <c r="E92" s="47" t="s">
        <v>41</v>
      </c>
      <c r="F92" s="231" t="s">
        <v>346</v>
      </c>
      <c r="G92" s="142" t="s">
        <v>449</v>
      </c>
    </row>
    <row r="93" spans="1:7" ht="72.75" customHeight="1" x14ac:dyDescent="0.25">
      <c r="A93" s="610"/>
      <c r="B93" s="587"/>
      <c r="C93" s="587"/>
      <c r="D93" s="590"/>
      <c r="E93" s="47" t="s">
        <v>146</v>
      </c>
      <c r="F93" s="231" t="s">
        <v>450</v>
      </c>
      <c r="G93" s="142" t="s">
        <v>451</v>
      </c>
    </row>
    <row r="94" spans="1:7" ht="36" x14ac:dyDescent="0.25">
      <c r="A94" s="610"/>
      <c r="B94" s="587"/>
      <c r="C94" s="587"/>
      <c r="D94" s="591" t="s">
        <v>452</v>
      </c>
      <c r="E94" s="49" t="s">
        <v>421</v>
      </c>
      <c r="F94" s="231" t="s">
        <v>667</v>
      </c>
      <c r="G94" s="142" t="s">
        <v>668</v>
      </c>
    </row>
    <row r="95" spans="1:7" ht="75" x14ac:dyDescent="0.25">
      <c r="A95" s="610"/>
      <c r="B95" s="587"/>
      <c r="C95" s="587"/>
      <c r="D95" s="591"/>
      <c r="E95" s="47" t="s">
        <v>41</v>
      </c>
      <c r="F95" s="231" t="s">
        <v>669</v>
      </c>
      <c r="G95" s="142" t="s">
        <v>562</v>
      </c>
    </row>
    <row r="96" spans="1:7" ht="31.5" customHeight="1" x14ac:dyDescent="0.25">
      <c r="A96" s="610"/>
      <c r="B96" s="587"/>
      <c r="C96" s="587"/>
      <c r="D96" s="591"/>
      <c r="E96" s="47" t="s">
        <v>146</v>
      </c>
      <c r="F96" s="231" t="s">
        <v>671</v>
      </c>
      <c r="G96" s="142" t="s">
        <v>453</v>
      </c>
    </row>
    <row r="97" spans="1:7" ht="45.75" thickBot="1" x14ac:dyDescent="0.3">
      <c r="A97" s="611"/>
      <c r="B97" s="588"/>
      <c r="C97" s="588"/>
      <c r="D97" s="592"/>
      <c r="E97" s="143" t="s">
        <v>53</v>
      </c>
      <c r="F97" s="152" t="s">
        <v>670</v>
      </c>
      <c r="G97" s="150" t="s">
        <v>540</v>
      </c>
    </row>
    <row r="99" spans="1:7" x14ac:dyDescent="0.25">
      <c r="E99" s="50"/>
    </row>
    <row r="100" spans="1:7" x14ac:dyDescent="0.25">
      <c r="E100" s="50"/>
    </row>
    <row r="101" spans="1:7" x14ac:dyDescent="0.25">
      <c r="E101" s="50"/>
    </row>
    <row r="102" spans="1:7" x14ac:dyDescent="0.25">
      <c r="E102" s="50"/>
    </row>
    <row r="103" spans="1:7" x14ac:dyDescent="0.25">
      <c r="E103" s="50"/>
    </row>
    <row r="104" spans="1:7" x14ac:dyDescent="0.25">
      <c r="E104" s="50"/>
    </row>
    <row r="105" spans="1:7" x14ac:dyDescent="0.25">
      <c r="E105" s="50"/>
    </row>
    <row r="106" spans="1:7" x14ac:dyDescent="0.25">
      <c r="E106" s="50"/>
    </row>
    <row r="107" spans="1:7" x14ac:dyDescent="0.25">
      <c r="E107" s="50"/>
    </row>
    <row r="108" spans="1:7" x14ac:dyDescent="0.25">
      <c r="E108" s="50"/>
    </row>
    <row r="109" spans="1:7" x14ac:dyDescent="0.25">
      <c r="E109" s="50"/>
    </row>
    <row r="110" spans="1:7" x14ac:dyDescent="0.25">
      <c r="E110" s="50"/>
    </row>
    <row r="111" spans="1:7" x14ac:dyDescent="0.25">
      <c r="E111" s="50"/>
    </row>
    <row r="112" spans="1:7" x14ac:dyDescent="0.25">
      <c r="E112" s="50"/>
    </row>
    <row r="113" spans="5:5" x14ac:dyDescent="0.25">
      <c r="E113" s="50"/>
    </row>
    <row r="114" spans="5:5" x14ac:dyDescent="0.25">
      <c r="E114" s="50"/>
    </row>
    <row r="115" spans="5:5" x14ac:dyDescent="0.25">
      <c r="E115" s="50"/>
    </row>
    <row r="116" spans="5:5" x14ac:dyDescent="0.25">
      <c r="E116" s="50"/>
    </row>
    <row r="117" spans="5:5" x14ac:dyDescent="0.25">
      <c r="E117" s="50"/>
    </row>
    <row r="118" spans="5:5" x14ac:dyDescent="0.25">
      <c r="E118" s="50"/>
    </row>
    <row r="119" spans="5:5" x14ac:dyDescent="0.25">
      <c r="E119" s="50"/>
    </row>
    <row r="120" spans="5:5" x14ac:dyDescent="0.25">
      <c r="E120" s="50"/>
    </row>
    <row r="121" spans="5:5" x14ac:dyDescent="0.25">
      <c r="E121" s="50"/>
    </row>
    <row r="122" spans="5:5" x14ac:dyDescent="0.25">
      <c r="E122" s="50"/>
    </row>
    <row r="123" spans="5:5" x14ac:dyDescent="0.25">
      <c r="E123" s="50"/>
    </row>
    <row r="124" spans="5:5" x14ac:dyDescent="0.25">
      <c r="E124" s="50"/>
    </row>
    <row r="125" spans="5:5" x14ac:dyDescent="0.25">
      <c r="E125" s="50"/>
    </row>
    <row r="126" spans="5:5" x14ac:dyDescent="0.25">
      <c r="E126" s="50"/>
    </row>
    <row r="127" spans="5:5" x14ac:dyDescent="0.25">
      <c r="E127" s="50"/>
    </row>
    <row r="128" spans="5:5" x14ac:dyDescent="0.25">
      <c r="E128" s="50"/>
    </row>
    <row r="129" spans="5:5" x14ac:dyDescent="0.25">
      <c r="E129" s="50"/>
    </row>
    <row r="130" spans="5:5" x14ac:dyDescent="0.25">
      <c r="E130" s="50"/>
    </row>
    <row r="131" spans="5:5" x14ac:dyDescent="0.25">
      <c r="E131" s="50"/>
    </row>
    <row r="132" spans="5:5" x14ac:dyDescent="0.25">
      <c r="E132" s="50"/>
    </row>
    <row r="133" spans="5:5" x14ac:dyDescent="0.25">
      <c r="E133" s="50"/>
    </row>
    <row r="134" spans="5:5" x14ac:dyDescent="0.25">
      <c r="E134" s="50"/>
    </row>
    <row r="135" spans="5:5" x14ac:dyDescent="0.25">
      <c r="E135" s="50"/>
    </row>
    <row r="136" spans="5:5" x14ac:dyDescent="0.25">
      <c r="E136" s="50"/>
    </row>
    <row r="137" spans="5:5" x14ac:dyDescent="0.25">
      <c r="E137" s="50"/>
    </row>
  </sheetData>
  <autoFilter ref="A1:G97" xr:uid="{00000000-0009-0000-0000-000003000000}"/>
  <mergeCells count="64">
    <mergeCell ref="E83:E84"/>
    <mergeCell ref="E85:E86"/>
    <mergeCell ref="A2:A23"/>
    <mergeCell ref="B24:B32"/>
    <mergeCell ref="C17:C19"/>
    <mergeCell ref="C42:C45"/>
    <mergeCell ref="A59:A82"/>
    <mergeCell ref="B55:B58"/>
    <mergeCell ref="B61:B68"/>
    <mergeCell ref="B59:B60"/>
    <mergeCell ref="C59:C60"/>
    <mergeCell ref="B12:B23"/>
    <mergeCell ref="B2:B11"/>
    <mergeCell ref="D17:D19"/>
    <mergeCell ref="C20:C23"/>
    <mergeCell ref="D20:D23"/>
    <mergeCell ref="C12:C16"/>
    <mergeCell ref="D2:D6"/>
    <mergeCell ref="D7:D11"/>
    <mergeCell ref="C2:C6"/>
    <mergeCell ref="C7:C11"/>
    <mergeCell ref="D12:D16"/>
    <mergeCell ref="A89:A97"/>
    <mergeCell ref="A49:A58"/>
    <mergeCell ref="A24:A48"/>
    <mergeCell ref="C24:C27"/>
    <mergeCell ref="C51:C54"/>
    <mergeCell ref="C55:C58"/>
    <mergeCell ref="C49:C50"/>
    <mergeCell ref="A83:A88"/>
    <mergeCell ref="B83:B88"/>
    <mergeCell ref="C83:C88"/>
    <mergeCell ref="D59:D60"/>
    <mergeCell ref="D28:D31"/>
    <mergeCell ref="D25:D27"/>
    <mergeCell ref="C28:C31"/>
    <mergeCell ref="B33:B48"/>
    <mergeCell ref="D33:D38"/>
    <mergeCell ref="D39:D41"/>
    <mergeCell ref="D42:D45"/>
    <mergeCell ref="D46:D48"/>
    <mergeCell ref="C33:C38"/>
    <mergeCell ref="C39:C41"/>
    <mergeCell ref="C46:C48"/>
    <mergeCell ref="D55:D58"/>
    <mergeCell ref="B49:B54"/>
    <mergeCell ref="D49:D50"/>
    <mergeCell ref="D52:D54"/>
    <mergeCell ref="D61:D64"/>
    <mergeCell ref="D65:D68"/>
    <mergeCell ref="C61:C64"/>
    <mergeCell ref="C65:C68"/>
    <mergeCell ref="B89:B97"/>
    <mergeCell ref="C89:C97"/>
    <mergeCell ref="D89:D93"/>
    <mergeCell ref="D94:D97"/>
    <mergeCell ref="B69:B82"/>
    <mergeCell ref="D70:D72"/>
    <mergeCell ref="C70:C72"/>
    <mergeCell ref="C79:C82"/>
    <mergeCell ref="D79:D82"/>
    <mergeCell ref="C73:C78"/>
    <mergeCell ref="D73:D78"/>
    <mergeCell ref="D83:D88"/>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A11"/>
  <sheetViews>
    <sheetView workbookViewId="0">
      <selection activeCell="H33" sqref="H33"/>
    </sheetView>
  </sheetViews>
  <sheetFormatPr defaultColWidth="9.140625" defaultRowHeight="15" x14ac:dyDescent="0.25"/>
  <cols>
    <col min="1" max="1" width="21.140625" customWidth="1"/>
  </cols>
  <sheetData>
    <row r="2" spans="1:1" x14ac:dyDescent="0.25">
      <c r="A2" s="37" t="s">
        <v>373</v>
      </c>
    </row>
    <row r="3" spans="1:1" x14ac:dyDescent="0.25">
      <c r="A3" s="38" t="s">
        <v>196</v>
      </c>
    </row>
    <row r="4" spans="1:1" x14ac:dyDescent="0.25">
      <c r="A4" s="38" t="s">
        <v>32</v>
      </c>
    </row>
    <row r="5" spans="1:1" x14ac:dyDescent="0.25">
      <c r="A5" s="38" t="s">
        <v>41</v>
      </c>
    </row>
    <row r="6" spans="1:1" x14ac:dyDescent="0.25">
      <c r="A6" s="38" t="s">
        <v>45</v>
      </c>
    </row>
    <row r="7" spans="1:1" x14ac:dyDescent="0.25">
      <c r="A7" s="38" t="s">
        <v>49</v>
      </c>
    </row>
    <row r="8" spans="1:1" x14ac:dyDescent="0.25">
      <c r="A8" s="38" t="s">
        <v>53</v>
      </c>
    </row>
    <row r="9" spans="1:1" x14ac:dyDescent="0.25">
      <c r="A9" s="38" t="s">
        <v>165</v>
      </c>
    </row>
    <row r="10" spans="1:1" ht="24" x14ac:dyDescent="0.25">
      <c r="A10" s="38" t="s">
        <v>74</v>
      </c>
    </row>
    <row r="11" spans="1:1" x14ac:dyDescent="0.25">
      <c r="A11" s="38" t="s">
        <v>146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80"/>
  <sheetViews>
    <sheetView workbookViewId="0">
      <selection sqref="A1:A80"/>
    </sheetView>
  </sheetViews>
  <sheetFormatPr defaultColWidth="9.140625" defaultRowHeight="15" x14ac:dyDescent="0.25"/>
  <cols>
    <col min="1" max="1" width="144" customWidth="1"/>
  </cols>
  <sheetData>
    <row r="1" spans="1:1" x14ac:dyDescent="0.25">
      <c r="A1" s="624" t="s">
        <v>561</v>
      </c>
    </row>
    <row r="2" spans="1:1" x14ac:dyDescent="0.25">
      <c r="A2" s="625"/>
    </row>
    <row r="3" spans="1:1" x14ac:dyDescent="0.25">
      <c r="A3" s="625"/>
    </row>
    <row r="4" spans="1:1" x14ac:dyDescent="0.25">
      <c r="A4" s="625"/>
    </row>
    <row r="5" spans="1:1" x14ac:dyDescent="0.25">
      <c r="A5" s="625"/>
    </row>
    <row r="6" spans="1:1" x14ac:dyDescent="0.25">
      <c r="A6" s="625"/>
    </row>
    <row r="7" spans="1:1" x14ac:dyDescent="0.25">
      <c r="A7" s="625"/>
    </row>
    <row r="8" spans="1:1" x14ac:dyDescent="0.25">
      <c r="A8" s="625"/>
    </row>
    <row r="9" spans="1:1" x14ac:dyDescent="0.25">
      <c r="A9" s="625"/>
    </row>
    <row r="10" spans="1:1" x14ac:dyDescent="0.25">
      <c r="A10" s="625"/>
    </row>
    <row r="11" spans="1:1" x14ac:dyDescent="0.25">
      <c r="A11" s="625"/>
    </row>
    <row r="12" spans="1:1" x14ac:dyDescent="0.25">
      <c r="A12" s="625"/>
    </row>
    <row r="13" spans="1:1" x14ac:dyDescent="0.25">
      <c r="A13" s="625"/>
    </row>
    <row r="14" spans="1:1" x14ac:dyDescent="0.25">
      <c r="A14" s="625"/>
    </row>
    <row r="15" spans="1:1" x14ac:dyDescent="0.25">
      <c r="A15" s="625"/>
    </row>
    <row r="16" spans="1:1" x14ac:dyDescent="0.25">
      <c r="A16" s="625"/>
    </row>
    <row r="17" spans="1:1" x14ac:dyDescent="0.25">
      <c r="A17" s="625"/>
    </row>
    <row r="18" spans="1:1" x14ac:dyDescent="0.25">
      <c r="A18" s="625"/>
    </row>
    <row r="19" spans="1:1" x14ac:dyDescent="0.25">
      <c r="A19" s="625"/>
    </row>
    <row r="20" spans="1:1" x14ac:dyDescent="0.25">
      <c r="A20" s="625"/>
    </row>
    <row r="21" spans="1:1" x14ac:dyDescent="0.25">
      <c r="A21" s="625"/>
    </row>
    <row r="22" spans="1:1" x14ac:dyDescent="0.25">
      <c r="A22" s="625"/>
    </row>
    <row r="23" spans="1:1" x14ac:dyDescent="0.25">
      <c r="A23" s="625"/>
    </row>
    <row r="24" spans="1:1" x14ac:dyDescent="0.25">
      <c r="A24" s="625"/>
    </row>
    <row r="25" spans="1:1" x14ac:dyDescent="0.25">
      <c r="A25" s="625"/>
    </row>
    <row r="26" spans="1:1" x14ac:dyDescent="0.25">
      <c r="A26" s="625"/>
    </row>
    <row r="27" spans="1:1" x14ac:dyDescent="0.25">
      <c r="A27" s="625"/>
    </row>
    <row r="28" spans="1:1" x14ac:dyDescent="0.25">
      <c r="A28" s="625"/>
    </row>
    <row r="29" spans="1:1" x14ac:dyDescent="0.25">
      <c r="A29" s="625"/>
    </row>
    <row r="30" spans="1:1" x14ac:dyDescent="0.25">
      <c r="A30" s="625"/>
    </row>
    <row r="31" spans="1:1" x14ac:dyDescent="0.25">
      <c r="A31" s="625"/>
    </row>
    <row r="32" spans="1:1" x14ac:dyDescent="0.25">
      <c r="A32" s="625"/>
    </row>
    <row r="33" spans="1:1" x14ac:dyDescent="0.25">
      <c r="A33" s="625"/>
    </row>
    <row r="34" spans="1:1" x14ac:dyDescent="0.25">
      <c r="A34" s="625"/>
    </row>
    <row r="35" spans="1:1" x14ac:dyDescent="0.25">
      <c r="A35" s="625"/>
    </row>
    <row r="36" spans="1:1" x14ac:dyDescent="0.25">
      <c r="A36" s="625"/>
    </row>
    <row r="37" spans="1:1" x14ac:dyDescent="0.25">
      <c r="A37" s="625"/>
    </row>
    <row r="38" spans="1:1" x14ac:dyDescent="0.25">
      <c r="A38" s="625"/>
    </row>
    <row r="39" spans="1:1" x14ac:dyDescent="0.25">
      <c r="A39" s="625"/>
    </row>
    <row r="40" spans="1:1" x14ac:dyDescent="0.25">
      <c r="A40" s="625"/>
    </row>
    <row r="41" spans="1:1" x14ac:dyDescent="0.25">
      <c r="A41" s="625"/>
    </row>
    <row r="42" spans="1:1" x14ac:dyDescent="0.25">
      <c r="A42" s="625"/>
    </row>
    <row r="43" spans="1:1" x14ac:dyDescent="0.25">
      <c r="A43" s="625"/>
    </row>
    <row r="44" spans="1:1" x14ac:dyDescent="0.25">
      <c r="A44" s="625"/>
    </row>
    <row r="45" spans="1:1" x14ac:dyDescent="0.25">
      <c r="A45" s="625"/>
    </row>
    <row r="46" spans="1:1" x14ac:dyDescent="0.25">
      <c r="A46" s="625"/>
    </row>
    <row r="47" spans="1:1" x14ac:dyDescent="0.25">
      <c r="A47" s="625"/>
    </row>
    <row r="48" spans="1:1" x14ac:dyDescent="0.25">
      <c r="A48" s="625"/>
    </row>
    <row r="49" spans="1:1" x14ac:dyDescent="0.25">
      <c r="A49" s="625"/>
    </row>
    <row r="50" spans="1:1" x14ac:dyDescent="0.25">
      <c r="A50" s="625"/>
    </row>
    <row r="51" spans="1:1" x14ac:dyDescent="0.25">
      <c r="A51" s="625"/>
    </row>
    <row r="52" spans="1:1" x14ac:dyDescent="0.25">
      <c r="A52" s="625"/>
    </row>
    <row r="53" spans="1:1" x14ac:dyDescent="0.25">
      <c r="A53" s="625"/>
    </row>
    <row r="54" spans="1:1" x14ac:dyDescent="0.25">
      <c r="A54" s="625"/>
    </row>
    <row r="55" spans="1:1" x14ac:dyDescent="0.25">
      <c r="A55" s="625"/>
    </row>
    <row r="56" spans="1:1" x14ac:dyDescent="0.25">
      <c r="A56" s="625"/>
    </row>
    <row r="57" spans="1:1" x14ac:dyDescent="0.25">
      <c r="A57" s="625"/>
    </row>
    <row r="58" spans="1:1" x14ac:dyDescent="0.25">
      <c r="A58" s="625"/>
    </row>
    <row r="59" spans="1:1" x14ac:dyDescent="0.25">
      <c r="A59" s="625"/>
    </row>
    <row r="60" spans="1:1" x14ac:dyDescent="0.25">
      <c r="A60" s="625"/>
    </row>
    <row r="61" spans="1:1" x14ac:dyDescent="0.25">
      <c r="A61" s="625"/>
    </row>
    <row r="62" spans="1:1" x14ac:dyDescent="0.25">
      <c r="A62" s="625"/>
    </row>
    <row r="63" spans="1:1" x14ac:dyDescent="0.25">
      <c r="A63" s="625"/>
    </row>
    <row r="64" spans="1:1" x14ac:dyDescent="0.25">
      <c r="A64" s="625"/>
    </row>
    <row r="65" spans="1:1" x14ac:dyDescent="0.25">
      <c r="A65" s="625"/>
    </row>
    <row r="66" spans="1:1" x14ac:dyDescent="0.25">
      <c r="A66" s="625"/>
    </row>
    <row r="67" spans="1:1" x14ac:dyDescent="0.25">
      <c r="A67" s="625"/>
    </row>
    <row r="68" spans="1:1" x14ac:dyDescent="0.25">
      <c r="A68" s="625"/>
    </row>
    <row r="69" spans="1:1" x14ac:dyDescent="0.25">
      <c r="A69" s="625"/>
    </row>
    <row r="70" spans="1:1" x14ac:dyDescent="0.25">
      <c r="A70" s="625"/>
    </row>
    <row r="71" spans="1:1" x14ac:dyDescent="0.25">
      <c r="A71" s="625"/>
    </row>
    <row r="72" spans="1:1" x14ac:dyDescent="0.25">
      <c r="A72" s="625"/>
    </row>
    <row r="73" spans="1:1" x14ac:dyDescent="0.25">
      <c r="A73" s="625"/>
    </row>
    <row r="74" spans="1:1" x14ac:dyDescent="0.25">
      <c r="A74" s="625"/>
    </row>
    <row r="75" spans="1:1" x14ac:dyDescent="0.25">
      <c r="A75" s="625"/>
    </row>
    <row r="76" spans="1:1" x14ac:dyDescent="0.25">
      <c r="A76" s="625"/>
    </row>
    <row r="77" spans="1:1" x14ac:dyDescent="0.25">
      <c r="A77" s="625"/>
    </row>
    <row r="78" spans="1:1" x14ac:dyDescent="0.25">
      <c r="A78" s="625"/>
    </row>
    <row r="79" spans="1:1" x14ac:dyDescent="0.25">
      <c r="A79" s="625"/>
    </row>
    <row r="80" spans="1:1" x14ac:dyDescent="0.25">
      <c r="A80" s="625"/>
    </row>
  </sheetData>
  <mergeCells count="1">
    <mergeCell ref="A1:A80"/>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18" ma:contentTypeDescription="Create a new document." ma:contentTypeScope="" ma:versionID="495cd79217b99afa72b9ee5eaa6991a8">
  <xsd:schema xmlns:xsd="http://www.w3.org/2001/XMLSchema" xmlns:xs="http://www.w3.org/2001/XMLSchema" xmlns:p="http://schemas.microsoft.com/office/2006/metadata/properties" xmlns:ns2="366ae72f-6d51-4737-8f6b-a9169c366b64" xmlns:ns3="a3cd7b71-671d-4139-9a97-5d1a7380fae4" xmlns:ns4="50c9b839-8b53-4ddb-9b24-b96221f2bda6" targetNamespace="http://schemas.microsoft.com/office/2006/metadata/properties" ma:root="true" ma:fieldsID="163074be616c017a06b81a72cc3842b3" ns2:_="" ns3:_="" ns4:_="">
    <xsd:import namespace="366ae72f-6d51-4737-8f6b-a9169c366b64"/>
    <xsd:import namespace="a3cd7b71-671d-4139-9a97-5d1a7380fae4"/>
    <xsd:import namespace="50c9b839-8b53-4ddb-9b24-b96221f2bda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c9b839-8b53-4ddb-9b24-b96221f2bda6" elementFormDefault="qualified">
    <xsd:import namespace="http://schemas.microsoft.com/office/2006/documentManagement/types"/>
    <xsd:import namespace="http://schemas.microsoft.com/office/infopath/2007/PartnerControls"/>
    <xsd:element name="TaxCatchAll" ma:index="25" nillable="true" ma:displayName="Taxonomy Catch All Column" ma:hidden="true" ma:list="{5fd50e79-fa69-4ed5-b0f8-bdacc103d93a}" ma:internalName="TaxCatchAll" ma:showField="CatchAllData" ma:web="a3cd7b71-671d-4139-9a97-5d1a7380f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66ae72f-6d51-4737-8f6b-a9169c366b64">
      <Terms xmlns="http://schemas.microsoft.com/office/infopath/2007/PartnerControls"/>
    </lcf76f155ced4ddcb4097134ff3c332f>
    <TaxCatchAll xmlns="50c9b839-8b53-4ddb-9b24-b96221f2bda6" xsi:nil="true"/>
    <remarks xmlns="366ae72f-6d51-4737-8f6b-a9169c366b64" xsi:nil="true"/>
    <file_x0020_ xmlns="366ae72f-6d51-4737-8f6b-a9169c366b6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4C1C2AC-23C0-4066-9E9B-224E554B6461}"/>
</file>

<file path=customXml/itemProps2.xml><?xml version="1.0" encoding="utf-8"?>
<ds:datastoreItem xmlns:ds="http://schemas.openxmlformats.org/officeDocument/2006/customXml" ds:itemID="{3CDBF502-2CD6-4E1B-BFBC-7592BB431382}">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d38918b7-fa4d-4b3f-b012-7af5f3a1fb17"/>
    <ds:schemaRef ds:uri="d95c885b-d858-4647-8e4a-9c5fc42afe22"/>
    <ds:schemaRef ds:uri="http://www.w3.org/XML/1998/namespace"/>
    <ds:schemaRef ds:uri="http://purl.org/dc/dcmitype/"/>
  </ds:schemaRefs>
</ds:datastoreItem>
</file>

<file path=customXml/itemProps3.xml><?xml version="1.0" encoding="utf-8"?>
<ds:datastoreItem xmlns:ds="http://schemas.openxmlformats.org/officeDocument/2006/customXml" ds:itemID="{38A81FBB-6CD5-4E8F-8EE9-C3BFF3EC550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DETAILED BUDGET PLAN</vt:lpstr>
      <vt:lpstr>Per category</vt:lpstr>
      <vt:lpstr>Component-year</vt:lpstr>
      <vt:lpstr>Budget Notes</vt:lpstr>
      <vt:lpstr>categories</vt:lpstr>
      <vt:lpstr>TOR-P3 staff</vt:lpstr>
      <vt:lpstr>'Budget Notes'!_ftnref1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FAO Bolivia</dc:creator>
  <cp:keywords/>
  <dc:description/>
  <cp:lastModifiedBy>HinojosaRamos, Sergio (OCBD)</cp:lastModifiedBy>
  <cp:revision/>
  <dcterms:created xsi:type="dcterms:W3CDTF">2022-04-01T02:23:48Z</dcterms:created>
  <dcterms:modified xsi:type="dcterms:W3CDTF">2023-02-08T09:41:19Z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ies>
</file>