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31"/>
  <workbookPr updateLinks="never" defaultThemeVersion="166925"/>
  <mc:AlternateContent xmlns:mc="http://schemas.openxmlformats.org/markup-compatibility/2006">
    <mc:Choice Requires="x15">
      <x15ac:absPath xmlns:x15ac="http://schemas.microsoft.com/office/spreadsheetml/2010/11/ac" url="G:\Il mio Drive\LAVORO\UN &amp; INTERNATIONAL ORG\FAO\CAMBODIA_PEARL_2021-22\MY WORK\EFA CAMBODIA REVISION_6-4-22\"/>
    </mc:Choice>
  </mc:AlternateContent>
  <xr:revisionPtr revIDLastSave="0" documentId="13_ncr:1_{EF323D57-5D17-431C-96A2-6EF1CBA11B21}" xr6:coauthVersionLast="47" xr6:coauthVersionMax="47" xr10:uidLastSave="{00000000-0000-0000-0000-000000000000}"/>
  <bookViews>
    <workbookView xWindow="-110" yWindow="-110" windowWidth="19420" windowHeight="10420" tabRatio="924" firstSheet="2" activeTab="2" xr2:uid="{8560CFA8-AD1E-497E-8CA2-9A9468A36178}"/>
  </bookViews>
  <sheets>
    <sheet name="ToC" sheetId="70" r:id="rId1"/>
    <sheet name="CF" sheetId="24" r:id="rId2"/>
    <sheet name=" EIRR-NPV" sheetId="72" r:id="rId3"/>
    <sheet name="COSTS" sheetId="73" r:id="rId4"/>
    <sheet name="BENEFITS" sheetId="75" r:id="rId5"/>
    <sheet name="Summary_models" sheetId="79" r:id="rId6"/>
    <sheet name="RiceAromatic" sheetId="80" r:id="rId7"/>
    <sheet name="Rice-non aromatic" sheetId="81" r:id="rId8"/>
    <sheet name="Mango" sheetId="82" r:id="rId9"/>
    <sheet name="Cashewnut" sheetId="83" r:id="rId10"/>
    <sheet name="Longbean" sheetId="85" r:id="rId11"/>
    <sheet name="WaterConvolvulus" sheetId="84" r:id="rId12"/>
    <sheet name="Snake gourd" sheetId="86" r:id="rId13"/>
    <sheet name="Mungbean" sheetId="87" r:id="rId14"/>
    <sheet name="Maize" sheetId="88" r:id="rId15"/>
    <sheet name="Soybeans" sheetId="89" r:id="rId16"/>
    <sheet name="Cassava" sheetId="91" r:id="rId17"/>
    <sheet name="SweetPotato" sheetId="90" r:id="rId18"/>
    <sheet name="Peanut" sheetId="92" r:id="rId19"/>
  </sheets>
  <externalReferences>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s>
  <definedNames>
    <definedName name="\A" localSheetId="5">#REF!</definedName>
    <definedName name="\A">#REF!</definedName>
    <definedName name="\INC15" localSheetId="5">#REF!</definedName>
    <definedName name="\INC15">#REF!</definedName>
    <definedName name="__123Graph_DMACOA" localSheetId="2" hidden="1">'[1]16 MaCost'!#REF!</definedName>
    <definedName name="__123Graph_DMACOA" localSheetId="5" hidden="1">'[1]16 MaCost'!#REF!</definedName>
    <definedName name="__123Graph_DMACOA" hidden="1">'[1]16 MaCost'!#REF!</definedName>
    <definedName name="__123Graph_DMAKOGR" localSheetId="2" hidden="1">'[1]16 MaCost'!#REF!</definedName>
    <definedName name="__123Graph_DMAKOGR" localSheetId="5" hidden="1">'[1]16 MaCost'!#REF!</definedName>
    <definedName name="__123Graph_DMAKOGR" hidden="1">'[1]16 MaCost'!#REF!</definedName>
    <definedName name="_Fill" localSheetId="2" hidden="1">'[1]16 MaCost'!#REF!</definedName>
    <definedName name="_Fill" localSheetId="5" hidden="1">'[1]16 MaCost'!#REF!</definedName>
    <definedName name="_Fill" hidden="1">'[1]16 MaCost'!#REF!</definedName>
    <definedName name="_Table1_Out" localSheetId="2" hidden="1">'[1]16 MaCost'!#REF!</definedName>
    <definedName name="_Table1_Out" localSheetId="5" hidden="1">'[1]16 MaCost'!#REF!</definedName>
    <definedName name="_Table1_Out" hidden="1">'[1]16 MaCost'!#REF!</definedName>
    <definedName name="A1r42" localSheetId="5">#REF!</definedName>
    <definedName name="A1r42">#REF!</definedName>
    <definedName name="adj" localSheetId="5">#REF!</definedName>
    <definedName name="adj">#REF!</definedName>
    <definedName name="AI" localSheetId="5">'[2]WP-2-Ap 1-Prices'!#REF!</definedName>
    <definedName name="AI">'[2]WP-2-Ap 1-Prices'!#REF!</definedName>
    <definedName name="alfalfa" localSheetId="5">'[2]WP-2-Ap 1-Prices'!#REF!</definedName>
    <definedName name="alfalfa">'[2]WP-2-Ap 1-Prices'!#REF!</definedName>
    <definedName name="AN" localSheetId="5">'[2]WP-2-Ap 1-Prices'!#REF!</definedName>
    <definedName name="AN">'[2]WP-2-Ap 1-Prices'!#REF!</definedName>
    <definedName name="anscount" hidden="1">9</definedName>
    <definedName name="api_irr" localSheetId="5">#REF!</definedName>
    <definedName name="api_irr">#REF!</definedName>
    <definedName name="appleprice" localSheetId="5">'[2]WP-2-Ap 1-Prices'!#REF!</definedName>
    <definedName name="appleprice">'[2]WP-2-Ap 1-Prices'!#REF!</definedName>
    <definedName name="appleseedling">'[2]WP-2-Ap 1-Prices'!$F$28</definedName>
    <definedName name="asfalt" localSheetId="5">'[2]WP-2-Ap 1-Prices'!#REF!</definedName>
    <definedName name="asfalt">'[2]WP-2-Ap 1-Prices'!#REF!</definedName>
    <definedName name="average_irr" localSheetId="5">#REF!</definedName>
    <definedName name="average_irr">#REF!</definedName>
    <definedName name="bag">'[2]WP-2-Ap 1-Prices'!$F$62</definedName>
    <definedName name="banq">#N/A</definedName>
    <definedName name="banq_an1">#N/A</definedName>
    <definedName name="barleygrain" localSheetId="5">'[2]WP-2-Ap 1-Prices'!#REF!</definedName>
    <definedName name="barleygrain">'[2]WP-2-Ap 1-Prices'!#REF!</definedName>
    <definedName name="beef" localSheetId="5">'[2]WP-2-Ap 1-Prices'!#REF!</definedName>
    <definedName name="beef">'[2]WP-2-Ap 1-Prices'!#REF!</definedName>
    <definedName name="Beg_Bal" localSheetId="5">#REF!</definedName>
    <definedName name="Beg_Bal">#REF!</definedName>
    <definedName name="Beg_Bal2" localSheetId="5">#REF!</definedName>
    <definedName name="Beg_Bal2">#REF!</definedName>
    <definedName name="bottle" localSheetId="5">'[2]WP-2-Ap 1-Prices'!#REF!</definedName>
    <definedName name="bottle">'[2]WP-2-Ap 1-Prices'!#REF!</definedName>
    <definedName name="bottle1lt" localSheetId="5">'[2]WP-2-Ap 1-Prices'!#REF!</definedName>
    <definedName name="bottle1lt">'[2]WP-2-Ap 1-Prices'!#REF!</definedName>
    <definedName name="bottlebox">'[2]WP-2-Ap 1-Prices'!#REF!</definedName>
    <definedName name="budsticks">'[2]WP-2-Ap 1-Prices'!#REF!</definedName>
    <definedName name="butter">'[2]WP-2-Ap 1-Prices'!#REF!</definedName>
    <definedName name="calf">'[2]WP-2-Ap 1-Prices'!#REF!</definedName>
    <definedName name="Catle_Revenue" localSheetId="5">#REF!</definedName>
    <definedName name="Catle_Revenue">#REF!</definedName>
    <definedName name="Cattle_Operating" localSheetId="5">#REF!</definedName>
    <definedName name="Cattle_Operating">#REF!</definedName>
    <definedName name="cattleOM" localSheetId="5">'[2]WP-2-Ap 1-Prices'!#REF!</definedName>
    <definedName name="cattleOM">'[2]WP-2-Ap 1-Prices'!#REF!</definedName>
    <definedName name="CC" localSheetId="5">'[2]WP-2-Ap 1-Prices'!#REF!</definedName>
    <definedName name="CC">'[2]WP-2-Ap 1-Prices'!#REF!</definedName>
    <definedName name="CF">'[3]Annex 1 Fin and Economic Prices'!$C$6</definedName>
    <definedName name="change">'[4]6. Pink Sheet nov 08'!#REF!</definedName>
    <definedName name="change_bene" localSheetId="5">#REF!</definedName>
    <definedName name="change_bene">#REF!</definedName>
    <definedName name="change_fishprogramme_cost" localSheetId="5">#REF!</definedName>
    <definedName name="change_fishprogramme_cost">#REF!</definedName>
    <definedName name="change_project_cost" localSheetId="5">#REF!</definedName>
    <definedName name="change_project_cost">#REF!</definedName>
    <definedName name="cheese" localSheetId="5">'[2]WP-2-Ap 1-Prices'!#REF!</definedName>
    <definedName name="cheese">'[2]WP-2-Ap 1-Prices'!#REF!</definedName>
    <definedName name="cheesecointaner" localSheetId="5">'[2]WP-2-Ap 1-Prices'!#REF!</definedName>
    <definedName name="cheesecointaner">'[2]WP-2-Ap 1-Prices'!#REF!</definedName>
    <definedName name="Chemical" localSheetId="5">'[2]WP-2-Ap 1-Prices'!#REF!</definedName>
    <definedName name="Chemical">'[2]WP-2-Ap 1-Prices'!#REF!</definedName>
    <definedName name="climate">'[5]1.Description'!$Q$10</definedName>
    <definedName name="corks" localSheetId="5">'[2]WP-2-Ap 1-Prices'!#REF!</definedName>
    <definedName name="corks">'[2]WP-2-Ap 1-Prices'!#REF!</definedName>
    <definedName name="cowincalf">'[2]WP-2-Ap 1-Prices'!#REF!</definedName>
    <definedName name="cucumber">'[3]Annex 1 Fin and Economic Prices'!#REF!</definedName>
    <definedName name="culled">'[2]WP-2-Ap 1-Prices'!#REF!</definedName>
    <definedName name="Cult">'[2]WP-2-Ap 1-Prices'!$F$25</definedName>
    <definedName name="cultivation" localSheetId="5">'[2]WP-2-Ap 1-Prices'!#REF!</definedName>
    <definedName name="cultivation">'[2]WP-2-Ap 1-Prices'!#REF!</definedName>
    <definedName name="curds" localSheetId="5">'[2]WP-2-Ap 1-Prices'!#REF!</definedName>
    <definedName name="curds">'[2]WP-2-Ap 1-Prices'!#REF!</definedName>
    <definedName name="cutivatingCereal" localSheetId="5">'[2]WP-2-Ap 1-Prices'!#REF!</definedName>
    <definedName name="cutivatingCereal">'[2]WP-2-Ap 1-Prices'!#REF!</definedName>
    <definedName name="DAP" localSheetId="5">'[2]WP-2-Ap 1-Prices'!#REF!</definedName>
    <definedName name="DAP">'[2]WP-2-Ap 1-Prices'!#REF!</definedName>
    <definedName name="dd" localSheetId="5">#REF!</definedName>
    <definedName name="dd">#REF!</definedName>
    <definedName name="ddddd" localSheetId="5">#REF!</definedName>
    <definedName name="ddddd">#REF!</definedName>
    <definedName name="debt_per" localSheetId="5">#REF!</definedName>
    <definedName name="debt_per">#REF!</definedName>
    <definedName name="dfg" localSheetId="5">'[6]Common Data'!#REF!</definedName>
    <definedName name="dfg">'[6]Common Data'!#REF!</definedName>
    <definedName name="digging">'[2]WP-2-Ap 1-Prices'!$F$26</definedName>
    <definedName name="discing" localSheetId="5">'[2]WP-2-Ap 1-Prices'!#REF!</definedName>
    <definedName name="discing">'[2]WP-2-Ap 1-Prices'!#REF!</definedName>
    <definedName name="douar_an1">#N/A</definedName>
    <definedName name="douar_an2">#N/A</definedName>
    <definedName name="douar_an3">#N/A</definedName>
    <definedName name="douar_an4">#N/A</definedName>
    <definedName name="douar_an5">#N/A</definedName>
    <definedName name="douar_an6">#N/A</definedName>
    <definedName name="Dram" localSheetId="5">#REF!</definedName>
    <definedName name="Dram">#REF!</definedName>
    <definedName name="drilling" localSheetId="5">'[2]WP-2-Ap 1-Prices'!#REF!</definedName>
    <definedName name="drilling">'[2]WP-2-Ap 1-Prices'!#REF!</definedName>
    <definedName name="dripfertigation" localSheetId="5">'[2]WP-2-Ap 1-Prices'!#REF!</definedName>
    <definedName name="dripfertigation">'[2]WP-2-Ap 1-Prices'!#REF!</definedName>
    <definedName name="electricity" localSheetId="5">#REF!</definedName>
    <definedName name="electricity">#REF!</definedName>
    <definedName name="End_Bal">'[7]Loan Amortization Schedule'!$I$18:$I$377</definedName>
    <definedName name="energy_adj" localSheetId="5">#REF!</definedName>
    <definedName name="energy_adj">#REF!</definedName>
    <definedName name="equation">INDEX(([5]!TabBoreal[Boreal],[5]!Tabcooltemp[Cool Temperate],[5]!TabTrop[Tropical],[5]!TabTrMon[Tropical Montane],[5]!TabWarm[Warm Temperate]),,,MATCH(climate, [5]list!$F$21:$J$21,0))</definedName>
    <definedName name="equity_per" localSheetId="5">#REF!</definedName>
    <definedName name="equity_per">#REF!</definedName>
    <definedName name="erwwr">'[8]Oil Mill - New'!$C$82</definedName>
    <definedName name="exchangerate">'[2]WP-2-Ap 1-Prices'!$E$5</definedName>
    <definedName name="exrate">'[3]Annex 1 Fin and Economic Prices'!$C$5</definedName>
    <definedName name="Extra_Pay" localSheetId="5">#REF!</definedName>
    <definedName name="Extra_Pay">#REF!</definedName>
    <definedName name="Extra_Pay2" localSheetId="5">#REF!</definedName>
    <definedName name="Extra_Pay2">#REF!</definedName>
    <definedName name="familylabour">'[2]WP-2-Ap 1-Prices'!$F$69</definedName>
    <definedName name="Fert">'[2]WP-2-Ap 1-Prices'!$F$29</definedName>
    <definedName name="fertilising" localSheetId="5">'[2]WP-2-Ap 1-Prices'!#REF!</definedName>
    <definedName name="fertilising">'[2]WP-2-Ap 1-Prices'!#REF!</definedName>
    <definedName name="fertilizer">'[2]WP-2-Ap 1-Prices'!$F$46</definedName>
    <definedName name="Fish_bene" localSheetId="5">#REF!</definedName>
    <definedName name="Fish_bene">#REF!</definedName>
    <definedName name="Flood">[9]ASMP!$C$15</definedName>
    <definedName name="FMan">[10]base!$C$30</definedName>
    <definedName name="fruit_irr" localSheetId="5">'[11]NS Processing'!#REF!</definedName>
    <definedName name="fruit_irr">'[11]NS Processing'!#REF!</definedName>
    <definedName name="FXdollar" localSheetId="5">#REF!</definedName>
    <definedName name="FXdollar">#REF!</definedName>
    <definedName name="FXUSD" localSheetId="5">#REF!</definedName>
    <definedName name="FXUSD">#REF!</definedName>
    <definedName name="grant_per" localSheetId="5">#REF!</definedName>
    <definedName name="grant_per">#REF!</definedName>
    <definedName name="grape" localSheetId="5">'[3]Annex 1 Fin and Economic Prices'!#REF!</definedName>
    <definedName name="grape">'[3]Annex 1 Fin and Economic Prices'!#REF!</definedName>
    <definedName name="grapes" localSheetId="5">'[2]WP-2-Ap 1-Prices'!#REF!</definedName>
    <definedName name="grapes">'[2]WP-2-Ap 1-Prices'!#REF!</definedName>
    <definedName name="gravel" localSheetId="5">'[2]WP-2-Ap 1-Prices'!#REF!</definedName>
    <definedName name="gravel">'[2]WP-2-Ap 1-Prices'!#REF!</definedName>
    <definedName name="GVT" localSheetId="5">#REF!</definedName>
    <definedName name="GVT">#REF!</definedName>
    <definedName name="harvestingcereal" localSheetId="5">'[2]WP-2-Ap 1-Prices'!#REF!</definedName>
    <definedName name="harvestingcereal">'[2]WP-2-Ap 1-Prices'!#REF!</definedName>
    <definedName name="hay" localSheetId="5">'[2]WP-2-Ap 1-Prices'!#REF!</definedName>
    <definedName name="hay">'[2]WP-2-Ap 1-Prices'!#REF!</definedName>
    <definedName name="haycrop" localSheetId="5">'[2]WP-2-Ap 1-Prices'!#REF!</definedName>
    <definedName name="haycrop">'[2]WP-2-Ap 1-Prices'!#REF!</definedName>
    <definedName name="head" localSheetId="5">#REF!</definedName>
    <definedName name="head">#REF!</definedName>
    <definedName name="Header_Row">ROW('[7]Loan Amortization Schedule'!$A$17:$IV$17)</definedName>
    <definedName name="Herbicides" localSheetId="5">'[2]WP-2-Ap 1-Prices'!#REF!</definedName>
    <definedName name="Herbicides">'[2]WP-2-Ap 1-Prices'!#REF!</definedName>
    <definedName name="hired_labour">'[3]Annex 1 Fin and Economic Prices'!$D$84</definedName>
    <definedName name="Hiredcow" localSheetId="5">'[12]App 1 Financial Prices'!#REF!</definedName>
    <definedName name="Hiredcow">'[12]App 1 Financial Prices'!#REF!</definedName>
    <definedName name="hiredcows" localSheetId="5">'[2]WP-2-Ap 1-Prices'!#REF!</definedName>
    <definedName name="hiredcows">'[2]WP-2-Ap 1-Prices'!#REF!</definedName>
    <definedName name="hiredlabour">'[2]WP-2-Ap 1-Prices'!$F$70</definedName>
    <definedName name="honanim" localSheetId="5">'[13]5-12 formationCU'!#REF!</definedName>
    <definedName name="honanim">'[13]5-12 formationCU'!#REF!</definedName>
    <definedName name="honcons">'[14]3-9 C.U.'!$C$23</definedName>
    <definedName name="hongest" localSheetId="5">#REF!</definedName>
    <definedName name="hongest">#REF!</definedName>
    <definedName name="honmaitre" localSheetId="5">#REF!</definedName>
    <definedName name="honmaitre">#REF!</definedName>
    <definedName name="Hortocultivation" localSheetId="5">'[2]WP-2-Ap 1-Prices'!#REF!</definedName>
    <definedName name="Hortocultivation">'[2]WP-2-Ap 1-Prices'!#REF!</definedName>
    <definedName name="Hortospray" localSheetId="5">'[2]WP-2-Ap 1-Prices'!#REF!</definedName>
    <definedName name="Hortospray">'[2]WP-2-Ap 1-Prices'!#REF!</definedName>
    <definedName name="i">'[11]NS Processing'!#REF!</definedName>
    <definedName name="Incremental" localSheetId="5">#REF!</definedName>
    <definedName name="Incremental">#REF!</definedName>
    <definedName name="Insect" localSheetId="5">'[2]WP-2-Ap 1-Prices'!#REF!</definedName>
    <definedName name="Insect">'[2]WP-2-Ap 1-Prices'!#REF!</definedName>
    <definedName name="Insectisides">'[2]WP-2-Ap 1-Prices'!#REF!</definedName>
    <definedName name="Int" localSheetId="5">#REF!</definedName>
    <definedName name="Int">#REF!</definedName>
    <definedName name="Int_A" localSheetId="5">#REF!</definedName>
    <definedName name="Int_A">#REF!</definedName>
    <definedName name="intercrop.vegetables" localSheetId="5">'[2]WP-2-Ap 1-Prices'!#REF!</definedName>
    <definedName name="intercrop.vegetables">'[2]WP-2-Ap 1-Prices'!#REF!</definedName>
    <definedName name="interest" localSheetId="5">#REF!</definedName>
    <definedName name="interest">#REF!</definedName>
    <definedName name="Interest_Rate">'[7]Loan Amortization Schedule'!$D$6</definedName>
    <definedName name="irr" localSheetId="5">#REF!</definedName>
    <definedName name="irr">#REF!</definedName>
    <definedName name="Irrgravity" localSheetId="5">'[2]WP-2-Ap 1-Prices'!#REF!</definedName>
    <definedName name="Irrgravity">'[2]WP-2-Ap 1-Prices'!#REF!</definedName>
    <definedName name="irrigationfee" localSheetId="5">'[2]WP-2-Ap 1-Prices'!#REF!</definedName>
    <definedName name="irrigationfee">'[2]WP-2-Ap 1-Prices'!#REF!</definedName>
    <definedName name="irrigationfurrow">'[2]WP-2-Ap 1-Prices'!#REF!</definedName>
    <definedName name="IrrigationWG">'[2]WP-2-Ap 1-Prices'!#REF!</definedName>
    <definedName name="kWh">'[2]WP-2-Ap 1-Prices'!$F$60</definedName>
    <definedName name="labormonth">'[2]WP-2-Ap 1-Prices'!$F$71</definedName>
    <definedName name="Last_Row" localSheetId="5">#N/A</definedName>
    <definedName name="Last_Row">IF([0]!Values_Entered,Header_Row+[0]!Number_of_Payments,Header_Row)</definedName>
    <definedName name="last_Row1" localSheetId="5">#N/A</definedName>
    <definedName name="last_Row1">IF([0]!Values_Entered,Header_Row+[0]!Number_of_Payments,Header_Row)</definedName>
    <definedName name="Last_Row9" localSheetId="5">#N/A</definedName>
    <definedName name="Last_Row9">IF([0]!Values_Entered7,Header_Row+[0]!Number_of_Payments2,Header_Row)</definedName>
    <definedName name="limcount" hidden="1">5</definedName>
    <definedName name="Lime" localSheetId="2">'[2]WP-2-Ap 1-Prices'!#REF!</definedName>
    <definedName name="Lime" localSheetId="5">'[2]WP-2-Ap 1-Prices'!#REF!</definedName>
    <definedName name="Lime">'[2]WP-2-Ap 1-Prices'!#REF!</definedName>
    <definedName name="livestockdrinkingpoints" localSheetId="2">'[2]WP-2-Ap 1-Prices'!#REF!</definedName>
    <definedName name="livestockdrinkingpoints" localSheetId="5">'[2]WP-2-Ap 1-Prices'!#REF!</definedName>
    <definedName name="livestockdrinkingpoints">'[2]WP-2-Ap 1-Prices'!#REF!</definedName>
    <definedName name="Loan_Amount">'[7]Loan Amortization Schedule'!$D$5</definedName>
    <definedName name="Loan_Start">'[7]Loan Amortization Schedule'!$D$9</definedName>
    <definedName name="Loan_Years">'[7]Loan Amortization Schedule'!$D$7</definedName>
    <definedName name="logben2" localSheetId="5">'[13]5-12 formationCU'!#REF!</definedName>
    <definedName name="logben2">'[13]5-12 formationCU'!#REF!</definedName>
    <definedName name="maitre" localSheetId="5">#REF!</definedName>
    <definedName name="maitre">#REF!</definedName>
    <definedName name="maize" localSheetId="5">'[2]WP-2-Ap 1-Prices'!#REF!</definedName>
    <definedName name="maize">'[2]WP-2-Ap 1-Prices'!#REF!</definedName>
    <definedName name="Manure">'[2]WP-2-Ap 1-Prices'!$F$53</definedName>
    <definedName name="meat_irr" localSheetId="5">#REF!</definedName>
    <definedName name="meat_irr">#REF!</definedName>
    <definedName name="Milk_bucket" localSheetId="5">'[2]WP-2-Ap 1-Prices'!#REF!</definedName>
    <definedName name="Milk_bucket">'[2]WP-2-Ap 1-Prices'!#REF!</definedName>
    <definedName name="milk_irr" localSheetId="5">#REF!</definedName>
    <definedName name="milk_irr">#REF!</definedName>
    <definedName name="milk_summer" localSheetId="5">'[2]WP-2-Ap 1-Prices'!#REF!</definedName>
    <definedName name="milk_summer">'[2]WP-2-Ap 1-Prices'!#REF!</definedName>
    <definedName name="milkwinter" localSheetId="5">'[2]WP-2-Ap 1-Prices'!#REF!</definedName>
    <definedName name="milkwinter">'[2]WP-2-Ap 1-Prices'!#REF!</definedName>
    <definedName name="mixedfodder" localSheetId="5">'[2]WP-2-Ap 1-Prices'!#REF!</definedName>
    <definedName name="mixedfodder">'[2]WP-2-Ap 1-Prices'!#REF!</definedName>
    <definedName name="motherseedlings">'[2]WP-2-Ap 1-Prices'!#REF!</definedName>
    <definedName name="Natinsem">'[2]WP-2-Ap 1-Prices'!#REF!</definedName>
    <definedName name="Nitrogen">'[2]WP-2-Ap 1-Prices'!#REF!</definedName>
    <definedName name="nmBlankRow">#REF!</definedName>
    <definedName name="nmColumnHeader">#REF!</definedName>
    <definedName name="nmData">#REF!</definedName>
    <definedName name="nmIndexTable">#REF!</definedName>
    <definedName name="nmRowHeader">#REF!</definedName>
    <definedName name="no_enterprises" localSheetId="5">#REF!</definedName>
    <definedName name="no_enterprises">#REF!</definedName>
    <definedName name="notrogen">'[2]WP-2-Ap 1-Prices'!#REF!</definedName>
    <definedName name="nourben">#REF!</definedName>
    <definedName name="nourben2" localSheetId="5">'[13]5-12 formationCU'!#REF!</definedName>
    <definedName name="nourben2">'[13]5-12 formationCU'!#REF!</definedName>
    <definedName name="Num_Pmt_Per_Year" localSheetId="5">#REF!</definedName>
    <definedName name="Num_Pmt_Per_Year">#REF!</definedName>
    <definedName name="Num_Pmt_Per_Year2" localSheetId="5">#REF!</definedName>
    <definedName name="Num_Pmt_Per_Year2">#REF!</definedName>
    <definedName name="Number_of_Payments" localSheetId="2">MATCH(0.01,End_Bal,-1)+1</definedName>
    <definedName name="Number_of_Payments" localSheetId="5">MATCH(0.01,End_Bal,-1)+1</definedName>
    <definedName name="Number_of_Payments">MATCH(0.01,End_Bal,-1)+1</definedName>
    <definedName name="Number_of_Payments2" localSheetId="2">MATCH(0.01,End_Bal,-1)+1</definedName>
    <definedName name="Number_of_Payments2" localSheetId="5">MATCH(0.01,End_Bal,-1)+1</definedName>
    <definedName name="Number_of_Payments2">MATCH(0.01,End_Bal,-1)+1</definedName>
    <definedName name="oil_imprv_irr" localSheetId="5">#REF!</definedName>
    <definedName name="oil_imprv_irr">#REF!</definedName>
    <definedName name="oil_new_irr" localSheetId="5">#REF!</definedName>
    <definedName name="oil_new_irr">#REF!</definedName>
    <definedName name="orange">'[2]WP-2-Ap 1-Prices'!$F$9</definedName>
    <definedName name="otherfeed" localSheetId="5">'[2]WP-2-Ap 1-Prices'!#REF!</definedName>
    <definedName name="otherfeed">'[2]WP-2-Ap 1-Prices'!#REF!</definedName>
    <definedName name="pastureimprov" localSheetId="5">'[2]WP-2-Ap 1-Prices'!#REF!</definedName>
    <definedName name="pastureimprov">'[2]WP-2-Ap 1-Prices'!#REF!</definedName>
    <definedName name="pasturelease" localSheetId="5">'[2]WP-2-Ap 1-Prices'!#REF!</definedName>
    <definedName name="pasturelease">'[2]WP-2-Ap 1-Prices'!#REF!</definedName>
    <definedName name="Pay_Num" localSheetId="5">#REF!</definedName>
    <definedName name="Pay_Num">#REF!</definedName>
    <definedName name="Pay_Num3" localSheetId="5">#REF!</definedName>
    <definedName name="Pay_Num3">#REF!</definedName>
    <definedName name="Payment_Date">#N/A</definedName>
    <definedName name="peachfresh">'[2]WP-2-Ap 1-Prices'!$F$9</definedName>
    <definedName name="peachseedling" localSheetId="5">'[2]WP-2-Ap 1-Prices'!#REF!</definedName>
    <definedName name="peachseedling">'[2]WP-2-Ap 1-Prices'!#REF!</definedName>
    <definedName name="Pesticides" localSheetId="5">'[2]WP-2-Ap 1-Prices'!#REF!</definedName>
    <definedName name="Pesticides">'[2]WP-2-Ap 1-Prices'!#REF!</definedName>
    <definedName name="Pinc_5" localSheetId="5">#REF!</definedName>
    <definedName name="Pinc_5">#REF!</definedName>
    <definedName name="Ploughing">'[2]WP-2-Ap 1-Prices'!$F$24</definedName>
    <definedName name="PNGT2" localSheetId="5">#REF!</definedName>
    <definedName name="PNGT2">#REF!</definedName>
    <definedName name="poles" localSheetId="5">'[2]WP-2-Ap 1-Prices'!#REF!</definedName>
    <definedName name="poles">'[2]WP-2-Ap 1-Prices'!#REF!</definedName>
    <definedName name="pools" localSheetId="5">'[2]WP-2-Ap 1-Prices'!#REF!</definedName>
    <definedName name="pools">'[2]WP-2-Ap 1-Prices'!#REF!</definedName>
    <definedName name="Potash">'[2]WP-2-Ap 1-Prices'!#REF!</definedName>
    <definedName name="potato">'[2]WP-2-Ap 1-Prices'!#REF!</definedName>
    <definedName name="potatoHIV">'[2]WP-2-Ap 1-Prices'!#REF!</definedName>
    <definedName name="potatoprocessed">'[2]WP-2-Ap 1-Prices'!#REF!</definedName>
    <definedName name="potatoseeds">'[2]WP-2-Ap 1-Prices'!#REF!</definedName>
    <definedName name="PP">'[2]WP-2-Ap 1-Prices'!#REF!</definedName>
    <definedName name="Princ" localSheetId="5">#REF!</definedName>
    <definedName name="Princ">#REF!</definedName>
    <definedName name="_xlnm.Print_Area">#N/A</definedName>
    <definedName name="Print_Area_MI" localSheetId="5">#REF!</definedName>
    <definedName name="Print_Area_MI">#REF!</definedName>
    <definedName name="Print_Area_Reset">#N/A</definedName>
    <definedName name="processunskill" localSheetId="5">'[2]WP-2-Ap 1-Prices'!#REF!</definedName>
    <definedName name="processunskill">'[2]WP-2-Ap 1-Prices'!#REF!</definedName>
    <definedName name="Project_IRR" localSheetId="5">#REF!</definedName>
    <definedName name="Project_IRR">#REF!</definedName>
    <definedName name="q">'[8]Fruit Drying'!$C$80</definedName>
    <definedName name="raki" localSheetId="5">'[2]WP-2-Ap 1-Prices'!#REF!</definedName>
    <definedName name="raki">'[2]WP-2-Ap 1-Prices'!#REF!</definedName>
    <definedName name="rennet" localSheetId="5">'[2]WP-2-Ap 1-Prices'!#REF!</definedName>
    <definedName name="rennet">'[2]WP-2-Ap 1-Prices'!#REF!</definedName>
    <definedName name="rootstocks" localSheetId="5">'[2]WP-2-Ap 1-Prices'!#REF!</definedName>
    <definedName name="rootstocks">'[2]WP-2-Ap 1-Prices'!#REF!</definedName>
    <definedName name="rubber" localSheetId="5">'[2]WP-2-Ap 1-Prices'!#REF!</definedName>
    <definedName name="rubber">'[2]WP-2-Ap 1-Prices'!#REF!</definedName>
    <definedName name="sachet">'[2]WP-2-Ap 1-Prices'!#REF!</definedName>
    <definedName name="SCF">[9]ASMP!$C$3</definedName>
    <definedName name="Sched_Pay" localSheetId="5">#REF!</definedName>
    <definedName name="Sched_Pay">#REF!</definedName>
    <definedName name="Sched_Pay2" localSheetId="5">#REF!</definedName>
    <definedName name="Sched_Pay2">#REF!</definedName>
    <definedName name="Scheduled_Extra_Payments" localSheetId="5">#REF!</definedName>
    <definedName name="Scheduled_Extra_Payments">#REF!</definedName>
    <definedName name="Scheduled_Extra_Payments3">#REF!</definedName>
    <definedName name="Scheduled_Monthly_Payment">#REF!</definedName>
    <definedName name="Scheduled_Monthly_Payment3">#REF!</definedName>
    <definedName name="seedlings">'[2]WP-2-Ap 1-Prices'!#REF!</definedName>
    <definedName name="select">'[15]0.Start'!$R$14</definedName>
    <definedName name="sencount" hidden="1">9</definedName>
    <definedName name="sheepmilk" localSheetId="5">'[2]WP-2-Ap 1-Prices'!#REF!</definedName>
    <definedName name="sheepmilk">'[2]WP-2-Ap 1-Prices'!#REF!</definedName>
    <definedName name="SP">'[2]WP-2-Ap 1-Prices'!#REF!</definedName>
    <definedName name="Spray">'[2]WP-2-Ap 1-Prices'!#REF!</definedName>
    <definedName name="SR_1">[9]ASMP!$C$14</definedName>
    <definedName name="SR_2">[9]ASMP!$C$13</definedName>
    <definedName name="SSP" localSheetId="5">'[2]WP-2-Ap 1-Prices'!#REF!</definedName>
    <definedName name="SSP">'[2]WP-2-Ap 1-Prices'!#REF!</definedName>
    <definedName name="start" localSheetId="5">#REF!</definedName>
    <definedName name="start">#REF!</definedName>
    <definedName name="straw" localSheetId="5">'[2]WP-2-Ap 1-Prices'!#REF!</definedName>
    <definedName name="straw">'[2]WP-2-Ap 1-Prices'!#REF!</definedName>
    <definedName name="SWR">[9]ASMP!$C$4</definedName>
    <definedName name="tax_rate" localSheetId="5">#REF!</definedName>
    <definedName name="tax_rate">#REF!</definedName>
    <definedName name="Thir">[10]base!$C$34</definedName>
    <definedName name="time">#REF!</definedName>
    <definedName name="time_cap">#REF!</definedName>
    <definedName name="tomatocultivation" localSheetId="5">'[2]WP-2-Ap 1-Prices'!#REF!</definedName>
    <definedName name="tomatocultivation">'[2]WP-2-Ap 1-Prices'!#REF!</definedName>
    <definedName name="Total_Pay" localSheetId="5">#REF!</definedName>
    <definedName name="Total_Pay">#REF!</definedName>
    <definedName name="Total_Pay3" localSheetId="5">#REF!</definedName>
    <definedName name="Total_Pay3">#REF!</definedName>
    <definedName name="Total_Payment" localSheetId="2">Scheduled_Payment+Extra_Payment</definedName>
    <definedName name="Total_Payment" localSheetId="5">Scheduled_Payment+Extra_Payment</definedName>
    <definedName name="Total_Payment">Scheduled_Payment+Extra_Payment</definedName>
    <definedName name="totdouar">#N/A</definedName>
    <definedName name="transben1" localSheetId="2">'[13]5-12 formationCU'!#REF!</definedName>
    <definedName name="transben1" localSheetId="5">'[13]5-12 formationCU'!#REF!</definedName>
    <definedName name="transben1">'[13]5-12 formationCU'!#REF!</definedName>
    <definedName name="transop2">'[14]3-9 C.U.'!$C$28</definedName>
    <definedName name="transportation">'[2]WP-2-Ap 1-Prices'!$F$59</definedName>
    <definedName name="transportwine" localSheetId="5">'[2]WP-2-Ap 1-Prices'!#REF!</definedName>
    <definedName name="transportwine">'[2]WP-2-Ap 1-Prices'!#REF!</definedName>
    <definedName name="uptake" localSheetId="5">#REF!</definedName>
    <definedName name="uptake">#REF!</definedName>
    <definedName name="uptakeCDS" localSheetId="5">#REF!</definedName>
    <definedName name="uptakeCDS">#REF!</definedName>
    <definedName name="uptakeCG" localSheetId="5">#REF!</definedName>
    <definedName name="uptakeCG">#REF!</definedName>
    <definedName name="uptakeCG2">#REF!</definedName>
    <definedName name="uptakeCTF">#REF!</definedName>
    <definedName name="uptakeCTF2">#REF!</definedName>
    <definedName name="uptakeDS">#REF!</definedName>
    <definedName name="uptakeMDP">#REF!</definedName>
    <definedName name="uptakeMG">#REF!</definedName>
    <definedName name="uptakeMG2">#REF!</definedName>
    <definedName name="uptakeMTF">#REF!</definedName>
    <definedName name="uptakeMTF2">#REF!</definedName>
    <definedName name="Urea">'[2]WP-2-Ap 1-Prices'!#REF!</definedName>
    <definedName name="us">#REF!</definedName>
    <definedName name="USD">'[13]5-12 formationCU'!$B$1</definedName>
    <definedName name="vaccination" localSheetId="5">'[2]WP-2-Ap 1-Prices'!#REF!</definedName>
    <definedName name="vaccination">'[2]WP-2-Ap 1-Prices'!#REF!</definedName>
    <definedName name="Values_Entered" localSheetId="2">IF(Loan_Amount*Interest_Rate*Loan_Years*Loan_Start&gt;0,1,0)</definedName>
    <definedName name="Values_Entered" localSheetId="5">IF(Loan_Amount*Interest_Rate*Loan_Years*Loan_Start&gt;0,1,0)</definedName>
    <definedName name="Values_Entered">IF(Loan_Amount*Interest_Rate*Loan_Years*Loan_Start&gt;0,1,0)</definedName>
    <definedName name="Values_Entered7" localSheetId="2">IF(Loan_Amount*Interest_Rate*Loan_Years*Loan_Start&gt;0,1,0)</definedName>
    <definedName name="Values_Entered7" localSheetId="5">IF(Loan_Amount*Interest_Rate*Loan_Years*Loan_Start&gt;0,1,0)</definedName>
    <definedName name="Values_Entered7">IF(Loan_Amount*Interest_Rate*Loan_Years*Loan_Start&gt;0,1,0)</definedName>
    <definedName name="VAT">[9]ASMP!$C$5</definedName>
    <definedName name="VE" localSheetId="2">IF(Loan_Amount*Interest_Rate*Loan_Years*Loan_Start&gt;0,1,0)</definedName>
    <definedName name="VE" localSheetId="5">IF(Loan_Amount*Interest_Rate*Loan_Years*Loan_Start&gt;0,1,0)</definedName>
    <definedName name="VE">IF(Loan_Amount*Interest_Rate*Loan_Years*Loan_Start&gt;0,1,0)</definedName>
    <definedName name="wage" localSheetId="5">#REF!</definedName>
    <definedName name="wage">#REF!</definedName>
    <definedName name="wage_1997" localSheetId="5">#REF!</definedName>
    <definedName name="wage_1997">#REF!</definedName>
    <definedName name="wage_1999" localSheetId="5">#REF!</definedName>
    <definedName name="wage_1999">#REF!</definedName>
    <definedName name="wage_adj">#REF!</definedName>
    <definedName name="walnut_irr">#REF!</definedName>
    <definedName name="walnutprice" localSheetId="2">'[2]WP-2-Ap 1-Prices'!#REF!</definedName>
    <definedName name="walnutprice" localSheetId="5">'[2]WP-2-Ap 1-Prices'!#REF!</definedName>
    <definedName name="walnutprice">'[2]WP-2-Ap 1-Prices'!#REF!</definedName>
    <definedName name="water">'[2]WP-2-Ap 1-Prices'!$F$55</definedName>
    <definedName name="waterdrip" localSheetId="5">'[2]WP-2-Ap 1-Prices'!#REF!</definedName>
    <definedName name="waterdrip">'[2]WP-2-Ap 1-Prices'!#REF!</definedName>
    <definedName name="wateringpoint" localSheetId="5">'[2]WP-2-Ap 1-Prices'!#REF!</definedName>
    <definedName name="wateringpoint">'[2]WP-2-Ap 1-Prices'!#REF!</definedName>
    <definedName name="wateruse" localSheetId="5">'[2]WP-2-Ap 1-Prices'!#REF!</definedName>
    <definedName name="wateruse">'[2]WP-2-Ap 1-Prices'!#REF!</definedName>
    <definedName name="wheat" localSheetId="5">'[2]WP-2-Ap 1-Prices'!#REF!</definedName>
    <definedName name="wheat">'[2]WP-2-Ap 1-Prices'!#REF!</definedName>
    <definedName name="wheathusk">'[2]WP-2-Ap 1-Prices'!#REF!</definedName>
    <definedName name="wheatseeds">'[2]WP-2-Ap 1-Prices'!#REF!</definedName>
    <definedName name="wheatstraw">'[2]WP-2-Ap 1-Prices'!#REF!</definedName>
    <definedName name="whitecheese">'[2]WP-2-Ap 1-Prices'!#REF!</definedName>
    <definedName name="wine">'[2]WP-2-Ap 1-Prices'!#REF!</definedName>
    <definedName name="winecultivation">'[2]WP-2-Ap 1-Prices'!#REF!</definedName>
    <definedName name="winefertilisisation">'[2]WP-2-Ap 1-Prices'!#REF!</definedName>
    <definedName name="winemakeing">'[2]WP-2-Ap 1-Prices'!#REF!</definedName>
    <definedName name="winemakings">'[2]WP-2-Ap 1-Prices'!#REF!</definedName>
    <definedName name="wineploughing">'[2]WP-2-Ap 1-Prices'!#REF!</definedName>
    <definedName name="winespray">'[2]WP-2-Ap 1-Prices'!#REF!</definedName>
    <definedName name="wires">'[2]WP-2-Ap 1-Prices'!#REF!</definedName>
    <definedName name="wood_irr" localSheetId="5">#REF!</definedName>
    <definedName name="wood_irr">#REF!</definedName>
    <definedName name="WOP_Decline">[9]ASMP!$C$12</definedName>
    <definedName name="xe">'[16]Taxa de câmbio sombra'!$C$18</definedName>
    <definedName name="xr">[9]ASMP!$C$2</definedName>
    <definedName name="xrate" localSheetId="5">#REF!</definedName>
    <definedName name="xrate">#REF!</definedName>
    <definedName name="xxx" localSheetId="5">#REF!</definedName>
    <definedName name="xxx">#REF!</definedName>
    <definedName name="yellcheese" localSheetId="5">'[2]WP-2-Ap 1-Prices'!#REF!</definedName>
    <definedName name="yellcheese">'[2]WP-2-Ap 1-Prices'!#REF!</definedName>
    <definedName name="yellowchees" localSheetId="5">'[2]WP-2-Ap 1-Prices'!#REF!</definedName>
    <definedName name="yellowchees">'[2]WP-2-Ap 1-Prices'!#REF!</definedName>
    <definedName name="yorgutstarter" localSheetId="5">'[2]WP-2-Ap 1-Prices'!#REF!</definedName>
    <definedName name="yorgutstarter">'[2]WP-2-Ap 1-Prices'!#REF!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49" i="72" l="1"/>
  <c r="E49" i="72"/>
  <c r="F49" i="72"/>
  <c r="E5" i="72"/>
  <c r="F5" i="72"/>
  <c r="D5" i="72"/>
  <c r="I14" i="75" l="1"/>
  <c r="D12" i="75"/>
  <c r="E12" i="75"/>
  <c r="F12" i="75"/>
  <c r="G12" i="75"/>
  <c r="H12" i="75"/>
  <c r="C12" i="75"/>
  <c r="I12" i="75" s="1"/>
  <c r="H50" i="72"/>
  <c r="I50" i="72" s="1"/>
  <c r="J50" i="72" s="1"/>
  <c r="K50" i="72" s="1"/>
  <c r="L50" i="72" s="1"/>
  <c r="M50" i="72" s="1"/>
  <c r="N50" i="72" s="1"/>
  <c r="O50" i="72" s="1"/>
  <c r="P50" i="72" s="1"/>
  <c r="Q50" i="72" s="1"/>
  <c r="R50" i="72" s="1"/>
  <c r="S50" i="72" s="1"/>
  <c r="T50" i="72" s="1"/>
  <c r="U50" i="72" s="1"/>
  <c r="H25" i="73"/>
  <c r="B89" i="24"/>
  <c r="D44" i="82"/>
  <c r="D44" i="83"/>
  <c r="B25" i="73"/>
  <c r="C50" i="72" s="1"/>
  <c r="C25" i="73"/>
  <c r="D25" i="73"/>
  <c r="E25" i="73"/>
  <c r="F50" i="72" s="1"/>
  <c r="F25" i="73"/>
  <c r="G50" i="72" s="1"/>
  <c r="G25" i="73"/>
  <c r="I25" i="73"/>
  <c r="J25" i="73"/>
  <c r="A25" i="73"/>
  <c r="B50" i="72" s="1"/>
  <c r="B25" i="24"/>
  <c r="B8" i="24"/>
  <c r="C6" i="72"/>
  <c r="D6" i="72"/>
  <c r="E6" i="72"/>
  <c r="E28" i="72" s="1"/>
  <c r="F6" i="72"/>
  <c r="G6" i="72"/>
  <c r="G28" i="72" s="1"/>
  <c r="B6" i="72"/>
  <c r="A42" i="72"/>
  <c r="B20" i="72"/>
  <c r="D28" i="72"/>
  <c r="C28" i="72"/>
  <c r="B28" i="72"/>
  <c r="E44" i="91"/>
  <c r="E44" i="89"/>
  <c r="E44" i="88"/>
  <c r="D50" i="72"/>
  <c r="E50" i="72"/>
  <c r="H6" i="72" l="1"/>
  <c r="H28" i="72" s="1"/>
  <c r="H31" i="72" s="1"/>
  <c r="I6" i="72"/>
  <c r="J6" i="72" s="1"/>
  <c r="K6" i="72" s="1"/>
  <c r="L6" i="72" s="1"/>
  <c r="M6" i="72" s="1"/>
  <c r="N6" i="72" s="1"/>
  <c r="O6" i="72" s="1"/>
  <c r="P6" i="72" s="1"/>
  <c r="Q6" i="72" s="1"/>
  <c r="R6" i="72" s="1"/>
  <c r="S6" i="72" s="1"/>
  <c r="T6" i="72" s="1"/>
  <c r="U6" i="72" s="1"/>
  <c r="K25" i="73"/>
  <c r="F28" i="72"/>
  <c r="F31" i="72" s="1"/>
  <c r="E30" i="72"/>
  <c r="E31" i="72"/>
  <c r="E29" i="72"/>
  <c r="D31" i="72"/>
  <c r="D30" i="72"/>
  <c r="D29" i="72"/>
  <c r="C44" i="72"/>
  <c r="C43" i="72"/>
  <c r="B34" i="72"/>
  <c r="B25" i="72"/>
  <c r="B42" i="72" s="1"/>
  <c r="B22" i="72"/>
  <c r="B39" i="72" s="1"/>
  <c r="B24" i="72"/>
  <c r="B41" i="72" s="1"/>
  <c r="H30" i="72"/>
  <c r="B44" i="72"/>
  <c r="B31" i="72"/>
  <c r="B37" i="72" s="1"/>
  <c r="B30" i="72"/>
  <c r="B36" i="72" s="1"/>
  <c r="B29" i="72"/>
  <c r="B35" i="72" s="1"/>
  <c r="B43" i="72"/>
  <c r="B7" i="72"/>
  <c r="B21" i="72"/>
  <c r="B38" i="72" s="1"/>
  <c r="C31" i="72"/>
  <c r="C30" i="72"/>
  <c r="C29" i="72"/>
  <c r="G31" i="72"/>
  <c r="G30" i="72"/>
  <c r="G29" i="72"/>
  <c r="H29" i="72"/>
  <c r="B23" i="72"/>
  <c r="B40" i="72" s="1"/>
  <c r="I28" i="72" l="1"/>
  <c r="J28" i="72"/>
  <c r="K28" i="72"/>
  <c r="F29" i="72"/>
  <c r="F30" i="72"/>
  <c r="I31" i="72"/>
  <c r="I29" i="72"/>
  <c r="I30" i="72"/>
  <c r="F58" i="75"/>
  <c r="B50" i="75"/>
  <c r="B57" i="75" s="1"/>
  <c r="B49" i="75"/>
  <c r="B56" i="75" s="1"/>
  <c r="A7" i="75"/>
  <c r="D41" i="75"/>
  <c r="B41" i="75"/>
  <c r="O18" i="75"/>
  <c r="M18" i="75"/>
  <c r="G38" i="75"/>
  <c r="F38" i="75"/>
  <c r="C38" i="75"/>
  <c r="B38" i="75"/>
  <c r="A36" i="75"/>
  <c r="A37" i="75"/>
  <c r="A33" i="75"/>
  <c r="A34" i="75"/>
  <c r="A35" i="75"/>
  <c r="A22" i="75"/>
  <c r="A23" i="75"/>
  <c r="A24" i="75"/>
  <c r="A25" i="75"/>
  <c r="A26" i="75"/>
  <c r="A27" i="75"/>
  <c r="A28" i="75"/>
  <c r="A29" i="75"/>
  <c r="A30" i="75"/>
  <c r="A31" i="75"/>
  <c r="A32" i="75"/>
  <c r="A21" i="75"/>
  <c r="A9" i="75"/>
  <c r="D13" i="75"/>
  <c r="E13" i="75"/>
  <c r="F13" i="75"/>
  <c r="G13" i="75"/>
  <c r="H13" i="75"/>
  <c r="C13" i="75"/>
  <c r="A38" i="79"/>
  <c r="A39" i="79"/>
  <c r="A40" i="79"/>
  <c r="E93" i="89"/>
  <c r="E93" i="91"/>
  <c r="E93" i="88"/>
  <c r="E76" i="89"/>
  <c r="E81" i="89"/>
  <c r="E82" i="89"/>
  <c r="E90" i="89" s="1"/>
  <c r="E83" i="89"/>
  <c r="E84" i="89"/>
  <c r="E85" i="89"/>
  <c r="E86" i="89"/>
  <c r="E76" i="91"/>
  <c r="E81" i="91"/>
  <c r="E90" i="91" s="1"/>
  <c r="E82" i="91"/>
  <c r="E83" i="91"/>
  <c r="E84" i="91"/>
  <c r="E85" i="91"/>
  <c r="E86" i="91"/>
  <c r="E76" i="88"/>
  <c r="E81" i="88"/>
  <c r="E82" i="88"/>
  <c r="E90" i="88" s="1"/>
  <c r="E83" i="88"/>
  <c r="E84" i="88"/>
  <c r="E85" i="88"/>
  <c r="E86" i="88"/>
  <c r="E69" i="89"/>
  <c r="E69" i="91"/>
  <c r="E69" i="88"/>
  <c r="E61" i="89"/>
  <c r="E62" i="89"/>
  <c r="E63" i="89"/>
  <c r="E64" i="89"/>
  <c r="E65" i="89"/>
  <c r="E66" i="89"/>
  <c r="E67" i="89"/>
  <c r="E61" i="91"/>
  <c r="E62" i="91"/>
  <c r="E63" i="91"/>
  <c r="E64" i="91"/>
  <c r="E65" i="91"/>
  <c r="E66" i="91"/>
  <c r="E67" i="91"/>
  <c r="E61" i="88"/>
  <c r="E62" i="88"/>
  <c r="E63" i="88"/>
  <c r="E64" i="88"/>
  <c r="E65" i="88"/>
  <c r="E66" i="88"/>
  <c r="E67" i="88"/>
  <c r="E56" i="89"/>
  <c r="E57" i="89"/>
  <c r="E58" i="89"/>
  <c r="E59" i="89"/>
  <c r="E60" i="89"/>
  <c r="E56" i="91"/>
  <c r="E57" i="91"/>
  <c r="E58" i="91"/>
  <c r="E59" i="91"/>
  <c r="E60" i="91"/>
  <c r="E56" i="88"/>
  <c r="E57" i="88"/>
  <c r="E58" i="88"/>
  <c r="E59" i="88"/>
  <c r="E60" i="88"/>
  <c r="E55" i="89"/>
  <c r="E55" i="91"/>
  <c r="E55" i="88"/>
  <c r="E20" i="91"/>
  <c r="E21" i="91"/>
  <c r="E22" i="91"/>
  <c r="E29" i="91" s="1"/>
  <c r="E23" i="91"/>
  <c r="E24" i="91"/>
  <c r="E25" i="91"/>
  <c r="E26" i="91"/>
  <c r="E34" i="91" s="1"/>
  <c r="E20" i="89"/>
  <c r="E21" i="89"/>
  <c r="E22" i="89"/>
  <c r="E23" i="89"/>
  <c r="E24" i="89"/>
  <c r="E25" i="89"/>
  <c r="E26" i="89"/>
  <c r="E36" i="89" s="1"/>
  <c r="E16" i="91"/>
  <c r="E17" i="91"/>
  <c r="E18" i="91"/>
  <c r="E16" i="89"/>
  <c r="E35" i="89" s="1"/>
  <c r="E17" i="89"/>
  <c r="E18" i="89"/>
  <c r="E15" i="91"/>
  <c r="E15" i="89"/>
  <c r="E7" i="91"/>
  <c r="E8" i="91"/>
  <c r="E9" i="91"/>
  <c r="E10" i="91"/>
  <c r="E31" i="91" s="1"/>
  <c r="E11" i="91"/>
  <c r="E7" i="89"/>
  <c r="E8" i="89"/>
  <c r="E9" i="89"/>
  <c r="E30" i="89" s="1"/>
  <c r="E10" i="89"/>
  <c r="E11" i="89"/>
  <c r="E6" i="91"/>
  <c r="E6" i="89"/>
  <c r="D50" i="89"/>
  <c r="D50" i="91"/>
  <c r="D50" i="88"/>
  <c r="E46" i="89"/>
  <c r="E46" i="91"/>
  <c r="E46" i="88"/>
  <c r="E48" i="88" s="1"/>
  <c r="E45" i="89"/>
  <c r="E45" i="91"/>
  <c r="E45" i="88"/>
  <c r="E40" i="88"/>
  <c r="E42" i="88" s="1"/>
  <c r="E41" i="88"/>
  <c r="E27" i="89"/>
  <c r="E28" i="89"/>
  <c r="E29" i="89"/>
  <c r="E40" i="89" s="1"/>
  <c r="E31" i="89"/>
  <c r="E34" i="89"/>
  <c r="E27" i="91"/>
  <c r="E28" i="91"/>
  <c r="E30" i="91"/>
  <c r="E33" i="91"/>
  <c r="E27" i="88"/>
  <c r="E28" i="88"/>
  <c r="E29" i="88"/>
  <c r="E30" i="88"/>
  <c r="E31" i="88"/>
  <c r="E32" i="88"/>
  <c r="E33" i="88"/>
  <c r="E34" i="88"/>
  <c r="E35" i="88"/>
  <c r="E36" i="88"/>
  <c r="E37" i="88"/>
  <c r="E21" i="88"/>
  <c r="E22" i="88"/>
  <c r="E23" i="88"/>
  <c r="E24" i="88"/>
  <c r="E25" i="88"/>
  <c r="E26" i="88"/>
  <c r="E20" i="88"/>
  <c r="E16" i="88"/>
  <c r="E17" i="88"/>
  <c r="E18" i="88"/>
  <c r="E15" i="88"/>
  <c r="E7" i="88"/>
  <c r="E8" i="88"/>
  <c r="E9" i="88"/>
  <c r="E10" i="88"/>
  <c r="E11" i="88"/>
  <c r="E6" i="88"/>
  <c r="I13" i="75" l="1"/>
  <c r="J30" i="72"/>
  <c r="J29" i="72"/>
  <c r="J31" i="72"/>
  <c r="L28" i="72"/>
  <c r="K31" i="72"/>
  <c r="K30" i="72"/>
  <c r="K29" i="72"/>
  <c r="E51" i="88"/>
  <c r="E49" i="88"/>
  <c r="E32" i="91"/>
  <c r="E37" i="91"/>
  <c r="E35" i="91"/>
  <c r="E41" i="91" s="1"/>
  <c r="E37" i="89"/>
  <c r="E32" i="89"/>
  <c r="E36" i="91"/>
  <c r="E33" i="89"/>
  <c r="E41" i="89"/>
  <c r="E40" i="91"/>
  <c r="E42" i="91" s="1"/>
  <c r="E42" i="89"/>
  <c r="E48" i="89" s="1"/>
  <c r="L30" i="72" l="1"/>
  <c r="L31" i="72"/>
  <c r="L29" i="72"/>
  <c r="M28" i="72"/>
  <c r="E50" i="88"/>
  <c r="B17" i="79" s="1"/>
  <c r="E48" i="91"/>
  <c r="E49" i="91" s="1"/>
  <c r="E50" i="91" s="1"/>
  <c r="E51" i="89"/>
  <c r="E49" i="89"/>
  <c r="E50" i="89" s="1"/>
  <c r="N28" i="72" l="1"/>
  <c r="M29" i="72"/>
  <c r="M31" i="72"/>
  <c r="M30" i="72"/>
  <c r="E52" i="88"/>
  <c r="I33" i="75"/>
  <c r="E33" i="75"/>
  <c r="D33" i="75"/>
  <c r="H33" i="75"/>
  <c r="E52" i="89"/>
  <c r="B18" i="79"/>
  <c r="E52" i="91"/>
  <c r="B19" i="79"/>
  <c r="E51" i="91"/>
  <c r="N31" i="72" l="1"/>
  <c r="N30" i="72"/>
  <c r="N29" i="72"/>
  <c r="O28" i="72"/>
  <c r="I34" i="75"/>
  <c r="D34" i="75"/>
  <c r="H34" i="75"/>
  <c r="E34" i="75"/>
  <c r="D35" i="75"/>
  <c r="H35" i="75"/>
  <c r="E35" i="75"/>
  <c r="I35" i="75"/>
  <c r="E93" i="80"/>
  <c r="D93" i="81"/>
  <c r="D93" i="82"/>
  <c r="D93" i="83"/>
  <c r="D93" i="85"/>
  <c r="D93" i="84"/>
  <c r="D93" i="86"/>
  <c r="D93" i="87"/>
  <c r="D93" i="88"/>
  <c r="D93" i="89"/>
  <c r="D93" i="90"/>
  <c r="D93" i="91"/>
  <c r="D93" i="92"/>
  <c r="D93" i="80"/>
  <c r="D69" i="82"/>
  <c r="D69" i="83"/>
  <c r="D69" i="85"/>
  <c r="D69" i="84"/>
  <c r="D69" i="86"/>
  <c r="D69" i="87"/>
  <c r="D69" i="88"/>
  <c r="D69" i="89"/>
  <c r="D69" i="90"/>
  <c r="D69" i="91"/>
  <c r="D69" i="92"/>
  <c r="D69" i="81"/>
  <c r="D67" i="82"/>
  <c r="D67" i="83"/>
  <c r="D67" i="85"/>
  <c r="D67" i="84"/>
  <c r="D67" i="86"/>
  <c r="D67" i="87"/>
  <c r="D67" i="88"/>
  <c r="D67" i="89"/>
  <c r="D67" i="90"/>
  <c r="D67" i="91"/>
  <c r="D67" i="92"/>
  <c r="D67" i="81"/>
  <c r="D56" i="82"/>
  <c r="D57" i="82"/>
  <c r="D58" i="82"/>
  <c r="D59" i="82"/>
  <c r="D60" i="82"/>
  <c r="D62" i="82"/>
  <c r="D63" i="82"/>
  <c r="D64" i="82"/>
  <c r="D65" i="82"/>
  <c r="D66" i="82"/>
  <c r="D56" i="83"/>
  <c r="D57" i="83"/>
  <c r="D58" i="83"/>
  <c r="D59" i="83"/>
  <c r="D60" i="83"/>
  <c r="D62" i="83"/>
  <c r="D63" i="83"/>
  <c r="D64" i="83"/>
  <c r="D65" i="83"/>
  <c r="D66" i="83"/>
  <c r="D56" i="85"/>
  <c r="D57" i="85"/>
  <c r="D58" i="85"/>
  <c r="D59" i="85"/>
  <c r="D60" i="85"/>
  <c r="D62" i="85"/>
  <c r="D63" i="85"/>
  <c r="D64" i="85"/>
  <c r="D65" i="85"/>
  <c r="D66" i="85"/>
  <c r="D56" i="84"/>
  <c r="D57" i="84"/>
  <c r="D58" i="84"/>
  <c r="D59" i="84"/>
  <c r="D60" i="84"/>
  <c r="D62" i="84"/>
  <c r="D63" i="84"/>
  <c r="D64" i="84"/>
  <c r="D65" i="84"/>
  <c r="D66" i="84"/>
  <c r="D56" i="86"/>
  <c r="D57" i="86"/>
  <c r="D58" i="86"/>
  <c r="D59" i="86"/>
  <c r="D60" i="86"/>
  <c r="D62" i="86"/>
  <c r="D63" i="86"/>
  <c r="D64" i="86"/>
  <c r="D65" i="86"/>
  <c r="D66" i="86"/>
  <c r="D56" i="87"/>
  <c r="D57" i="87"/>
  <c r="D58" i="87"/>
  <c r="D59" i="87"/>
  <c r="D60" i="87"/>
  <c r="D62" i="87"/>
  <c r="D63" i="87"/>
  <c r="D64" i="87"/>
  <c r="D65" i="87"/>
  <c r="D66" i="87"/>
  <c r="D56" i="88"/>
  <c r="D57" i="88"/>
  <c r="D58" i="88"/>
  <c r="D59" i="88"/>
  <c r="D60" i="88"/>
  <c r="D62" i="88"/>
  <c r="D63" i="88"/>
  <c r="D64" i="88"/>
  <c r="D65" i="88"/>
  <c r="D66" i="88"/>
  <c r="D56" i="89"/>
  <c r="D57" i="89"/>
  <c r="D58" i="89"/>
  <c r="D59" i="89"/>
  <c r="D60" i="89"/>
  <c r="D62" i="89"/>
  <c r="D63" i="89"/>
  <c r="D64" i="89"/>
  <c r="D65" i="89"/>
  <c r="D66" i="89"/>
  <c r="D56" i="90"/>
  <c r="D57" i="90"/>
  <c r="D58" i="90"/>
  <c r="D59" i="90"/>
  <c r="D60" i="90"/>
  <c r="D62" i="90"/>
  <c r="D63" i="90"/>
  <c r="D64" i="90"/>
  <c r="D65" i="90"/>
  <c r="D66" i="90"/>
  <c r="D56" i="91"/>
  <c r="D57" i="91"/>
  <c r="D58" i="91"/>
  <c r="D59" i="91"/>
  <c r="D60" i="91"/>
  <c r="D62" i="91"/>
  <c r="D63" i="91"/>
  <c r="D64" i="91"/>
  <c r="D65" i="91"/>
  <c r="D66" i="91"/>
  <c r="D56" i="92"/>
  <c r="D57" i="92"/>
  <c r="D58" i="92"/>
  <c r="D59" i="92"/>
  <c r="D60" i="92"/>
  <c r="D62" i="92"/>
  <c r="D63" i="92"/>
  <c r="D64" i="92"/>
  <c r="D65" i="92"/>
  <c r="D66" i="92"/>
  <c r="D56" i="81"/>
  <c r="D57" i="81"/>
  <c r="D58" i="81"/>
  <c r="D59" i="81"/>
  <c r="D60" i="81"/>
  <c r="D62" i="81"/>
  <c r="D63" i="81"/>
  <c r="D64" i="81"/>
  <c r="D65" i="81"/>
  <c r="D66" i="81"/>
  <c r="D55" i="82"/>
  <c r="D55" i="83"/>
  <c r="D55" i="85"/>
  <c r="D55" i="84"/>
  <c r="D55" i="86"/>
  <c r="D55" i="87"/>
  <c r="D55" i="88"/>
  <c r="D55" i="89"/>
  <c r="D55" i="90"/>
  <c r="D55" i="91"/>
  <c r="D55" i="92"/>
  <c r="D55" i="81"/>
  <c r="E55" i="80"/>
  <c r="E56" i="80"/>
  <c r="E57" i="80"/>
  <c r="E58" i="80"/>
  <c r="E59" i="80"/>
  <c r="E60" i="80"/>
  <c r="E61" i="80"/>
  <c r="E62" i="80"/>
  <c r="E63" i="80"/>
  <c r="E64" i="80"/>
  <c r="E65" i="80"/>
  <c r="E66" i="80"/>
  <c r="E67" i="80"/>
  <c r="E68" i="80"/>
  <c r="E69" i="80"/>
  <c r="D56" i="80"/>
  <c r="D57" i="80"/>
  <c r="D58" i="80"/>
  <c r="D59" i="80"/>
  <c r="D60" i="80"/>
  <c r="D61" i="80"/>
  <c r="D62" i="80"/>
  <c r="D63" i="80"/>
  <c r="D64" i="80"/>
  <c r="D65" i="80"/>
  <c r="D66" i="80"/>
  <c r="D67" i="80"/>
  <c r="D68" i="80"/>
  <c r="D69" i="80"/>
  <c r="D55" i="80"/>
  <c r="B56" i="81"/>
  <c r="B57" i="81"/>
  <c r="B58" i="81"/>
  <c r="B59" i="81"/>
  <c r="B60" i="81"/>
  <c r="B62" i="81"/>
  <c r="B63" i="81"/>
  <c r="B64" i="81"/>
  <c r="B65" i="81"/>
  <c r="B66" i="81"/>
  <c r="B67" i="81"/>
  <c r="B69" i="81"/>
  <c r="B70" i="81"/>
  <c r="B71" i="81"/>
  <c r="B72" i="81"/>
  <c r="B73" i="81"/>
  <c r="B74" i="81"/>
  <c r="B75" i="81"/>
  <c r="B76" i="81"/>
  <c r="B77" i="81"/>
  <c r="B78" i="81"/>
  <c r="B79" i="81"/>
  <c r="B80" i="81"/>
  <c r="B81" i="81"/>
  <c r="B82" i="81"/>
  <c r="B83" i="81"/>
  <c r="B84" i="81"/>
  <c r="B85" i="81"/>
  <c r="B86" i="81"/>
  <c r="B88" i="81"/>
  <c r="B89" i="81"/>
  <c r="B90" i="81"/>
  <c r="B91" i="81"/>
  <c r="B93" i="81"/>
  <c r="B94" i="81"/>
  <c r="B95" i="81"/>
  <c r="B56" i="82"/>
  <c r="B57" i="82"/>
  <c r="B58" i="82"/>
  <c r="B59" i="82"/>
  <c r="B60" i="82"/>
  <c r="B62" i="82"/>
  <c r="B63" i="82"/>
  <c r="B64" i="82"/>
  <c r="B65" i="82"/>
  <c r="B66" i="82"/>
  <c r="B67" i="82"/>
  <c r="B69" i="82"/>
  <c r="B70" i="82"/>
  <c r="B71" i="82"/>
  <c r="B72" i="82"/>
  <c r="B73" i="82"/>
  <c r="B74" i="82"/>
  <c r="B75" i="82"/>
  <c r="B76" i="82"/>
  <c r="B77" i="82"/>
  <c r="B78" i="82"/>
  <c r="B79" i="82"/>
  <c r="B80" i="82"/>
  <c r="B81" i="82"/>
  <c r="B82" i="82"/>
  <c r="B83" i="82"/>
  <c r="B84" i="82"/>
  <c r="B85" i="82"/>
  <c r="B86" i="82"/>
  <c r="B88" i="82"/>
  <c r="B89" i="82"/>
  <c r="B90" i="82"/>
  <c r="B91" i="82"/>
  <c r="B93" i="82"/>
  <c r="B94" i="82"/>
  <c r="B95" i="82"/>
  <c r="B56" i="83"/>
  <c r="B57" i="83"/>
  <c r="B58" i="83"/>
  <c r="B59" i="83"/>
  <c r="B60" i="83"/>
  <c r="B62" i="83"/>
  <c r="B63" i="83"/>
  <c r="B64" i="83"/>
  <c r="B65" i="83"/>
  <c r="B66" i="83"/>
  <c r="B67" i="83"/>
  <c r="B69" i="83"/>
  <c r="B70" i="83"/>
  <c r="B71" i="83"/>
  <c r="B72" i="83"/>
  <c r="B73" i="83"/>
  <c r="B74" i="83"/>
  <c r="B75" i="83"/>
  <c r="B76" i="83"/>
  <c r="B77" i="83"/>
  <c r="B78" i="83"/>
  <c r="B79" i="83"/>
  <c r="B80" i="83"/>
  <c r="B81" i="83"/>
  <c r="B82" i="83"/>
  <c r="B83" i="83"/>
  <c r="B84" i="83"/>
  <c r="B85" i="83"/>
  <c r="B86" i="83"/>
  <c r="B88" i="83"/>
  <c r="B89" i="83"/>
  <c r="B90" i="83"/>
  <c r="B91" i="83"/>
  <c r="B93" i="83"/>
  <c r="B94" i="83"/>
  <c r="B95" i="83"/>
  <c r="B56" i="84"/>
  <c r="B57" i="84"/>
  <c r="B58" i="84"/>
  <c r="B59" i="84"/>
  <c r="B60" i="84"/>
  <c r="B62" i="84"/>
  <c r="B63" i="84"/>
  <c r="B64" i="84"/>
  <c r="B65" i="84"/>
  <c r="B66" i="84"/>
  <c r="B67" i="84"/>
  <c r="B69" i="84"/>
  <c r="B70" i="84"/>
  <c r="B71" i="84"/>
  <c r="B72" i="84"/>
  <c r="B73" i="84"/>
  <c r="B74" i="84"/>
  <c r="B75" i="84"/>
  <c r="B76" i="84"/>
  <c r="B77" i="84"/>
  <c r="B78" i="84"/>
  <c r="B79" i="84"/>
  <c r="B80" i="84"/>
  <c r="B81" i="84"/>
  <c r="B82" i="84"/>
  <c r="B83" i="84"/>
  <c r="B84" i="84"/>
  <c r="B85" i="84"/>
  <c r="B86" i="84"/>
  <c r="B88" i="84"/>
  <c r="B89" i="84"/>
  <c r="B90" i="84"/>
  <c r="B91" i="84"/>
  <c r="B93" i="84"/>
  <c r="B94" i="84"/>
  <c r="B95" i="84"/>
  <c r="B56" i="85"/>
  <c r="B57" i="85"/>
  <c r="B58" i="85"/>
  <c r="B59" i="85"/>
  <c r="B60" i="85"/>
  <c r="B62" i="85"/>
  <c r="B63" i="85"/>
  <c r="B64" i="85"/>
  <c r="B65" i="85"/>
  <c r="B66" i="85"/>
  <c r="B67" i="85"/>
  <c r="B69" i="85"/>
  <c r="B70" i="85"/>
  <c r="B71" i="85"/>
  <c r="B72" i="85"/>
  <c r="B73" i="85"/>
  <c r="B74" i="85"/>
  <c r="B75" i="85"/>
  <c r="B76" i="85"/>
  <c r="B77" i="85"/>
  <c r="B78" i="85"/>
  <c r="B79" i="85"/>
  <c r="B80" i="85"/>
  <c r="B81" i="85"/>
  <c r="B82" i="85"/>
  <c r="B83" i="85"/>
  <c r="B84" i="85"/>
  <c r="B85" i="85"/>
  <c r="B86" i="85"/>
  <c r="B88" i="85"/>
  <c r="B89" i="85"/>
  <c r="B90" i="85"/>
  <c r="B91" i="85"/>
  <c r="B93" i="85"/>
  <c r="B94" i="85"/>
  <c r="B95" i="85"/>
  <c r="B56" i="86"/>
  <c r="B57" i="86"/>
  <c r="B58" i="86"/>
  <c r="B59" i="86"/>
  <c r="B60" i="86"/>
  <c r="B62" i="86"/>
  <c r="B63" i="86"/>
  <c r="B64" i="86"/>
  <c r="B65" i="86"/>
  <c r="B66" i="86"/>
  <c r="B67" i="86"/>
  <c r="B69" i="86"/>
  <c r="B70" i="86"/>
  <c r="B71" i="86"/>
  <c r="B72" i="86"/>
  <c r="B73" i="86"/>
  <c r="B74" i="86"/>
  <c r="B75" i="86"/>
  <c r="B76" i="86"/>
  <c r="B77" i="86"/>
  <c r="B78" i="86"/>
  <c r="B79" i="86"/>
  <c r="B80" i="86"/>
  <c r="B81" i="86"/>
  <c r="B82" i="86"/>
  <c r="B83" i="86"/>
  <c r="B84" i="86"/>
  <c r="B85" i="86"/>
  <c r="B86" i="86"/>
  <c r="B88" i="86"/>
  <c r="B89" i="86"/>
  <c r="B90" i="86"/>
  <c r="B91" i="86"/>
  <c r="B93" i="86"/>
  <c r="B94" i="86"/>
  <c r="B95" i="86"/>
  <c r="B56" i="87"/>
  <c r="B57" i="87"/>
  <c r="B58" i="87"/>
  <c r="B59" i="87"/>
  <c r="B60" i="87"/>
  <c r="B62" i="87"/>
  <c r="B63" i="87"/>
  <c r="B64" i="87"/>
  <c r="B65" i="87"/>
  <c r="B66" i="87"/>
  <c r="B67" i="87"/>
  <c r="B69" i="87"/>
  <c r="B70" i="87"/>
  <c r="B71" i="87"/>
  <c r="B72" i="87"/>
  <c r="B73" i="87"/>
  <c r="B74" i="87"/>
  <c r="B75" i="87"/>
  <c r="B76" i="87"/>
  <c r="B77" i="87"/>
  <c r="B78" i="87"/>
  <c r="B79" i="87"/>
  <c r="B80" i="87"/>
  <c r="B81" i="87"/>
  <c r="B82" i="87"/>
  <c r="B83" i="87"/>
  <c r="B84" i="87"/>
  <c r="B85" i="87"/>
  <c r="B86" i="87"/>
  <c r="B88" i="87"/>
  <c r="B89" i="87"/>
  <c r="B90" i="87"/>
  <c r="B91" i="87"/>
  <c r="B93" i="87"/>
  <c r="B94" i="87"/>
  <c r="B95" i="87"/>
  <c r="B56" i="88"/>
  <c r="B57" i="88"/>
  <c r="B58" i="88"/>
  <c r="B59" i="88"/>
  <c r="B60" i="88"/>
  <c r="B62" i="88"/>
  <c r="B63" i="88"/>
  <c r="B64" i="88"/>
  <c r="B65" i="88"/>
  <c r="B66" i="88"/>
  <c r="B67" i="88"/>
  <c r="B69" i="88"/>
  <c r="B70" i="88"/>
  <c r="B71" i="88"/>
  <c r="B72" i="88"/>
  <c r="B73" i="88"/>
  <c r="B74" i="88"/>
  <c r="B75" i="88"/>
  <c r="B76" i="88"/>
  <c r="B77" i="88"/>
  <c r="B78" i="88"/>
  <c r="B79" i="88"/>
  <c r="B80" i="88"/>
  <c r="B81" i="88"/>
  <c r="B82" i="88"/>
  <c r="B83" i="88"/>
  <c r="B84" i="88"/>
  <c r="B85" i="88"/>
  <c r="B86" i="88"/>
  <c r="B88" i="88"/>
  <c r="B89" i="88"/>
  <c r="B90" i="88"/>
  <c r="B91" i="88"/>
  <c r="B93" i="88"/>
  <c r="B94" i="88"/>
  <c r="B95" i="88"/>
  <c r="B56" i="89"/>
  <c r="B57" i="89"/>
  <c r="B58" i="89"/>
  <c r="B59" i="89"/>
  <c r="B60" i="89"/>
  <c r="B62" i="89"/>
  <c r="B63" i="89"/>
  <c r="B64" i="89"/>
  <c r="B65" i="89"/>
  <c r="B66" i="89"/>
  <c r="B67" i="89"/>
  <c r="B69" i="89"/>
  <c r="B70" i="89"/>
  <c r="B71" i="89"/>
  <c r="B72" i="89"/>
  <c r="B73" i="89"/>
  <c r="B74" i="89"/>
  <c r="B75" i="89"/>
  <c r="B76" i="89"/>
  <c r="B77" i="89"/>
  <c r="B78" i="89"/>
  <c r="B79" i="89"/>
  <c r="B80" i="89"/>
  <c r="B81" i="89"/>
  <c r="B82" i="89"/>
  <c r="B83" i="89"/>
  <c r="B84" i="89"/>
  <c r="B85" i="89"/>
  <c r="B86" i="89"/>
  <c r="B88" i="89"/>
  <c r="B89" i="89"/>
  <c r="B90" i="89"/>
  <c r="B91" i="89"/>
  <c r="B93" i="89"/>
  <c r="B94" i="89"/>
  <c r="B95" i="89"/>
  <c r="B56" i="90"/>
  <c r="B57" i="90"/>
  <c r="B58" i="90"/>
  <c r="B59" i="90"/>
  <c r="B60" i="90"/>
  <c r="B62" i="90"/>
  <c r="B63" i="90"/>
  <c r="B64" i="90"/>
  <c r="B65" i="90"/>
  <c r="B66" i="90"/>
  <c r="B67" i="90"/>
  <c r="B69" i="90"/>
  <c r="B70" i="90"/>
  <c r="B71" i="90"/>
  <c r="B72" i="90"/>
  <c r="B73" i="90"/>
  <c r="B74" i="90"/>
  <c r="B75" i="90"/>
  <c r="B76" i="90"/>
  <c r="B77" i="90"/>
  <c r="B78" i="90"/>
  <c r="B79" i="90"/>
  <c r="B80" i="90"/>
  <c r="B81" i="90"/>
  <c r="B82" i="90"/>
  <c r="B83" i="90"/>
  <c r="B84" i="90"/>
  <c r="B85" i="90"/>
  <c r="B86" i="90"/>
  <c r="B88" i="90"/>
  <c r="B89" i="90"/>
  <c r="B90" i="90"/>
  <c r="B91" i="90"/>
  <c r="B93" i="90"/>
  <c r="B94" i="90"/>
  <c r="B95" i="90"/>
  <c r="B56" i="91"/>
  <c r="B57" i="91"/>
  <c r="B58" i="91"/>
  <c r="B59" i="91"/>
  <c r="B60" i="91"/>
  <c r="B62" i="91"/>
  <c r="B63" i="91"/>
  <c r="B64" i="91"/>
  <c r="B65" i="91"/>
  <c r="B66" i="91"/>
  <c r="B67" i="91"/>
  <c r="B69" i="91"/>
  <c r="B70" i="91"/>
  <c r="B71" i="91"/>
  <c r="B72" i="91"/>
  <c r="B73" i="91"/>
  <c r="B74" i="91"/>
  <c r="B75" i="91"/>
  <c r="B76" i="91"/>
  <c r="B77" i="91"/>
  <c r="B78" i="91"/>
  <c r="B79" i="91"/>
  <c r="B80" i="91"/>
  <c r="B81" i="91"/>
  <c r="B82" i="91"/>
  <c r="B83" i="91"/>
  <c r="B84" i="91"/>
  <c r="B85" i="91"/>
  <c r="B86" i="91"/>
  <c r="B88" i="91"/>
  <c r="B89" i="91"/>
  <c r="B90" i="91"/>
  <c r="B91" i="91"/>
  <c r="B93" i="91"/>
  <c r="B94" i="91"/>
  <c r="B95" i="91"/>
  <c r="B56" i="92"/>
  <c r="B57" i="92"/>
  <c r="B58" i="92"/>
  <c r="B59" i="92"/>
  <c r="B60" i="92"/>
  <c r="B62" i="92"/>
  <c r="B63" i="92"/>
  <c r="B64" i="92"/>
  <c r="B65" i="92"/>
  <c r="B66" i="92"/>
  <c r="B67" i="92"/>
  <c r="B69" i="92"/>
  <c r="B70" i="92"/>
  <c r="B71" i="92"/>
  <c r="B72" i="92"/>
  <c r="B73" i="92"/>
  <c r="B74" i="92"/>
  <c r="B75" i="92"/>
  <c r="B76" i="92"/>
  <c r="B77" i="92"/>
  <c r="B78" i="92"/>
  <c r="B79" i="92"/>
  <c r="B80" i="92"/>
  <c r="B81" i="92"/>
  <c r="B82" i="92"/>
  <c r="B83" i="92"/>
  <c r="B84" i="92"/>
  <c r="B85" i="92"/>
  <c r="B86" i="92"/>
  <c r="B88" i="92"/>
  <c r="B89" i="92"/>
  <c r="B90" i="92"/>
  <c r="B91" i="92"/>
  <c r="B93" i="92"/>
  <c r="B94" i="92"/>
  <c r="B95" i="92"/>
  <c r="B56" i="80"/>
  <c r="B57" i="80"/>
  <c r="B58" i="80"/>
  <c r="B59" i="80"/>
  <c r="B60" i="80"/>
  <c r="B62" i="80"/>
  <c r="B63" i="80"/>
  <c r="B64" i="80"/>
  <c r="B65" i="80"/>
  <c r="B66" i="80"/>
  <c r="B67" i="80"/>
  <c r="B69" i="80"/>
  <c r="B70" i="80"/>
  <c r="B71" i="80"/>
  <c r="B72" i="80"/>
  <c r="B73" i="80"/>
  <c r="B74" i="80"/>
  <c r="B75" i="80"/>
  <c r="B76" i="80"/>
  <c r="B77" i="80"/>
  <c r="B78" i="80"/>
  <c r="B79" i="80"/>
  <c r="B80" i="80"/>
  <c r="B81" i="80"/>
  <c r="B82" i="80"/>
  <c r="B83" i="80"/>
  <c r="B84" i="80"/>
  <c r="B85" i="80"/>
  <c r="B86" i="80"/>
  <c r="B88" i="80"/>
  <c r="B89" i="80"/>
  <c r="B90" i="80"/>
  <c r="B91" i="80"/>
  <c r="B93" i="80"/>
  <c r="B94" i="80"/>
  <c r="B95" i="80"/>
  <c r="B97" i="80"/>
  <c r="B98" i="80"/>
  <c r="B99" i="80"/>
  <c r="B100" i="80"/>
  <c r="B55" i="81"/>
  <c r="B55" i="82"/>
  <c r="B55" i="83"/>
  <c r="B55" i="84"/>
  <c r="B55" i="85"/>
  <c r="B55" i="86"/>
  <c r="B55" i="87"/>
  <c r="B55" i="88"/>
  <c r="B55" i="89"/>
  <c r="B55" i="90"/>
  <c r="B55" i="91"/>
  <c r="B55" i="92"/>
  <c r="B55" i="80"/>
  <c r="C60" i="82"/>
  <c r="C69" i="82"/>
  <c r="C70" i="82"/>
  <c r="C71" i="82"/>
  <c r="C72" i="82"/>
  <c r="C73" i="82"/>
  <c r="C74" i="82"/>
  <c r="C75" i="82"/>
  <c r="C76" i="82"/>
  <c r="C77" i="82"/>
  <c r="C78" i="82"/>
  <c r="C79" i="82"/>
  <c r="C80" i="82"/>
  <c r="C81" i="82"/>
  <c r="C82" i="82"/>
  <c r="C83" i="82"/>
  <c r="C84" i="82"/>
  <c r="C85" i="82"/>
  <c r="C86" i="82"/>
  <c r="C88" i="82"/>
  <c r="C89" i="82"/>
  <c r="C90" i="82"/>
  <c r="C91" i="82"/>
  <c r="C93" i="82"/>
  <c r="C94" i="82"/>
  <c r="C95" i="82"/>
  <c r="C60" i="83"/>
  <c r="C69" i="83"/>
  <c r="C70" i="83"/>
  <c r="C71" i="83"/>
  <c r="C72" i="83"/>
  <c r="C73" i="83"/>
  <c r="C74" i="83"/>
  <c r="C75" i="83"/>
  <c r="C76" i="83"/>
  <c r="C77" i="83"/>
  <c r="C78" i="83"/>
  <c r="C79" i="83"/>
  <c r="C80" i="83"/>
  <c r="C81" i="83"/>
  <c r="C82" i="83"/>
  <c r="C83" i="83"/>
  <c r="C84" i="83"/>
  <c r="C85" i="83"/>
  <c r="C86" i="83"/>
  <c r="C88" i="83"/>
  <c r="C89" i="83"/>
  <c r="C90" i="83"/>
  <c r="C91" i="83"/>
  <c r="C93" i="83"/>
  <c r="C94" i="83"/>
  <c r="C95" i="83"/>
  <c r="C60" i="84"/>
  <c r="C62" i="84"/>
  <c r="C63" i="84"/>
  <c r="C64" i="84"/>
  <c r="C65" i="84"/>
  <c r="C66" i="84"/>
  <c r="C67" i="84"/>
  <c r="C69" i="84"/>
  <c r="C70" i="84"/>
  <c r="C71" i="84"/>
  <c r="C72" i="84"/>
  <c r="C73" i="84"/>
  <c r="C74" i="84"/>
  <c r="C75" i="84"/>
  <c r="C76" i="84"/>
  <c r="C77" i="84"/>
  <c r="C78" i="84"/>
  <c r="C79" i="84"/>
  <c r="C80" i="84"/>
  <c r="C81" i="84"/>
  <c r="C82" i="84"/>
  <c r="C83" i="84"/>
  <c r="C84" i="84"/>
  <c r="C85" i="84"/>
  <c r="C86" i="84"/>
  <c r="C88" i="84"/>
  <c r="C89" i="84"/>
  <c r="C90" i="84"/>
  <c r="C91" i="84"/>
  <c r="C93" i="84"/>
  <c r="C94" i="84"/>
  <c r="C95" i="84"/>
  <c r="C60" i="85"/>
  <c r="C62" i="85"/>
  <c r="C63" i="85"/>
  <c r="C64" i="85"/>
  <c r="C65" i="85"/>
  <c r="C66" i="85"/>
  <c r="C67" i="85"/>
  <c r="C69" i="85"/>
  <c r="C70" i="85"/>
  <c r="C71" i="85"/>
  <c r="C72" i="85"/>
  <c r="C73" i="85"/>
  <c r="C74" i="85"/>
  <c r="C75" i="85"/>
  <c r="C76" i="85"/>
  <c r="C77" i="85"/>
  <c r="C78" i="85"/>
  <c r="C79" i="85"/>
  <c r="C80" i="85"/>
  <c r="C81" i="85"/>
  <c r="C82" i="85"/>
  <c r="C83" i="85"/>
  <c r="C84" i="85"/>
  <c r="C85" i="85"/>
  <c r="C86" i="85"/>
  <c r="C88" i="85"/>
  <c r="C89" i="85"/>
  <c r="C90" i="85"/>
  <c r="C91" i="85"/>
  <c r="C93" i="85"/>
  <c r="C94" i="85"/>
  <c r="C95" i="85"/>
  <c r="C60" i="86"/>
  <c r="C69" i="86"/>
  <c r="C70" i="86"/>
  <c r="C71" i="86"/>
  <c r="C72" i="86"/>
  <c r="C73" i="86"/>
  <c r="C74" i="86"/>
  <c r="C75" i="86"/>
  <c r="C76" i="86"/>
  <c r="C77" i="86"/>
  <c r="C78" i="86"/>
  <c r="C79" i="86"/>
  <c r="C80" i="86"/>
  <c r="C81" i="86"/>
  <c r="C82" i="86"/>
  <c r="C83" i="86"/>
  <c r="C84" i="86"/>
  <c r="C85" i="86"/>
  <c r="C86" i="86"/>
  <c r="C88" i="86"/>
  <c r="C89" i="86"/>
  <c r="C90" i="86"/>
  <c r="C91" i="86"/>
  <c r="C93" i="86"/>
  <c r="C94" i="86"/>
  <c r="C95" i="86"/>
  <c r="C60" i="87"/>
  <c r="C69" i="87"/>
  <c r="C70" i="87"/>
  <c r="C71" i="87"/>
  <c r="C72" i="87"/>
  <c r="C73" i="87"/>
  <c r="C74" i="87"/>
  <c r="C75" i="87"/>
  <c r="C76" i="87"/>
  <c r="C77" i="87"/>
  <c r="C78" i="87"/>
  <c r="C79" i="87"/>
  <c r="C80" i="87"/>
  <c r="C81" i="87"/>
  <c r="C82" i="87"/>
  <c r="C83" i="87"/>
  <c r="C84" i="87"/>
  <c r="C85" i="87"/>
  <c r="C86" i="87"/>
  <c r="C88" i="87"/>
  <c r="C89" i="87"/>
  <c r="C90" i="87"/>
  <c r="C91" i="87"/>
  <c r="C93" i="87"/>
  <c r="C94" i="87"/>
  <c r="C95" i="87"/>
  <c r="C60" i="88"/>
  <c r="C69" i="88"/>
  <c r="C70" i="88"/>
  <c r="C71" i="88"/>
  <c r="C72" i="88"/>
  <c r="C73" i="88"/>
  <c r="C74" i="88"/>
  <c r="C75" i="88"/>
  <c r="C76" i="88"/>
  <c r="C77" i="88"/>
  <c r="C78" i="88"/>
  <c r="C79" i="88"/>
  <c r="C80" i="88"/>
  <c r="C81" i="88"/>
  <c r="C82" i="88"/>
  <c r="C83" i="88"/>
  <c r="C84" i="88"/>
  <c r="C85" i="88"/>
  <c r="C86" i="88"/>
  <c r="C88" i="88"/>
  <c r="C89" i="88"/>
  <c r="C90" i="88"/>
  <c r="C91" i="88"/>
  <c r="C93" i="88"/>
  <c r="C94" i="88"/>
  <c r="C95" i="88"/>
  <c r="C60" i="89"/>
  <c r="C69" i="89"/>
  <c r="C70" i="89"/>
  <c r="C71" i="89"/>
  <c r="C72" i="89"/>
  <c r="C73" i="89"/>
  <c r="C74" i="89"/>
  <c r="C75" i="89"/>
  <c r="C76" i="89"/>
  <c r="C77" i="89"/>
  <c r="C78" i="89"/>
  <c r="C79" i="89"/>
  <c r="C80" i="89"/>
  <c r="C81" i="89"/>
  <c r="C82" i="89"/>
  <c r="C83" i="89"/>
  <c r="C84" i="89"/>
  <c r="C85" i="89"/>
  <c r="C86" i="89"/>
  <c r="C88" i="89"/>
  <c r="C89" i="89"/>
  <c r="C90" i="89"/>
  <c r="C91" i="89"/>
  <c r="C93" i="89"/>
  <c r="C94" i="89"/>
  <c r="C95" i="89"/>
  <c r="C60" i="90"/>
  <c r="C62" i="90"/>
  <c r="C63" i="90"/>
  <c r="C64" i="90"/>
  <c r="C65" i="90"/>
  <c r="C66" i="90"/>
  <c r="C67" i="90"/>
  <c r="C69" i="90"/>
  <c r="C70" i="90"/>
  <c r="C71" i="90"/>
  <c r="C72" i="90"/>
  <c r="C73" i="90"/>
  <c r="C74" i="90"/>
  <c r="C75" i="90"/>
  <c r="C76" i="90"/>
  <c r="C77" i="90"/>
  <c r="C78" i="90"/>
  <c r="C79" i="90"/>
  <c r="C80" i="90"/>
  <c r="C81" i="90"/>
  <c r="C82" i="90"/>
  <c r="C83" i="90"/>
  <c r="C84" i="90"/>
  <c r="C85" i="90"/>
  <c r="C86" i="90"/>
  <c r="C88" i="90"/>
  <c r="C89" i="90"/>
  <c r="C90" i="90"/>
  <c r="C91" i="90"/>
  <c r="C93" i="90"/>
  <c r="C94" i="90"/>
  <c r="C95" i="90"/>
  <c r="C60" i="91"/>
  <c r="C69" i="91"/>
  <c r="C70" i="91"/>
  <c r="C71" i="91"/>
  <c r="C72" i="91"/>
  <c r="C73" i="91"/>
  <c r="C74" i="91"/>
  <c r="C75" i="91"/>
  <c r="C76" i="91"/>
  <c r="C77" i="91"/>
  <c r="C78" i="91"/>
  <c r="C79" i="91"/>
  <c r="C80" i="91"/>
  <c r="C81" i="91"/>
  <c r="C82" i="91"/>
  <c r="C83" i="91"/>
  <c r="C84" i="91"/>
  <c r="C85" i="91"/>
  <c r="C86" i="91"/>
  <c r="C88" i="91"/>
  <c r="C89" i="91"/>
  <c r="C90" i="91"/>
  <c r="C91" i="91"/>
  <c r="C93" i="91"/>
  <c r="C94" i="91"/>
  <c r="C95" i="91"/>
  <c r="C60" i="92"/>
  <c r="C69" i="92"/>
  <c r="C70" i="92"/>
  <c r="C71" i="92"/>
  <c r="C72" i="92"/>
  <c r="C73" i="92"/>
  <c r="C74" i="92"/>
  <c r="C75" i="92"/>
  <c r="C76" i="92"/>
  <c r="C77" i="92"/>
  <c r="C78" i="92"/>
  <c r="C79" i="92"/>
  <c r="C80" i="92"/>
  <c r="C81" i="92"/>
  <c r="C82" i="92"/>
  <c r="C83" i="92"/>
  <c r="C84" i="92"/>
  <c r="C85" i="92"/>
  <c r="C86" i="92"/>
  <c r="C88" i="92"/>
  <c r="C89" i="92"/>
  <c r="C90" i="92"/>
  <c r="C91" i="92"/>
  <c r="C93" i="92"/>
  <c r="C94" i="92"/>
  <c r="C95" i="92"/>
  <c r="C60" i="81"/>
  <c r="C69" i="81"/>
  <c r="C70" i="81"/>
  <c r="C71" i="81"/>
  <c r="C72" i="81"/>
  <c r="C73" i="81"/>
  <c r="C74" i="81"/>
  <c r="C75" i="81"/>
  <c r="C76" i="81"/>
  <c r="C77" i="81"/>
  <c r="C78" i="81"/>
  <c r="C79" i="81"/>
  <c r="C80" i="81"/>
  <c r="C81" i="81"/>
  <c r="C82" i="81"/>
  <c r="C83" i="81"/>
  <c r="C84" i="81"/>
  <c r="C85" i="81"/>
  <c r="C86" i="81"/>
  <c r="C88" i="81"/>
  <c r="C89" i="81"/>
  <c r="C90" i="81"/>
  <c r="C91" i="81"/>
  <c r="C93" i="81"/>
  <c r="C94" i="81"/>
  <c r="C95" i="81"/>
  <c r="C56" i="82"/>
  <c r="C57" i="82"/>
  <c r="C58" i="82"/>
  <c r="C59" i="82"/>
  <c r="C56" i="83"/>
  <c r="C57" i="83"/>
  <c r="C58" i="83"/>
  <c r="C59" i="83"/>
  <c r="C56" i="84"/>
  <c r="C57" i="84"/>
  <c r="C58" i="84"/>
  <c r="C59" i="84"/>
  <c r="C56" i="85"/>
  <c r="C57" i="85"/>
  <c r="C58" i="85"/>
  <c r="C59" i="85"/>
  <c r="C56" i="86"/>
  <c r="C57" i="86"/>
  <c r="C58" i="86"/>
  <c r="C59" i="86"/>
  <c r="C56" i="87"/>
  <c r="C57" i="87"/>
  <c r="C58" i="87"/>
  <c r="C59" i="87"/>
  <c r="C56" i="88"/>
  <c r="C57" i="88"/>
  <c r="C58" i="88"/>
  <c r="C59" i="88"/>
  <c r="C56" i="89"/>
  <c r="C57" i="89"/>
  <c r="C58" i="89"/>
  <c r="C59" i="89"/>
  <c r="C56" i="90"/>
  <c r="C57" i="90"/>
  <c r="C58" i="90"/>
  <c r="C59" i="90"/>
  <c r="C56" i="91"/>
  <c r="C57" i="91"/>
  <c r="C58" i="91"/>
  <c r="C59" i="91"/>
  <c r="C56" i="92"/>
  <c r="C57" i="92"/>
  <c r="C58" i="92"/>
  <c r="C59" i="92"/>
  <c r="C56" i="81"/>
  <c r="C57" i="81"/>
  <c r="C58" i="81"/>
  <c r="C59" i="81"/>
  <c r="C55" i="82"/>
  <c r="C55" i="83"/>
  <c r="C55" i="84"/>
  <c r="C55" i="85"/>
  <c r="C55" i="86"/>
  <c r="C55" i="87"/>
  <c r="C55" i="88"/>
  <c r="C55" i="89"/>
  <c r="C55" i="90"/>
  <c r="C55" i="91"/>
  <c r="C55" i="92"/>
  <c r="C55" i="81"/>
  <c r="C56" i="80"/>
  <c r="C57" i="80"/>
  <c r="C58" i="80"/>
  <c r="C59" i="80"/>
  <c r="C60" i="80"/>
  <c r="C62" i="80"/>
  <c r="C63" i="80"/>
  <c r="C64" i="80"/>
  <c r="C65" i="80"/>
  <c r="C66" i="80"/>
  <c r="C67" i="80"/>
  <c r="C69" i="80"/>
  <c r="C70" i="80"/>
  <c r="C71" i="80"/>
  <c r="C72" i="80"/>
  <c r="C73" i="80"/>
  <c r="C74" i="80"/>
  <c r="C75" i="80"/>
  <c r="C76" i="80"/>
  <c r="C77" i="80"/>
  <c r="C78" i="80"/>
  <c r="C79" i="80"/>
  <c r="C80" i="80"/>
  <c r="C81" i="80"/>
  <c r="C82" i="80"/>
  <c r="C83" i="80"/>
  <c r="C84" i="80"/>
  <c r="C85" i="80"/>
  <c r="C86" i="80"/>
  <c r="C88" i="80"/>
  <c r="C89" i="80"/>
  <c r="C90" i="80"/>
  <c r="C91" i="80"/>
  <c r="C93" i="80"/>
  <c r="C94" i="80"/>
  <c r="C95" i="80"/>
  <c r="C97" i="80"/>
  <c r="C98" i="80"/>
  <c r="C99" i="80"/>
  <c r="C100" i="80"/>
  <c r="C55" i="80"/>
  <c r="D28" i="92"/>
  <c r="P28" i="72" l="1"/>
  <c r="O29" i="72"/>
  <c r="O31" i="72"/>
  <c r="O30" i="72"/>
  <c r="H71" i="81"/>
  <c r="I71" i="81"/>
  <c r="D73" i="81" s="1"/>
  <c r="H72" i="81"/>
  <c r="I72" i="81"/>
  <c r="H73" i="81"/>
  <c r="I73" i="81"/>
  <c r="D94" i="81" s="1"/>
  <c r="D95" i="81" s="1"/>
  <c r="H74" i="81"/>
  <c r="I74" i="81"/>
  <c r="D75" i="81" s="1"/>
  <c r="H71" i="82"/>
  <c r="I71" i="82"/>
  <c r="D73" i="82" s="1"/>
  <c r="H72" i="82"/>
  <c r="I72" i="82"/>
  <c r="H73" i="82"/>
  <c r="I73" i="82"/>
  <c r="D94" i="82" s="1"/>
  <c r="D95" i="82" s="1"/>
  <c r="H74" i="82"/>
  <c r="I74" i="82"/>
  <c r="D75" i="82" s="1"/>
  <c r="H71" i="83"/>
  <c r="I71" i="83"/>
  <c r="D73" i="83" s="1"/>
  <c r="H72" i="83"/>
  <c r="I72" i="83"/>
  <c r="H73" i="83"/>
  <c r="I73" i="83"/>
  <c r="D94" i="83" s="1"/>
  <c r="D95" i="83" s="1"/>
  <c r="H74" i="83"/>
  <c r="I74" i="83"/>
  <c r="D75" i="83" s="1"/>
  <c r="H71" i="84"/>
  <c r="I71" i="84"/>
  <c r="D73" i="84" s="1"/>
  <c r="D80" i="84" s="1"/>
  <c r="H72" i="84"/>
  <c r="I72" i="84"/>
  <c r="H73" i="84"/>
  <c r="I73" i="84"/>
  <c r="D94" i="84" s="1"/>
  <c r="D95" i="84" s="1"/>
  <c r="H74" i="84"/>
  <c r="I74" i="84"/>
  <c r="D75" i="84" s="1"/>
  <c r="H71" i="85"/>
  <c r="I71" i="85"/>
  <c r="D73" i="85" s="1"/>
  <c r="D80" i="85" s="1"/>
  <c r="H72" i="85"/>
  <c r="I72" i="85"/>
  <c r="H73" i="85"/>
  <c r="I73" i="85"/>
  <c r="D94" i="85" s="1"/>
  <c r="D95" i="85" s="1"/>
  <c r="H74" i="85"/>
  <c r="I74" i="85"/>
  <c r="D75" i="85" s="1"/>
  <c r="H71" i="86"/>
  <c r="I71" i="86"/>
  <c r="D73" i="86" s="1"/>
  <c r="D80" i="86" s="1"/>
  <c r="H72" i="86"/>
  <c r="I72" i="86"/>
  <c r="H73" i="86"/>
  <c r="I73" i="86"/>
  <c r="D94" i="86" s="1"/>
  <c r="D95" i="86" s="1"/>
  <c r="H74" i="86"/>
  <c r="I74" i="86"/>
  <c r="H71" i="87"/>
  <c r="I71" i="87"/>
  <c r="D73" i="87" s="1"/>
  <c r="D80" i="87" s="1"/>
  <c r="H72" i="87"/>
  <c r="I72" i="87"/>
  <c r="H73" i="87"/>
  <c r="I73" i="87"/>
  <c r="D94" i="87" s="1"/>
  <c r="D95" i="87" s="1"/>
  <c r="H74" i="87"/>
  <c r="I74" i="87"/>
  <c r="H71" i="88"/>
  <c r="I71" i="88"/>
  <c r="H72" i="88"/>
  <c r="I72" i="88"/>
  <c r="H73" i="88"/>
  <c r="I73" i="88"/>
  <c r="D94" i="88" s="1"/>
  <c r="H74" i="88"/>
  <c r="I74" i="88"/>
  <c r="H71" i="89"/>
  <c r="I71" i="89"/>
  <c r="H72" i="89"/>
  <c r="I72" i="89"/>
  <c r="H73" i="89"/>
  <c r="I73" i="89"/>
  <c r="D94" i="89" s="1"/>
  <c r="H74" i="89"/>
  <c r="I74" i="89"/>
  <c r="H71" i="90"/>
  <c r="I71" i="90"/>
  <c r="D73" i="90" s="1"/>
  <c r="H72" i="90"/>
  <c r="I72" i="90"/>
  <c r="H73" i="90"/>
  <c r="I73" i="90"/>
  <c r="D94" i="90" s="1"/>
  <c r="D95" i="90" s="1"/>
  <c r="H74" i="90"/>
  <c r="I74" i="90"/>
  <c r="H71" i="91"/>
  <c r="I71" i="91"/>
  <c r="H72" i="91"/>
  <c r="I72" i="91"/>
  <c r="H73" i="91"/>
  <c r="I73" i="91"/>
  <c r="D94" i="91" s="1"/>
  <c r="H74" i="91"/>
  <c r="I74" i="91"/>
  <c r="H71" i="92"/>
  <c r="I71" i="92"/>
  <c r="D73" i="92" s="1"/>
  <c r="D80" i="92" s="1"/>
  <c r="H72" i="92"/>
  <c r="I72" i="92"/>
  <c r="H73" i="92"/>
  <c r="I73" i="92"/>
  <c r="D94" i="92" s="1"/>
  <c r="D95" i="92" s="1"/>
  <c r="H74" i="92"/>
  <c r="I74" i="92"/>
  <c r="H71" i="80"/>
  <c r="I71" i="80"/>
  <c r="D73" i="80" s="1"/>
  <c r="E73" i="80" s="1"/>
  <c r="H72" i="80"/>
  <c r="I72" i="80"/>
  <c r="H73" i="80"/>
  <c r="I73" i="80"/>
  <c r="E94" i="80" s="1"/>
  <c r="E95" i="80" s="1"/>
  <c r="H74" i="80"/>
  <c r="I74" i="80"/>
  <c r="D75" i="80" s="1"/>
  <c r="D75" i="87" s="1"/>
  <c r="I70" i="81"/>
  <c r="I70" i="82"/>
  <c r="I70" i="83"/>
  <c r="I70" i="84"/>
  <c r="I70" i="85"/>
  <c r="I70" i="86"/>
  <c r="I70" i="87"/>
  <c r="I70" i="88"/>
  <c r="I70" i="89"/>
  <c r="I70" i="90"/>
  <c r="I70" i="91"/>
  <c r="I70" i="92"/>
  <c r="I70" i="80"/>
  <c r="H70" i="81"/>
  <c r="H70" i="82"/>
  <c r="H70" i="83"/>
  <c r="H70" i="84"/>
  <c r="H70" i="85"/>
  <c r="H70" i="86"/>
  <c r="H70" i="87"/>
  <c r="H70" i="88"/>
  <c r="H70" i="89"/>
  <c r="H70" i="90"/>
  <c r="H70" i="91"/>
  <c r="H70" i="92"/>
  <c r="H70" i="80"/>
  <c r="D62" i="24"/>
  <c r="C62" i="24"/>
  <c r="G46" i="24"/>
  <c r="E46" i="24"/>
  <c r="C46" i="24"/>
  <c r="C41" i="24"/>
  <c r="C40" i="24"/>
  <c r="A97" i="81"/>
  <c r="D86" i="81"/>
  <c r="D85" i="81"/>
  <c r="D84" i="81"/>
  <c r="D83" i="81"/>
  <c r="D82" i="81"/>
  <c r="D81" i="81"/>
  <c r="D80" i="81"/>
  <c r="D76" i="81"/>
  <c r="A97" i="82"/>
  <c r="D86" i="82"/>
  <c r="D85" i="82"/>
  <c r="D84" i="82"/>
  <c r="D83" i="82"/>
  <c r="D82" i="82"/>
  <c r="D81" i="82"/>
  <c r="D76" i="82"/>
  <c r="A97" i="83"/>
  <c r="D86" i="83"/>
  <c r="D85" i="83"/>
  <c r="D84" i="83"/>
  <c r="D83" i="83"/>
  <c r="D82" i="83"/>
  <c r="D81" i="83"/>
  <c r="D76" i="83"/>
  <c r="A97" i="84"/>
  <c r="D86" i="84"/>
  <c r="D85" i="84"/>
  <c r="D84" i="84"/>
  <c r="D83" i="84"/>
  <c r="D82" i="84"/>
  <c r="D81" i="84"/>
  <c r="D76" i="84"/>
  <c r="A97" i="85"/>
  <c r="D76" i="85"/>
  <c r="D86" i="85"/>
  <c r="D85" i="85"/>
  <c r="D84" i="85"/>
  <c r="D83" i="85"/>
  <c r="D82" i="85"/>
  <c r="D81" i="85"/>
  <c r="A97" i="86"/>
  <c r="D76" i="86"/>
  <c r="D86" i="86"/>
  <c r="D85" i="86"/>
  <c r="D84" i="86"/>
  <c r="D83" i="86"/>
  <c r="D82" i="86"/>
  <c r="D81" i="86"/>
  <c r="A97" i="87"/>
  <c r="D76" i="87"/>
  <c r="D84" i="87"/>
  <c r="D83" i="87"/>
  <c r="A97" i="88"/>
  <c r="D86" i="88"/>
  <c r="D85" i="88"/>
  <c r="D84" i="88"/>
  <c r="D83" i="88"/>
  <c r="D82" i="88"/>
  <c r="D81" i="88"/>
  <c r="D76" i="88"/>
  <c r="A97" i="89"/>
  <c r="D86" i="89"/>
  <c r="D85" i="89"/>
  <c r="D84" i="89"/>
  <c r="D83" i="89"/>
  <c r="D82" i="89"/>
  <c r="D81" i="89"/>
  <c r="D76" i="89"/>
  <c r="A97" i="90"/>
  <c r="D80" i="90"/>
  <c r="D76" i="90"/>
  <c r="D86" i="90"/>
  <c r="D85" i="90"/>
  <c r="D84" i="90"/>
  <c r="D83" i="90"/>
  <c r="D82" i="90"/>
  <c r="D81" i="90"/>
  <c r="A97" i="91"/>
  <c r="D86" i="91"/>
  <c r="D85" i="91"/>
  <c r="D84" i="91"/>
  <c r="D83" i="91"/>
  <c r="D82" i="91"/>
  <c r="D81" i="91"/>
  <c r="D76" i="91"/>
  <c r="A97" i="92"/>
  <c r="D76" i="92"/>
  <c r="D86" i="80"/>
  <c r="D85" i="80"/>
  <c r="D84" i="80"/>
  <c r="D83" i="80"/>
  <c r="D82" i="80"/>
  <c r="D81" i="80"/>
  <c r="D76" i="80"/>
  <c r="E76" i="80"/>
  <c r="A37" i="79"/>
  <c r="A42" i="79"/>
  <c r="A27" i="79"/>
  <c r="A28" i="79"/>
  <c r="A29" i="79"/>
  <c r="A30" i="79"/>
  <c r="A31" i="79"/>
  <c r="A32" i="79"/>
  <c r="A33" i="79"/>
  <c r="A34" i="79"/>
  <c r="A35" i="79"/>
  <c r="A36" i="79"/>
  <c r="A41" i="79"/>
  <c r="A26" i="79"/>
  <c r="C52" i="92"/>
  <c r="C51" i="92"/>
  <c r="C100" i="92" s="1"/>
  <c r="B51" i="92"/>
  <c r="B100" i="92" s="1"/>
  <c r="C50" i="92"/>
  <c r="C99" i="92" s="1"/>
  <c r="B50" i="92"/>
  <c r="B99" i="92" s="1"/>
  <c r="C49" i="92"/>
  <c r="C98" i="92" s="1"/>
  <c r="B49" i="92"/>
  <c r="B98" i="92" s="1"/>
  <c r="C48" i="92"/>
  <c r="C97" i="92" s="1"/>
  <c r="B48" i="92"/>
  <c r="B97" i="92" s="1"/>
  <c r="A48" i="92"/>
  <c r="D46" i="92"/>
  <c r="D31" i="92"/>
  <c r="D30" i="92"/>
  <c r="D29" i="92"/>
  <c r="D27" i="92"/>
  <c r="C52" i="91"/>
  <c r="C51" i="91"/>
  <c r="C100" i="91" s="1"/>
  <c r="B51" i="91"/>
  <c r="B100" i="91" s="1"/>
  <c r="C50" i="91"/>
  <c r="C99" i="91" s="1"/>
  <c r="B50" i="91"/>
  <c r="B99" i="91" s="1"/>
  <c r="C49" i="91"/>
  <c r="C98" i="91" s="1"/>
  <c r="B49" i="91"/>
  <c r="B98" i="91" s="1"/>
  <c r="C48" i="91"/>
  <c r="C97" i="91" s="1"/>
  <c r="B48" i="91"/>
  <c r="B97" i="91" s="1"/>
  <c r="A48" i="91"/>
  <c r="D46" i="91"/>
  <c r="D37" i="91"/>
  <c r="D36" i="91"/>
  <c r="D35" i="91"/>
  <c r="D34" i="91"/>
  <c r="D33" i="91"/>
  <c r="D32" i="91"/>
  <c r="D31" i="91"/>
  <c r="D30" i="91"/>
  <c r="D29" i="91"/>
  <c r="D28" i="91"/>
  <c r="D27" i="91"/>
  <c r="C52" i="90"/>
  <c r="C51" i="90"/>
  <c r="C100" i="90" s="1"/>
  <c r="B51" i="90"/>
  <c r="B100" i="90" s="1"/>
  <c r="C50" i="90"/>
  <c r="C99" i="90" s="1"/>
  <c r="B50" i="90"/>
  <c r="B99" i="90" s="1"/>
  <c r="C49" i="90"/>
  <c r="C98" i="90" s="1"/>
  <c r="B49" i="90"/>
  <c r="B98" i="90" s="1"/>
  <c r="C48" i="90"/>
  <c r="C97" i="90" s="1"/>
  <c r="B48" i="90"/>
  <c r="B97" i="90" s="1"/>
  <c r="A48" i="90"/>
  <c r="D46" i="90"/>
  <c r="D31" i="90"/>
  <c r="D30" i="90"/>
  <c r="D29" i="90"/>
  <c r="D28" i="90"/>
  <c r="D27" i="90"/>
  <c r="D18" i="90"/>
  <c r="D37" i="90" s="1"/>
  <c r="D17" i="90"/>
  <c r="D36" i="90" s="1"/>
  <c r="D16" i="90"/>
  <c r="D35" i="90" s="1"/>
  <c r="D15" i="90"/>
  <c r="D34" i="90" s="1"/>
  <c r="D14" i="90"/>
  <c r="D33" i="90" s="1"/>
  <c r="D13" i="90"/>
  <c r="D32" i="90" s="1"/>
  <c r="C52" i="89"/>
  <c r="C51" i="89"/>
  <c r="C100" i="89" s="1"/>
  <c r="B51" i="89"/>
  <c r="B100" i="89" s="1"/>
  <c r="C50" i="89"/>
  <c r="C99" i="89" s="1"/>
  <c r="B50" i="89"/>
  <c r="B99" i="89" s="1"/>
  <c r="C49" i="89"/>
  <c r="C98" i="89" s="1"/>
  <c r="B49" i="89"/>
  <c r="B98" i="89" s="1"/>
  <c r="C48" i="89"/>
  <c r="C97" i="89" s="1"/>
  <c r="B48" i="89"/>
  <c r="B97" i="89" s="1"/>
  <c r="A48" i="89"/>
  <c r="D46" i="89"/>
  <c r="D37" i="89"/>
  <c r="D36" i="89"/>
  <c r="D35" i="89"/>
  <c r="D34" i="89"/>
  <c r="D33" i="89"/>
  <c r="D32" i="89"/>
  <c r="D31" i="89"/>
  <c r="D30" i="89"/>
  <c r="D29" i="89"/>
  <c r="D28" i="89"/>
  <c r="D27" i="89"/>
  <c r="C52" i="88"/>
  <c r="C51" i="88"/>
  <c r="C100" i="88" s="1"/>
  <c r="B51" i="88"/>
  <c r="B100" i="88" s="1"/>
  <c r="C50" i="88"/>
  <c r="C99" i="88" s="1"/>
  <c r="B50" i="88"/>
  <c r="B99" i="88" s="1"/>
  <c r="C49" i="88"/>
  <c r="C98" i="88" s="1"/>
  <c r="B49" i="88"/>
  <c r="B98" i="88" s="1"/>
  <c r="C48" i="88"/>
  <c r="C97" i="88" s="1"/>
  <c r="B48" i="88"/>
  <c r="B97" i="88" s="1"/>
  <c r="A48" i="88"/>
  <c r="D46" i="88"/>
  <c r="D37" i="88"/>
  <c r="D36" i="88"/>
  <c r="D35" i="88"/>
  <c r="D34" i="88"/>
  <c r="D33" i="88"/>
  <c r="D32" i="88"/>
  <c r="D31" i="88"/>
  <c r="D30" i="88"/>
  <c r="D29" i="88"/>
  <c r="D28" i="88"/>
  <c r="D27" i="88"/>
  <c r="C52" i="87"/>
  <c r="C51" i="87"/>
  <c r="C100" i="87" s="1"/>
  <c r="B51" i="87"/>
  <c r="B100" i="87" s="1"/>
  <c r="C50" i="87"/>
  <c r="C99" i="87" s="1"/>
  <c r="B50" i="87"/>
  <c r="B99" i="87" s="1"/>
  <c r="C49" i="87"/>
  <c r="C98" i="87" s="1"/>
  <c r="B49" i="87"/>
  <c r="B98" i="87" s="1"/>
  <c r="C48" i="87"/>
  <c r="C97" i="87" s="1"/>
  <c r="B48" i="87"/>
  <c r="B97" i="87" s="1"/>
  <c r="A48" i="87"/>
  <c r="D46" i="87"/>
  <c r="D31" i="87"/>
  <c r="D30" i="87"/>
  <c r="D29" i="87"/>
  <c r="D28" i="87"/>
  <c r="D27" i="87"/>
  <c r="C52" i="86"/>
  <c r="C51" i="86"/>
  <c r="C100" i="86" s="1"/>
  <c r="B51" i="86"/>
  <c r="B100" i="86" s="1"/>
  <c r="C50" i="86"/>
  <c r="C99" i="86" s="1"/>
  <c r="B50" i="86"/>
  <c r="B99" i="86" s="1"/>
  <c r="C49" i="86"/>
  <c r="C98" i="86" s="1"/>
  <c r="B49" i="86"/>
  <c r="B98" i="86" s="1"/>
  <c r="C48" i="86"/>
  <c r="C97" i="86" s="1"/>
  <c r="B48" i="86"/>
  <c r="B97" i="86" s="1"/>
  <c r="A48" i="86"/>
  <c r="D46" i="86"/>
  <c r="D31" i="86"/>
  <c r="D30" i="86"/>
  <c r="D29" i="86"/>
  <c r="D28" i="86"/>
  <c r="D27" i="86"/>
  <c r="D18" i="86"/>
  <c r="D18" i="87" s="1"/>
  <c r="D37" i="87" s="1"/>
  <c r="D17" i="86"/>
  <c r="D17" i="87" s="1"/>
  <c r="D36" i="87" s="1"/>
  <c r="D16" i="86"/>
  <c r="D16" i="87" s="1"/>
  <c r="D35" i="87" s="1"/>
  <c r="D15" i="86"/>
  <c r="D15" i="87" s="1"/>
  <c r="D34" i="87" s="1"/>
  <c r="D14" i="86"/>
  <c r="D14" i="87" s="1"/>
  <c r="D33" i="87" s="1"/>
  <c r="D13" i="86"/>
  <c r="D13" i="87" s="1"/>
  <c r="D32" i="87" s="1"/>
  <c r="C52" i="85"/>
  <c r="C51" i="85"/>
  <c r="C100" i="85" s="1"/>
  <c r="B51" i="85"/>
  <c r="B100" i="85" s="1"/>
  <c r="C50" i="85"/>
  <c r="C99" i="85" s="1"/>
  <c r="B50" i="85"/>
  <c r="B99" i="85" s="1"/>
  <c r="C49" i="85"/>
  <c r="C98" i="85" s="1"/>
  <c r="B49" i="85"/>
  <c r="B98" i="85" s="1"/>
  <c r="C48" i="85"/>
  <c r="C97" i="85" s="1"/>
  <c r="B48" i="85"/>
  <c r="B97" i="85" s="1"/>
  <c r="A48" i="85"/>
  <c r="D46" i="85"/>
  <c r="D31" i="85"/>
  <c r="D30" i="85"/>
  <c r="D29" i="85"/>
  <c r="D28" i="85"/>
  <c r="D27" i="85"/>
  <c r="D18" i="85"/>
  <c r="D37" i="85" s="1"/>
  <c r="D17" i="85"/>
  <c r="D36" i="85" s="1"/>
  <c r="D16" i="85"/>
  <c r="D35" i="85" s="1"/>
  <c r="D15" i="85"/>
  <c r="D34" i="85" s="1"/>
  <c r="D14" i="85"/>
  <c r="D33" i="85" s="1"/>
  <c r="D13" i="85"/>
  <c r="D32" i="85" s="1"/>
  <c r="C52" i="84"/>
  <c r="C51" i="84"/>
  <c r="C100" i="84" s="1"/>
  <c r="B51" i="84"/>
  <c r="B100" i="84" s="1"/>
  <c r="C50" i="84"/>
  <c r="C99" i="84" s="1"/>
  <c r="B50" i="84"/>
  <c r="B99" i="84" s="1"/>
  <c r="C49" i="84"/>
  <c r="C98" i="84" s="1"/>
  <c r="B49" i="84"/>
  <c r="B98" i="84" s="1"/>
  <c r="C48" i="84"/>
  <c r="C97" i="84" s="1"/>
  <c r="B48" i="84"/>
  <c r="B97" i="84" s="1"/>
  <c r="A48" i="84"/>
  <c r="D46" i="84"/>
  <c r="D37" i="84"/>
  <c r="D36" i="84"/>
  <c r="D35" i="84"/>
  <c r="D34" i="84"/>
  <c r="D33" i="84"/>
  <c r="D32" i="84"/>
  <c r="D31" i="84"/>
  <c r="D30" i="84"/>
  <c r="D29" i="84"/>
  <c r="D28" i="84"/>
  <c r="D27" i="84"/>
  <c r="C52" i="83"/>
  <c r="C51" i="83"/>
  <c r="C100" i="83" s="1"/>
  <c r="B51" i="83"/>
  <c r="B100" i="83" s="1"/>
  <c r="C50" i="83"/>
  <c r="C99" i="83" s="1"/>
  <c r="B50" i="83"/>
  <c r="B99" i="83" s="1"/>
  <c r="C49" i="83"/>
  <c r="C98" i="83" s="1"/>
  <c r="B49" i="83"/>
  <c r="B98" i="83" s="1"/>
  <c r="C48" i="83"/>
  <c r="C97" i="83" s="1"/>
  <c r="B48" i="83"/>
  <c r="B97" i="83" s="1"/>
  <c r="A48" i="83"/>
  <c r="D46" i="83"/>
  <c r="D37" i="83"/>
  <c r="D36" i="83"/>
  <c r="D35" i="83"/>
  <c r="D34" i="83"/>
  <c r="D33" i="83"/>
  <c r="D32" i="83"/>
  <c r="D30" i="83"/>
  <c r="D29" i="83"/>
  <c r="D28" i="83"/>
  <c r="D27" i="83"/>
  <c r="C52" i="82"/>
  <c r="C51" i="82"/>
  <c r="C100" i="82" s="1"/>
  <c r="B51" i="82"/>
  <c r="B100" i="82" s="1"/>
  <c r="C50" i="82"/>
  <c r="C99" i="82" s="1"/>
  <c r="B50" i="82"/>
  <c r="B99" i="82" s="1"/>
  <c r="C49" i="82"/>
  <c r="C98" i="82" s="1"/>
  <c r="B49" i="82"/>
  <c r="B98" i="82" s="1"/>
  <c r="C48" i="82"/>
  <c r="C97" i="82" s="1"/>
  <c r="B48" i="82"/>
  <c r="B97" i="82" s="1"/>
  <c r="A48" i="82"/>
  <c r="D46" i="82"/>
  <c r="D37" i="82"/>
  <c r="D36" i="82"/>
  <c r="D35" i="82"/>
  <c r="D34" i="82"/>
  <c r="D33" i="82"/>
  <c r="D32" i="82"/>
  <c r="D30" i="82"/>
  <c r="D29" i="82"/>
  <c r="D28" i="82"/>
  <c r="D27" i="82"/>
  <c r="C52" i="81"/>
  <c r="C51" i="81"/>
  <c r="C100" i="81" s="1"/>
  <c r="B51" i="81"/>
  <c r="B100" i="81" s="1"/>
  <c r="C50" i="81"/>
  <c r="C99" i="81" s="1"/>
  <c r="B50" i="81"/>
  <c r="B99" i="81" s="1"/>
  <c r="C49" i="81"/>
  <c r="C98" i="81" s="1"/>
  <c r="B49" i="81"/>
  <c r="B98" i="81" s="1"/>
  <c r="C48" i="81"/>
  <c r="C97" i="81" s="1"/>
  <c r="B48" i="81"/>
  <c r="B97" i="81" s="1"/>
  <c r="A48" i="81"/>
  <c r="D46" i="81"/>
  <c r="D37" i="81"/>
  <c r="D36" i="81"/>
  <c r="D35" i="81"/>
  <c r="D34" i="81"/>
  <c r="D33" i="81"/>
  <c r="D32" i="81"/>
  <c r="D31" i="81"/>
  <c r="D30" i="81"/>
  <c r="D29" i="81"/>
  <c r="D28" i="81"/>
  <c r="D27" i="81"/>
  <c r="C18" i="81"/>
  <c r="C17" i="81"/>
  <c r="C16" i="81"/>
  <c r="C15" i="81"/>
  <c r="C14" i="81"/>
  <c r="C13" i="81"/>
  <c r="E46" i="80"/>
  <c r="D46" i="80"/>
  <c r="D37" i="80"/>
  <c r="D36" i="80"/>
  <c r="D35" i="80"/>
  <c r="D34" i="80"/>
  <c r="D33" i="80"/>
  <c r="D32" i="80"/>
  <c r="D31" i="80"/>
  <c r="D30" i="80"/>
  <c r="E29" i="80"/>
  <c r="D29" i="80"/>
  <c r="E28" i="80"/>
  <c r="D28" i="80"/>
  <c r="D27" i="80"/>
  <c r="E26" i="80"/>
  <c r="E37" i="80" s="1"/>
  <c r="E12" i="80"/>
  <c r="E11" i="80"/>
  <c r="E10" i="80"/>
  <c r="E31" i="80" s="1"/>
  <c r="E9" i="80"/>
  <c r="E30" i="80" s="1"/>
  <c r="E6" i="80"/>
  <c r="E27" i="80" s="1"/>
  <c r="B22" i="24"/>
  <c r="P31" i="72" l="1"/>
  <c r="P30" i="72"/>
  <c r="P29" i="72"/>
  <c r="Q28" i="72"/>
  <c r="D95" i="89"/>
  <c r="E94" i="89"/>
  <c r="E95" i="89" s="1"/>
  <c r="D71" i="91"/>
  <c r="E70" i="91"/>
  <c r="D72" i="91"/>
  <c r="D70" i="91"/>
  <c r="E71" i="91"/>
  <c r="E78" i="91" s="1"/>
  <c r="E72" i="91"/>
  <c r="E79" i="91" s="1"/>
  <c r="D72" i="89"/>
  <c r="E72" i="89"/>
  <c r="E79" i="89" s="1"/>
  <c r="E70" i="89"/>
  <c r="E77" i="89" s="1"/>
  <c r="E71" i="89"/>
  <c r="E78" i="89" s="1"/>
  <c r="D70" i="89"/>
  <c r="D71" i="89"/>
  <c r="D70" i="88"/>
  <c r="E70" i="88"/>
  <c r="E77" i="88" s="1"/>
  <c r="E89" i="88" s="1"/>
  <c r="E91" i="88" s="1"/>
  <c r="D71" i="88"/>
  <c r="E72" i="88"/>
  <c r="E79" i="88" s="1"/>
  <c r="E71" i="88"/>
  <c r="E78" i="88" s="1"/>
  <c r="D72" i="88"/>
  <c r="D79" i="88" s="1"/>
  <c r="D95" i="91"/>
  <c r="E94" i="91"/>
  <c r="E95" i="91" s="1"/>
  <c r="E73" i="91"/>
  <c r="E80" i="91" s="1"/>
  <c r="D73" i="91"/>
  <c r="D80" i="91" s="1"/>
  <c r="E73" i="89"/>
  <c r="E80" i="89" s="1"/>
  <c r="D73" i="89"/>
  <c r="D80" i="89" s="1"/>
  <c r="D95" i="88"/>
  <c r="E94" i="88"/>
  <c r="E95" i="88" s="1"/>
  <c r="E97" i="88" s="1"/>
  <c r="E73" i="88"/>
  <c r="E80" i="88" s="1"/>
  <c r="D73" i="88"/>
  <c r="D80" i="88" s="1"/>
  <c r="D72" i="92"/>
  <c r="D79" i="92" s="1"/>
  <c r="D70" i="92"/>
  <c r="D77" i="92" s="1"/>
  <c r="D71" i="92"/>
  <c r="D78" i="92" s="1"/>
  <c r="D79" i="91"/>
  <c r="D78" i="91"/>
  <c r="D77" i="91"/>
  <c r="D71" i="90"/>
  <c r="D78" i="90" s="1"/>
  <c r="D70" i="90"/>
  <c r="D77" i="90" s="1"/>
  <c r="D72" i="90"/>
  <c r="D79" i="90" s="1"/>
  <c r="D90" i="89"/>
  <c r="D78" i="89"/>
  <c r="D77" i="89"/>
  <c r="D79" i="89"/>
  <c r="D90" i="88"/>
  <c r="D77" i="88"/>
  <c r="D78" i="88"/>
  <c r="D72" i="87"/>
  <c r="D79" i="87" s="1"/>
  <c r="D70" i="87"/>
  <c r="D77" i="87" s="1"/>
  <c r="D71" i="87"/>
  <c r="D78" i="87" s="1"/>
  <c r="D84" i="92"/>
  <c r="D71" i="86"/>
  <c r="D78" i="86" s="1"/>
  <c r="D72" i="86"/>
  <c r="D79" i="86" s="1"/>
  <c r="D70" i="86"/>
  <c r="D77" i="86" s="1"/>
  <c r="D85" i="87"/>
  <c r="D81" i="87"/>
  <c r="D86" i="87"/>
  <c r="D82" i="92"/>
  <c r="D82" i="87"/>
  <c r="D71" i="84"/>
  <c r="D78" i="84" s="1"/>
  <c r="D70" i="84"/>
  <c r="D77" i="84" s="1"/>
  <c r="D72" i="84"/>
  <c r="D79" i="84" s="1"/>
  <c r="D86" i="92"/>
  <c r="D90" i="84"/>
  <c r="D71" i="85"/>
  <c r="D78" i="85" s="1"/>
  <c r="D70" i="85"/>
  <c r="D77" i="85" s="1"/>
  <c r="D72" i="85"/>
  <c r="D79" i="85" s="1"/>
  <c r="D72" i="83"/>
  <c r="D79" i="83" s="1"/>
  <c r="D70" i="83"/>
  <c r="D77" i="83" s="1"/>
  <c r="D71" i="83"/>
  <c r="D78" i="83" s="1"/>
  <c r="D72" i="82"/>
  <c r="D79" i="82" s="1"/>
  <c r="D70" i="82"/>
  <c r="D77" i="82" s="1"/>
  <c r="D71" i="82"/>
  <c r="D78" i="82" s="1"/>
  <c r="D72" i="81"/>
  <c r="D79" i="81" s="1"/>
  <c r="D70" i="81"/>
  <c r="D77" i="81" s="1"/>
  <c r="D89" i="81" s="1"/>
  <c r="D71" i="81"/>
  <c r="D78" i="81" s="1"/>
  <c r="E84" i="80"/>
  <c r="C14" i="92"/>
  <c r="C63" i="92" s="1"/>
  <c r="C63" i="81"/>
  <c r="C16" i="92"/>
  <c r="C65" i="92" s="1"/>
  <c r="C65" i="81"/>
  <c r="E82" i="80"/>
  <c r="D94" i="80"/>
  <c r="D95" i="80" s="1"/>
  <c r="D75" i="86"/>
  <c r="D75" i="89"/>
  <c r="E75" i="89" s="1"/>
  <c r="C18" i="92"/>
  <c r="C67" i="92" s="1"/>
  <c r="C67" i="81"/>
  <c r="C15" i="88"/>
  <c r="C64" i="88" s="1"/>
  <c r="C64" i="81"/>
  <c r="D75" i="90"/>
  <c r="C13" i="86"/>
  <c r="C62" i="86" s="1"/>
  <c r="C62" i="81"/>
  <c r="C17" i="86"/>
  <c r="C66" i="86" s="1"/>
  <c r="C66" i="81"/>
  <c r="E72" i="80"/>
  <c r="E79" i="80" s="1"/>
  <c r="E70" i="80"/>
  <c r="E77" i="80" s="1"/>
  <c r="D71" i="80"/>
  <c r="D78" i="80" s="1"/>
  <c r="D70" i="80"/>
  <c r="D77" i="80" s="1"/>
  <c r="D72" i="80"/>
  <c r="D79" i="80" s="1"/>
  <c r="D89" i="80" s="1"/>
  <c r="E71" i="80"/>
  <c r="E78" i="80" s="1"/>
  <c r="D80" i="80"/>
  <c r="D75" i="92"/>
  <c r="D75" i="88"/>
  <c r="E75" i="88" s="1"/>
  <c r="E75" i="80"/>
  <c r="D90" i="80"/>
  <c r="E86" i="80"/>
  <c r="D75" i="91"/>
  <c r="E75" i="91" s="1"/>
  <c r="E80" i="80"/>
  <c r="D90" i="81"/>
  <c r="D83" i="92"/>
  <c r="D85" i="92"/>
  <c r="D90" i="91"/>
  <c r="D90" i="85"/>
  <c r="D90" i="83"/>
  <c r="E81" i="80"/>
  <c r="E83" i="80"/>
  <c r="E85" i="80"/>
  <c r="D81" i="92"/>
  <c r="D90" i="90"/>
  <c r="D90" i="82"/>
  <c r="D90" i="86"/>
  <c r="D40" i="92"/>
  <c r="D42" i="92" s="1"/>
  <c r="D48" i="92" s="1"/>
  <c r="D41" i="80"/>
  <c r="D40" i="91"/>
  <c r="D42" i="91" s="1"/>
  <c r="D48" i="91" s="1"/>
  <c r="D40" i="84"/>
  <c r="D42" i="84" s="1"/>
  <c r="D40" i="86"/>
  <c r="D40" i="83"/>
  <c r="D41" i="83"/>
  <c r="D41" i="84"/>
  <c r="D40" i="85"/>
  <c r="D42" i="85" s="1"/>
  <c r="D35" i="86"/>
  <c r="D40" i="88"/>
  <c r="D42" i="88" s="1"/>
  <c r="D40" i="89"/>
  <c r="D42" i="89" s="1"/>
  <c r="D41" i="91"/>
  <c r="D40" i="81"/>
  <c r="D42" i="81" s="1"/>
  <c r="D48" i="81" s="1"/>
  <c r="D40" i="82"/>
  <c r="D42" i="82" s="1"/>
  <c r="D41" i="82"/>
  <c r="D41" i="88"/>
  <c r="D41" i="89"/>
  <c r="D40" i="80"/>
  <c r="D42" i="80" s="1"/>
  <c r="D48" i="80" s="1"/>
  <c r="E40" i="80"/>
  <c r="D41" i="81"/>
  <c r="D40" i="87"/>
  <c r="D40" i="90"/>
  <c r="D42" i="90" s="1"/>
  <c r="D42" i="83"/>
  <c r="D42" i="86"/>
  <c r="D41" i="90"/>
  <c r="D41" i="85"/>
  <c r="D41" i="87"/>
  <c r="C14" i="82"/>
  <c r="C63" i="82" s="1"/>
  <c r="C18" i="82"/>
  <c r="C67" i="82" s="1"/>
  <c r="C14" i="83"/>
  <c r="C63" i="83" s="1"/>
  <c r="C18" i="83"/>
  <c r="C67" i="83" s="1"/>
  <c r="D32" i="86"/>
  <c r="D36" i="86"/>
  <c r="C14" i="87"/>
  <c r="C63" i="87" s="1"/>
  <c r="C16" i="87"/>
  <c r="C65" i="87" s="1"/>
  <c r="C18" i="87"/>
  <c r="C67" i="87" s="1"/>
  <c r="C16" i="88"/>
  <c r="C65" i="88" s="1"/>
  <c r="C15" i="89"/>
  <c r="C64" i="89" s="1"/>
  <c r="C13" i="91"/>
  <c r="C62" i="91" s="1"/>
  <c r="C17" i="91"/>
  <c r="C66" i="91" s="1"/>
  <c r="D14" i="92"/>
  <c r="D33" i="92" s="1"/>
  <c r="D16" i="92"/>
  <c r="D35" i="92" s="1"/>
  <c r="D18" i="92"/>
  <c r="D37" i="92" s="1"/>
  <c r="E32" i="80"/>
  <c r="E34" i="80"/>
  <c r="E36" i="80"/>
  <c r="C15" i="82"/>
  <c r="C64" i="82" s="1"/>
  <c r="C15" i="83"/>
  <c r="C64" i="83" s="1"/>
  <c r="C14" i="86"/>
  <c r="C63" i="86" s="1"/>
  <c r="C16" i="86"/>
  <c r="C65" i="86" s="1"/>
  <c r="C18" i="86"/>
  <c r="C67" i="86" s="1"/>
  <c r="D33" i="86"/>
  <c r="D37" i="86"/>
  <c r="C13" i="88"/>
  <c r="C62" i="88" s="1"/>
  <c r="C17" i="88"/>
  <c r="C66" i="88" s="1"/>
  <c r="C16" i="89"/>
  <c r="C65" i="89" s="1"/>
  <c r="C14" i="91"/>
  <c r="C63" i="91" s="1"/>
  <c r="C18" i="91"/>
  <c r="C67" i="91" s="1"/>
  <c r="C13" i="92"/>
  <c r="C62" i="92" s="1"/>
  <c r="C15" i="92"/>
  <c r="C64" i="92" s="1"/>
  <c r="C17" i="92"/>
  <c r="C66" i="92" s="1"/>
  <c r="C16" i="82"/>
  <c r="C65" i="82" s="1"/>
  <c r="C16" i="83"/>
  <c r="C65" i="83" s="1"/>
  <c r="D34" i="86"/>
  <c r="C13" i="87"/>
  <c r="C62" i="87" s="1"/>
  <c r="C15" i="87"/>
  <c r="C64" i="87" s="1"/>
  <c r="C17" i="87"/>
  <c r="C66" i="87" s="1"/>
  <c r="C14" i="88"/>
  <c r="C63" i="88" s="1"/>
  <c r="C18" i="88"/>
  <c r="C67" i="88" s="1"/>
  <c r="C13" i="89"/>
  <c r="C62" i="89" s="1"/>
  <c r="C17" i="89"/>
  <c r="C66" i="89" s="1"/>
  <c r="C15" i="91"/>
  <c r="C64" i="91" s="1"/>
  <c r="D13" i="92"/>
  <c r="D32" i="92" s="1"/>
  <c r="D15" i="92"/>
  <c r="D34" i="92" s="1"/>
  <c r="D17" i="92"/>
  <c r="D36" i="92" s="1"/>
  <c r="E33" i="80"/>
  <c r="E35" i="80"/>
  <c r="C13" i="82"/>
  <c r="C62" i="82" s="1"/>
  <c r="C17" i="82"/>
  <c r="C66" i="82" s="1"/>
  <c r="C13" i="83"/>
  <c r="C62" i="83" s="1"/>
  <c r="C17" i="83"/>
  <c r="C66" i="83" s="1"/>
  <c r="C15" i="86"/>
  <c r="C64" i="86" s="1"/>
  <c r="C14" i="89"/>
  <c r="C63" i="89" s="1"/>
  <c r="C18" i="89"/>
  <c r="C67" i="89" s="1"/>
  <c r="C16" i="91"/>
  <c r="C65" i="91" s="1"/>
  <c r="R28" i="72" l="1"/>
  <c r="Q30" i="72"/>
  <c r="Q31" i="72"/>
  <c r="Q29" i="72"/>
  <c r="E98" i="88"/>
  <c r="E99" i="88" s="1"/>
  <c r="B38" i="79" s="1"/>
  <c r="E100" i="88"/>
  <c r="E77" i="91"/>
  <c r="E89" i="91"/>
  <c r="E91" i="91" s="1"/>
  <c r="E97" i="91" s="1"/>
  <c r="E89" i="89"/>
  <c r="E91" i="89" s="1"/>
  <c r="E97" i="89" s="1"/>
  <c r="D89" i="83"/>
  <c r="D91" i="83" s="1"/>
  <c r="D97" i="83" s="1"/>
  <c r="D89" i="92"/>
  <c r="D91" i="92" s="1"/>
  <c r="D97" i="92" s="1"/>
  <c r="D89" i="86"/>
  <c r="D91" i="86" s="1"/>
  <c r="D89" i="87"/>
  <c r="D91" i="87" s="1"/>
  <c r="D97" i="87" s="1"/>
  <c r="D100" i="87" s="1"/>
  <c r="D89" i="82"/>
  <c r="D91" i="82" s="1"/>
  <c r="D89" i="91"/>
  <c r="D91" i="91" s="1"/>
  <c r="D89" i="90"/>
  <c r="D89" i="89"/>
  <c r="D91" i="89" s="1"/>
  <c r="D89" i="88"/>
  <c r="D91" i="88" s="1"/>
  <c r="D42" i="87"/>
  <c r="D48" i="87" s="1"/>
  <c r="D90" i="87"/>
  <c r="D48" i="86"/>
  <c r="D89" i="84"/>
  <c r="D91" i="84" s="1"/>
  <c r="D90" i="92"/>
  <c r="D89" i="85"/>
  <c r="D91" i="85" s="1"/>
  <c r="E89" i="80"/>
  <c r="E91" i="80" s="1"/>
  <c r="E97" i="80" s="1"/>
  <c r="D97" i="86"/>
  <c r="D98" i="86" s="1"/>
  <c r="D99" i="86" s="1"/>
  <c r="B33" i="79" s="1"/>
  <c r="D97" i="82"/>
  <c r="D100" i="82" s="1"/>
  <c r="D97" i="85"/>
  <c r="D100" i="85" s="1"/>
  <c r="D91" i="81"/>
  <c r="E90" i="80"/>
  <c r="D91" i="80"/>
  <c r="D98" i="83"/>
  <c r="D99" i="83" s="1"/>
  <c r="B30" i="79" s="1"/>
  <c r="D100" i="83"/>
  <c r="D100" i="92"/>
  <c r="D98" i="85"/>
  <c r="D99" i="85" s="1"/>
  <c r="B31" i="79" s="1"/>
  <c r="D91" i="90"/>
  <c r="D97" i="90" s="1"/>
  <c r="D48" i="89"/>
  <c r="D48" i="90"/>
  <c r="D51" i="90" s="1"/>
  <c r="D48" i="82"/>
  <c r="D51" i="82" s="1"/>
  <c r="E42" i="80"/>
  <c r="E48" i="80" s="1"/>
  <c r="D48" i="85"/>
  <c r="D51" i="85" s="1"/>
  <c r="D48" i="84"/>
  <c r="D51" i="84" s="1"/>
  <c r="D49" i="80"/>
  <c r="D50" i="80" s="1"/>
  <c r="D51" i="80"/>
  <c r="D51" i="91"/>
  <c r="D49" i="91"/>
  <c r="D51" i="81"/>
  <c r="D49" i="81"/>
  <c r="D50" i="81" s="1"/>
  <c r="E41" i="80"/>
  <c r="D41" i="86"/>
  <c r="D51" i="89"/>
  <c r="D49" i="89"/>
  <c r="D51" i="92"/>
  <c r="D48" i="83"/>
  <c r="D48" i="88"/>
  <c r="D51" i="86"/>
  <c r="D41" i="92"/>
  <c r="R30" i="72" l="1"/>
  <c r="R31" i="72"/>
  <c r="R29" i="72"/>
  <c r="S28" i="72"/>
  <c r="O26" i="75"/>
  <c r="N26" i="75"/>
  <c r="P26" i="75"/>
  <c r="M26" i="75"/>
  <c r="E100" i="91"/>
  <c r="E98" i="91"/>
  <c r="E99" i="91" s="1"/>
  <c r="B40" i="79" s="1"/>
  <c r="M28" i="75"/>
  <c r="O28" i="75"/>
  <c r="N28" i="75"/>
  <c r="P28" i="75"/>
  <c r="E100" i="89"/>
  <c r="E98" i="89"/>
  <c r="E99" i="89" s="1"/>
  <c r="B39" i="79" s="1"/>
  <c r="P33" i="75"/>
  <c r="O33" i="75"/>
  <c r="N33" i="75"/>
  <c r="M33" i="75"/>
  <c r="O25" i="75"/>
  <c r="P25" i="75"/>
  <c r="N25" i="75"/>
  <c r="M25" i="75"/>
  <c r="D97" i="89"/>
  <c r="D98" i="87"/>
  <c r="D99" i="87" s="1"/>
  <c r="B34" i="79" s="1"/>
  <c r="D97" i="88"/>
  <c r="D98" i="88" s="1"/>
  <c r="D99" i="88" s="1"/>
  <c r="B35" i="79" s="1"/>
  <c r="D97" i="91"/>
  <c r="D98" i="91" s="1"/>
  <c r="D99" i="91" s="1"/>
  <c r="B37" i="79" s="1"/>
  <c r="D49" i="90"/>
  <c r="D50" i="90" s="1"/>
  <c r="D49" i="87"/>
  <c r="D50" i="87" s="1"/>
  <c r="B13" i="79" s="1"/>
  <c r="D51" i="87"/>
  <c r="D100" i="86"/>
  <c r="D98" i="92"/>
  <c r="D99" i="92" s="1"/>
  <c r="B42" i="79" s="1"/>
  <c r="D97" i="84"/>
  <c r="D98" i="82"/>
  <c r="D99" i="82" s="1"/>
  <c r="B29" i="79" s="1"/>
  <c r="D97" i="81"/>
  <c r="D100" i="81" s="1"/>
  <c r="D97" i="80"/>
  <c r="D100" i="90"/>
  <c r="D98" i="90"/>
  <c r="D99" i="90" s="1"/>
  <c r="B41" i="79" s="1"/>
  <c r="E98" i="80"/>
  <c r="E99" i="80" s="1"/>
  <c r="B27" i="79" s="1"/>
  <c r="E100" i="80"/>
  <c r="D98" i="89"/>
  <c r="D99" i="89" s="1"/>
  <c r="B36" i="79" s="1"/>
  <c r="D100" i="89"/>
  <c r="D49" i="82"/>
  <c r="D50" i="82" s="1"/>
  <c r="E51" i="80"/>
  <c r="E49" i="80"/>
  <c r="E50" i="80" s="1"/>
  <c r="B16" i="79"/>
  <c r="D49" i="86"/>
  <c r="D50" i="86" s="1"/>
  <c r="B20" i="79"/>
  <c r="B15" i="79"/>
  <c r="D49" i="84"/>
  <c r="D50" i="84" s="1"/>
  <c r="B7" i="79"/>
  <c r="D49" i="85"/>
  <c r="D50" i="85" s="1"/>
  <c r="B5" i="79"/>
  <c r="D51" i="83"/>
  <c r="D49" i="83"/>
  <c r="D50" i="83" s="1"/>
  <c r="D51" i="88"/>
  <c r="D49" i="88"/>
  <c r="D49" i="92"/>
  <c r="D50" i="92" s="1"/>
  <c r="U28" i="72" l="1"/>
  <c r="T28" i="72"/>
  <c r="S29" i="72"/>
  <c r="S31" i="72"/>
  <c r="S30" i="72"/>
  <c r="R26" i="75"/>
  <c r="H21" i="75"/>
  <c r="D21" i="75"/>
  <c r="E21" i="75"/>
  <c r="I21" i="75"/>
  <c r="E31" i="75"/>
  <c r="H31" i="75"/>
  <c r="D31" i="75"/>
  <c r="I31" i="75"/>
  <c r="P31" i="75"/>
  <c r="O31" i="75"/>
  <c r="M31" i="75"/>
  <c r="N31" i="75"/>
  <c r="H29" i="75"/>
  <c r="D29" i="75"/>
  <c r="I29" i="75"/>
  <c r="E29" i="75"/>
  <c r="P29" i="75"/>
  <c r="N29" i="75"/>
  <c r="O29" i="75"/>
  <c r="M29" i="75"/>
  <c r="N34" i="75"/>
  <c r="M34" i="75"/>
  <c r="O34" i="75"/>
  <c r="P34" i="75"/>
  <c r="P37" i="75"/>
  <c r="N37" i="75"/>
  <c r="O37" i="75"/>
  <c r="M37" i="75"/>
  <c r="Q33" i="75"/>
  <c r="H23" i="75"/>
  <c r="I23" i="75"/>
  <c r="E23" i="75"/>
  <c r="D23" i="75"/>
  <c r="M32" i="75"/>
  <c r="N32" i="75"/>
  <c r="O32" i="75"/>
  <c r="P32" i="75"/>
  <c r="R28" i="75"/>
  <c r="N35" i="75"/>
  <c r="O35" i="75"/>
  <c r="P35" i="75"/>
  <c r="M35" i="75"/>
  <c r="Q26" i="75"/>
  <c r="I32" i="75"/>
  <c r="H32" i="75"/>
  <c r="E32" i="75"/>
  <c r="D32" i="75"/>
  <c r="O30" i="75"/>
  <c r="N30" i="75"/>
  <c r="P30" i="75"/>
  <c r="M30" i="75"/>
  <c r="R33" i="75"/>
  <c r="Q28" i="75"/>
  <c r="O24" i="75"/>
  <c r="M24" i="75"/>
  <c r="N24" i="75"/>
  <c r="P24" i="75"/>
  <c r="R25" i="75"/>
  <c r="Q25" i="75"/>
  <c r="N22" i="75"/>
  <c r="M22" i="75"/>
  <c r="O22" i="75"/>
  <c r="P22" i="75"/>
  <c r="O36" i="75"/>
  <c r="P36" i="75"/>
  <c r="N36" i="75"/>
  <c r="M36" i="75"/>
  <c r="I36" i="75"/>
  <c r="D36" i="75"/>
  <c r="H36" i="75"/>
  <c r="E36" i="75"/>
  <c r="D100" i="88"/>
  <c r="D100" i="91"/>
  <c r="D100" i="84"/>
  <c r="D98" i="84"/>
  <c r="D99" i="84" s="1"/>
  <c r="B32" i="79" s="1"/>
  <c r="D98" i="81"/>
  <c r="D99" i="81" s="1"/>
  <c r="B28" i="79" s="1"/>
  <c r="B11" i="79"/>
  <c r="D100" i="80"/>
  <c r="D98" i="80"/>
  <c r="D99" i="80" s="1"/>
  <c r="B26" i="79" s="1"/>
  <c r="B8" i="79"/>
  <c r="B10" i="79"/>
  <c r="B9" i="79"/>
  <c r="B21" i="79"/>
  <c r="B6" i="79"/>
  <c r="B14" i="79"/>
  <c r="B12" i="79"/>
  <c r="T31" i="72" l="1"/>
  <c r="T30" i="72"/>
  <c r="T29" i="72"/>
  <c r="U30" i="72"/>
  <c r="U31" i="72"/>
  <c r="U29" i="72"/>
  <c r="Q24" i="75"/>
  <c r="R34" i="75"/>
  <c r="Q31" i="75"/>
  <c r="P23" i="75"/>
  <c r="N23" i="75"/>
  <c r="M23" i="75"/>
  <c r="O23" i="75"/>
  <c r="D37" i="75"/>
  <c r="H37" i="75"/>
  <c r="I37" i="75"/>
  <c r="E37" i="75"/>
  <c r="P21" i="75"/>
  <c r="O21" i="75"/>
  <c r="M21" i="75"/>
  <c r="N21" i="75"/>
  <c r="P27" i="75"/>
  <c r="N27" i="75"/>
  <c r="O27" i="75"/>
  <c r="M27" i="75"/>
  <c r="R22" i="75"/>
  <c r="Q35" i="75"/>
  <c r="Q32" i="75"/>
  <c r="R30" i="75"/>
  <c r="Q37" i="75"/>
  <c r="Q29" i="75"/>
  <c r="I28" i="75"/>
  <c r="H28" i="75"/>
  <c r="E28" i="75"/>
  <c r="D28" i="75"/>
  <c r="I30" i="75"/>
  <c r="D30" i="75"/>
  <c r="E30" i="75"/>
  <c r="H30" i="75"/>
  <c r="I26" i="75"/>
  <c r="D26" i="75"/>
  <c r="E26" i="75"/>
  <c r="H26" i="75"/>
  <c r="E27" i="75"/>
  <c r="H27" i="75"/>
  <c r="D27" i="75"/>
  <c r="I27" i="75"/>
  <c r="R36" i="75"/>
  <c r="R24" i="75"/>
  <c r="Q30" i="75"/>
  <c r="R35" i="75"/>
  <c r="R32" i="75"/>
  <c r="R37" i="75"/>
  <c r="Q34" i="75"/>
  <c r="R29" i="75"/>
  <c r="R31" i="75"/>
  <c r="I24" i="75"/>
  <c r="H24" i="75"/>
  <c r="E24" i="75"/>
  <c r="D24" i="75"/>
  <c r="D25" i="75"/>
  <c r="E25" i="75"/>
  <c r="H25" i="75"/>
  <c r="I25" i="75"/>
  <c r="I22" i="75"/>
  <c r="H22" i="75"/>
  <c r="E22" i="75"/>
  <c r="D22" i="75"/>
  <c r="Q22" i="75"/>
  <c r="Q36" i="75"/>
  <c r="C84" i="24"/>
  <c r="K10" i="24"/>
  <c r="F5" i="24" s="1"/>
  <c r="Q21" i="75" l="1"/>
  <c r="O38" i="75"/>
  <c r="C57" i="75" s="1"/>
  <c r="P38" i="75"/>
  <c r="N38" i="75"/>
  <c r="D56" i="75" s="1"/>
  <c r="M38" i="75"/>
  <c r="C56" i="75" s="1"/>
  <c r="Q27" i="75"/>
  <c r="Q23" i="75"/>
  <c r="R27" i="75"/>
  <c r="R21" i="75"/>
  <c r="R23" i="75"/>
  <c r="E38" i="75"/>
  <c r="I38" i="75"/>
  <c r="H38" i="75"/>
  <c r="C50" i="75" s="1"/>
  <c r="D38" i="75"/>
  <c r="B44" i="75" s="1"/>
  <c r="D57" i="75"/>
  <c r="D52" i="87"/>
  <c r="D52" i="91"/>
  <c r="D52" i="89"/>
  <c r="D52" i="80"/>
  <c r="D52" i="90"/>
  <c r="D52" i="81"/>
  <c r="D52" i="85"/>
  <c r="D52" i="83"/>
  <c r="D52" i="84"/>
  <c r="E52" i="80"/>
  <c r="D52" i="92"/>
  <c r="D52" i="86"/>
  <c r="D52" i="88"/>
  <c r="D52" i="82"/>
  <c r="C33" i="24"/>
  <c r="C32" i="24"/>
  <c r="B19" i="24"/>
  <c r="B18" i="24"/>
  <c r="E57" i="75" l="1"/>
  <c r="R38" i="75"/>
  <c r="C44" i="75"/>
  <c r="E39" i="75"/>
  <c r="E44" i="75"/>
  <c r="I39" i="75"/>
  <c r="E56" i="75"/>
  <c r="D49" i="75"/>
  <c r="Q38" i="75"/>
  <c r="D44" i="75"/>
  <c r="D50" i="75"/>
  <c r="C49" i="75"/>
  <c r="B64" i="72"/>
  <c r="B65" i="72" l="1"/>
  <c r="B66" i="72"/>
  <c r="B69" i="72"/>
  <c r="B68" i="72"/>
  <c r="B67" i="72"/>
  <c r="C72" i="72" l="1"/>
  <c r="C87" i="72" s="1"/>
  <c r="D72" i="72"/>
  <c r="C88" i="72" s="1"/>
  <c r="E72" i="72"/>
  <c r="F72" i="72"/>
  <c r="G72" i="72"/>
  <c r="H72" i="72"/>
  <c r="B72" i="72"/>
  <c r="B78" i="72" s="1"/>
  <c r="B85" i="72" l="1"/>
  <c r="J72" i="72"/>
  <c r="I72" i="72"/>
  <c r="I48" i="75" l="1"/>
  <c r="J48" i="75"/>
  <c r="K48" i="75"/>
  <c r="L48" i="75"/>
  <c r="M48" i="75"/>
  <c r="H48" i="75"/>
  <c r="F51" i="75"/>
  <c r="E43" i="75"/>
  <c r="D43" i="75"/>
  <c r="S48" i="75" l="1"/>
  <c r="J55" i="75"/>
  <c r="S55" i="75" s="1"/>
  <c r="V48" i="75"/>
  <c r="M55" i="75"/>
  <c r="V55" i="75" s="1"/>
  <c r="R48" i="75"/>
  <c r="I55" i="75"/>
  <c r="R55" i="75" s="1"/>
  <c r="T48" i="75"/>
  <c r="K55" i="75"/>
  <c r="T55" i="75" s="1"/>
  <c r="Q48" i="75"/>
  <c r="H55" i="75"/>
  <c r="Q55" i="75" s="1"/>
  <c r="U48" i="75"/>
  <c r="L55" i="75"/>
  <c r="U55" i="75" s="1"/>
  <c r="D15" i="75"/>
  <c r="E15" i="75"/>
  <c r="F15" i="75"/>
  <c r="G15" i="75"/>
  <c r="H15" i="75"/>
  <c r="C15" i="75"/>
  <c r="I15" i="75" l="1"/>
  <c r="M56" i="75"/>
  <c r="V56" i="75" s="1"/>
  <c r="M57" i="75"/>
  <c r="V57" i="75" s="1"/>
  <c r="M58" i="75"/>
  <c r="L57" i="75"/>
  <c r="U57" i="75" s="1"/>
  <c r="L56" i="75"/>
  <c r="U56" i="75" s="1"/>
  <c r="L58" i="75"/>
  <c r="K56" i="75"/>
  <c r="T56" i="75" s="1"/>
  <c r="K57" i="75"/>
  <c r="T57" i="75" s="1"/>
  <c r="K58" i="75"/>
  <c r="J57" i="75"/>
  <c r="S57" i="75" s="1"/>
  <c r="J56" i="75"/>
  <c r="S56" i="75" s="1"/>
  <c r="J58" i="75"/>
  <c r="I57" i="75"/>
  <c r="R57" i="75" s="1"/>
  <c r="I56" i="75"/>
  <c r="R56" i="75" s="1"/>
  <c r="I58" i="75"/>
  <c r="H56" i="75"/>
  <c r="H57" i="75"/>
  <c r="H58" i="75"/>
  <c r="I51" i="75"/>
  <c r="I49" i="75"/>
  <c r="I50" i="75"/>
  <c r="J50" i="75"/>
  <c r="J51" i="75"/>
  <c r="J49" i="75"/>
  <c r="L49" i="75"/>
  <c r="L50" i="75"/>
  <c r="L51" i="75"/>
  <c r="M49" i="75"/>
  <c r="M50" i="75"/>
  <c r="M51" i="75"/>
  <c r="H50" i="75"/>
  <c r="H49" i="75"/>
  <c r="H51" i="75"/>
  <c r="K49" i="75"/>
  <c r="K50" i="75"/>
  <c r="K51" i="75"/>
  <c r="N57" i="75" l="1"/>
  <c r="N51" i="75"/>
  <c r="N49" i="75"/>
  <c r="N56" i="75"/>
  <c r="N50" i="75"/>
  <c r="N58" i="75"/>
  <c r="U58" i="75"/>
  <c r="V58" i="75"/>
  <c r="R58" i="75"/>
  <c r="D51" i="72" s="1"/>
  <c r="S58" i="75"/>
  <c r="E51" i="72" s="1"/>
  <c r="T58" i="75"/>
  <c r="F51" i="72" s="1"/>
  <c r="Q57" i="75"/>
  <c r="W57" i="75" s="1"/>
  <c r="Q56" i="75"/>
  <c r="W56" i="75" s="1"/>
  <c r="G49" i="72" l="1"/>
  <c r="H49" i="72" s="1"/>
  <c r="I49" i="72" s="1"/>
  <c r="J49" i="72" s="1"/>
  <c r="K49" i="72" s="1"/>
  <c r="L49" i="72" s="1"/>
  <c r="M49" i="72" s="1"/>
  <c r="N49" i="72" s="1"/>
  <c r="O49" i="72" s="1"/>
  <c r="P49" i="72" s="1"/>
  <c r="Q49" i="72" s="1"/>
  <c r="R49" i="72" s="1"/>
  <c r="S49" i="72" s="1"/>
  <c r="T49" i="72" s="1"/>
  <c r="U49" i="72" s="1"/>
  <c r="Q58" i="75"/>
  <c r="I51" i="72" l="1"/>
  <c r="G51" i="72"/>
  <c r="H51" i="72"/>
  <c r="C49" i="72"/>
  <c r="C51" i="72" s="1"/>
  <c r="W58" i="75"/>
  <c r="A86" i="72"/>
  <c r="B82" i="72" l="1"/>
  <c r="B51" i="72"/>
  <c r="B84" i="72" l="1"/>
  <c r="B88" i="72"/>
  <c r="B87" i="72"/>
  <c r="B75" i="72"/>
  <c r="B81" i="72" s="1"/>
  <c r="B73" i="72"/>
  <c r="B79" i="72" s="1"/>
  <c r="B74" i="72"/>
  <c r="B80" i="72" s="1"/>
  <c r="B86" i="72"/>
  <c r="D74" i="72"/>
  <c r="D75" i="72"/>
  <c r="D73" i="72"/>
  <c r="F75" i="72"/>
  <c r="F73" i="72"/>
  <c r="F74" i="72"/>
  <c r="B83" i="72"/>
  <c r="E75" i="72"/>
  <c r="E73" i="72"/>
  <c r="E74" i="72"/>
  <c r="C74" i="72"/>
  <c r="C73" i="72"/>
  <c r="C75" i="72"/>
  <c r="G74" i="72" l="1"/>
  <c r="G73" i="72"/>
  <c r="G75" i="72"/>
  <c r="H74" i="72" l="1"/>
  <c r="H75" i="72"/>
  <c r="H73" i="72"/>
  <c r="K72" i="72" l="1"/>
  <c r="I75" i="72"/>
  <c r="I73" i="72"/>
  <c r="I74" i="72"/>
  <c r="J75" i="72" l="1"/>
  <c r="J73" i="72"/>
  <c r="J74" i="72"/>
  <c r="L72" i="72"/>
  <c r="L75" i="72" l="1"/>
  <c r="L73" i="72"/>
  <c r="L74" i="72"/>
  <c r="M72" i="72"/>
  <c r="K74" i="72"/>
  <c r="K75" i="72"/>
  <c r="K73" i="72"/>
  <c r="M73" i="72" l="1"/>
  <c r="M75" i="72"/>
  <c r="M74" i="72"/>
  <c r="N72" i="72"/>
  <c r="N74" i="72" l="1"/>
  <c r="N75" i="72"/>
  <c r="N73" i="72"/>
  <c r="O72" i="72"/>
  <c r="O74" i="72" l="1"/>
  <c r="O75" i="72"/>
  <c r="O73" i="72"/>
  <c r="P72" i="72"/>
  <c r="P75" i="72" l="1"/>
  <c r="P73" i="72"/>
  <c r="P74" i="72"/>
  <c r="Q72" i="72"/>
  <c r="Q75" i="72" l="1"/>
  <c r="Q73" i="72"/>
  <c r="Q74" i="72"/>
  <c r="R72" i="72"/>
  <c r="S72" i="72" l="1"/>
  <c r="R75" i="72" l="1"/>
  <c r="R73" i="72"/>
  <c r="R74" i="72"/>
  <c r="T72" i="72"/>
  <c r="S74" i="72" l="1"/>
  <c r="S73" i="72"/>
  <c r="S75" i="72"/>
  <c r="U72" i="72"/>
  <c r="T74" i="72" l="1"/>
  <c r="T75" i="72"/>
  <c r="T73" i="72"/>
  <c r="U75" i="72" l="1"/>
  <c r="U73" i="72"/>
  <c r="U74" i="72"/>
  <c r="B75" i="24" l="1"/>
  <c r="C75" i="24" s="1"/>
  <c r="D40" i="24" l="1"/>
  <c r="F40" i="24" s="1"/>
  <c r="H40" i="24" s="1"/>
  <c r="D41" i="24"/>
  <c r="F41" i="24" s="1"/>
  <c r="H41" i="24" s="1"/>
  <c r="C59" i="24" l="1"/>
  <c r="G33" i="24"/>
  <c r="E33" i="24"/>
  <c r="D45" i="24"/>
  <c r="C60" i="24" l="1"/>
  <c r="C61" i="24" s="1"/>
  <c r="D59" i="24"/>
  <c r="D58" i="24"/>
  <c r="D57" i="24"/>
  <c r="E41" i="24"/>
  <c r="G41" i="24" s="1"/>
  <c r="E40" i="24"/>
  <c r="G40" i="24" s="1"/>
  <c r="C34" i="24"/>
  <c r="C35" i="24" s="1"/>
  <c r="D32" i="24"/>
  <c r="E32" i="24" s="1"/>
  <c r="H30" i="24"/>
  <c r="H33" i="24" s="1"/>
  <c r="F30" i="24"/>
  <c r="F33" i="24" s="1"/>
  <c r="D30" i="24"/>
  <c r="D33" i="24" s="1"/>
  <c r="B21" i="24"/>
  <c r="D60" i="24" s="1"/>
  <c r="C36" i="24" l="1"/>
  <c r="C38" i="24"/>
  <c r="C37" i="24"/>
  <c r="E34" i="24"/>
  <c r="E35" i="24" s="1"/>
  <c r="E38" i="24" s="1"/>
  <c r="F32" i="24"/>
  <c r="G32" i="24" s="1"/>
  <c r="G34" i="24" s="1"/>
  <c r="G35" i="24" s="1"/>
  <c r="D34" i="24"/>
  <c r="D35" i="24" s="1"/>
  <c r="D37" i="24" s="1"/>
  <c r="D61" i="24"/>
  <c r="B23" i="24"/>
  <c r="G36" i="24" l="1"/>
  <c r="G38" i="24"/>
  <c r="D64" i="24"/>
  <c r="E36" i="24"/>
  <c r="C39" i="24"/>
  <c r="C42" i="24" s="1"/>
  <c r="C43" i="24" s="1"/>
  <c r="G37" i="24"/>
  <c r="E37" i="24"/>
  <c r="F34" i="24"/>
  <c r="F35" i="24" s="1"/>
  <c r="F37" i="24" s="1"/>
  <c r="B7" i="24"/>
  <c r="B11" i="24"/>
  <c r="H32" i="24"/>
  <c r="H34" i="24" s="1"/>
  <c r="H35" i="24" s="1"/>
  <c r="H37" i="24" s="1"/>
  <c r="D39" i="24"/>
  <c r="C66" i="24"/>
  <c r="D66" i="24" s="1"/>
  <c r="C64" i="24"/>
  <c r="C63" i="24"/>
  <c r="F39" i="24" l="1"/>
  <c r="F42" i="24" s="1"/>
  <c r="F43" i="24" s="1"/>
  <c r="F44" i="24" s="1"/>
  <c r="F47" i="24" s="1"/>
  <c r="E39" i="24"/>
  <c r="E42" i="24" s="1"/>
  <c r="D42" i="24"/>
  <c r="D43" i="24" s="1"/>
  <c r="C44" i="24"/>
  <c r="H39" i="24"/>
  <c r="H42" i="24" s="1"/>
  <c r="G39" i="24"/>
  <c r="D63" i="24"/>
  <c r="C65" i="24"/>
  <c r="C67" i="24" s="1"/>
  <c r="C68" i="24" s="1"/>
  <c r="E43" i="24" l="1"/>
  <c r="E44" i="24" s="1"/>
  <c r="D44" i="24"/>
  <c r="D47" i="24" s="1"/>
  <c r="C47" i="24"/>
  <c r="G42" i="24"/>
  <c r="G43" i="24" s="1"/>
  <c r="G44" i="24" s="1"/>
  <c r="H43" i="24"/>
  <c r="H44" i="24" s="1"/>
  <c r="H47" i="24" s="1"/>
  <c r="D65" i="24"/>
  <c r="D67" i="24" s="1"/>
  <c r="D68" i="24" s="1"/>
  <c r="C69" i="24" s="1"/>
  <c r="B10" i="24" s="1"/>
  <c r="G47" i="24" l="1"/>
  <c r="G48" i="24" s="1"/>
  <c r="E47" i="24"/>
  <c r="E48" i="24" s="1"/>
  <c r="C48" i="24"/>
  <c r="B9" i="24" l="1"/>
  <c r="E50" i="75" l="1"/>
  <c r="V50" i="75" s="1"/>
  <c r="Q50" i="75" l="1"/>
  <c r="U50" i="75"/>
  <c r="R50" i="75"/>
  <c r="T50" i="75"/>
  <c r="S50" i="75"/>
  <c r="W50" i="75" l="1"/>
  <c r="E49" i="75"/>
  <c r="T49" i="75" l="1"/>
  <c r="T51" i="75" s="1"/>
  <c r="R49" i="75"/>
  <c r="R51" i="75" s="1"/>
  <c r="S49" i="75"/>
  <c r="S51" i="75" s="1"/>
  <c r="U49" i="75"/>
  <c r="U51" i="75" s="1"/>
  <c r="G5" i="72" s="1"/>
  <c r="H5" i="72" s="1"/>
  <c r="I5" i="72" s="1"/>
  <c r="J5" i="72" s="1"/>
  <c r="K5" i="72" s="1"/>
  <c r="L5" i="72" s="1"/>
  <c r="M5" i="72" s="1"/>
  <c r="N5" i="72" s="1"/>
  <c r="O5" i="72" s="1"/>
  <c r="P5" i="72" s="1"/>
  <c r="Q5" i="72" s="1"/>
  <c r="R5" i="72" s="1"/>
  <c r="S5" i="72" s="1"/>
  <c r="T5" i="72" s="1"/>
  <c r="U5" i="72" s="1"/>
  <c r="V49" i="75"/>
  <c r="V51" i="75" s="1"/>
  <c r="Q49" i="75"/>
  <c r="W49" i="75" l="1"/>
  <c r="I64" i="72"/>
  <c r="I78" i="72" s="1"/>
  <c r="E64" i="72"/>
  <c r="F88" i="72" s="1"/>
  <c r="H64" i="72"/>
  <c r="I87" i="72" s="1"/>
  <c r="D64" i="72"/>
  <c r="E88" i="72" s="1"/>
  <c r="G64" i="72"/>
  <c r="G79" i="72" s="1"/>
  <c r="F64" i="72"/>
  <c r="G87" i="72" s="1"/>
  <c r="Q51" i="75"/>
  <c r="W51" i="75" s="1"/>
  <c r="I88" i="72" l="1"/>
  <c r="H87" i="72"/>
  <c r="I81" i="72"/>
  <c r="I79" i="72"/>
  <c r="H81" i="72"/>
  <c r="H80" i="72"/>
  <c r="H79" i="72"/>
  <c r="F81" i="72"/>
  <c r="E80" i="72"/>
  <c r="E78" i="72"/>
  <c r="G88" i="72"/>
  <c r="G78" i="72"/>
  <c r="F87" i="72"/>
  <c r="E81" i="72"/>
  <c r="E79" i="72"/>
  <c r="F80" i="72"/>
  <c r="D78" i="72"/>
  <c r="F78" i="72"/>
  <c r="D81" i="72"/>
  <c r="J88" i="72"/>
  <c r="I80" i="72"/>
  <c r="H78" i="72"/>
  <c r="H88" i="72"/>
  <c r="G81" i="72"/>
  <c r="J87" i="72"/>
  <c r="G80" i="72"/>
  <c r="D7" i="72"/>
  <c r="D20" i="72"/>
  <c r="F20" i="72"/>
  <c r="F7" i="72"/>
  <c r="C64" i="72"/>
  <c r="C78" i="72" s="1"/>
  <c r="C5" i="72"/>
  <c r="E87" i="72"/>
  <c r="D79" i="72"/>
  <c r="G7" i="72"/>
  <c r="G20" i="72"/>
  <c r="H7" i="72"/>
  <c r="H20" i="72"/>
  <c r="I20" i="72"/>
  <c r="I7" i="72"/>
  <c r="E20" i="72"/>
  <c r="E7" i="72"/>
  <c r="F79" i="72"/>
  <c r="D80" i="72"/>
  <c r="F66" i="72"/>
  <c r="F83" i="72" s="1"/>
  <c r="F69" i="72"/>
  <c r="F86" i="72" s="1"/>
  <c r="F65" i="72"/>
  <c r="F82" i="72" s="1"/>
  <c r="F68" i="72"/>
  <c r="F85" i="72" s="1"/>
  <c r="F67" i="72"/>
  <c r="F84" i="72" s="1"/>
  <c r="H69" i="72"/>
  <c r="H86" i="72" s="1"/>
  <c r="H65" i="72"/>
  <c r="H82" i="72" s="1"/>
  <c r="H66" i="72"/>
  <c r="H83" i="72" s="1"/>
  <c r="H67" i="72"/>
  <c r="H84" i="72" s="1"/>
  <c r="H68" i="72"/>
  <c r="H85" i="72" s="1"/>
  <c r="I66" i="72"/>
  <c r="I83" i="72" s="1"/>
  <c r="I69" i="72"/>
  <c r="I86" i="72" s="1"/>
  <c r="I67" i="72"/>
  <c r="I84" i="72" s="1"/>
  <c r="I65" i="72"/>
  <c r="I82" i="72" s="1"/>
  <c r="I68" i="72"/>
  <c r="I85" i="72" s="1"/>
  <c r="E66" i="72"/>
  <c r="E83" i="72" s="1"/>
  <c r="E65" i="72"/>
  <c r="E82" i="72" s="1"/>
  <c r="E67" i="72"/>
  <c r="E84" i="72" s="1"/>
  <c r="E68" i="72"/>
  <c r="E85" i="72" s="1"/>
  <c r="E69" i="72"/>
  <c r="E86" i="72" s="1"/>
  <c r="D66" i="72"/>
  <c r="D83" i="72" s="1"/>
  <c r="D68" i="72"/>
  <c r="D85" i="72" s="1"/>
  <c r="D69" i="72"/>
  <c r="D86" i="72" s="1"/>
  <c r="D65" i="72"/>
  <c r="D82" i="72" s="1"/>
  <c r="D67" i="72"/>
  <c r="D84" i="72" s="1"/>
  <c r="G67" i="72"/>
  <c r="G84" i="72" s="1"/>
  <c r="G65" i="72"/>
  <c r="G82" i="72" s="1"/>
  <c r="G66" i="72"/>
  <c r="G83" i="72" s="1"/>
  <c r="G69" i="72"/>
  <c r="G86" i="72" s="1"/>
  <c r="G68" i="72"/>
  <c r="G85" i="72" s="1"/>
  <c r="D87" i="72" l="1"/>
  <c r="C80" i="72"/>
  <c r="C79" i="72"/>
  <c r="D88" i="72"/>
  <c r="E24" i="72"/>
  <c r="E41" i="72" s="1"/>
  <c r="E25" i="72"/>
  <c r="E42" i="72" s="1"/>
  <c r="F44" i="72"/>
  <c r="E23" i="72"/>
  <c r="E40" i="72" s="1"/>
  <c r="E34" i="72"/>
  <c r="E35" i="72"/>
  <c r="E37" i="72"/>
  <c r="E22" i="72"/>
  <c r="E39" i="72" s="1"/>
  <c r="E21" i="72"/>
  <c r="E38" i="72" s="1"/>
  <c r="E36" i="72"/>
  <c r="F43" i="72"/>
  <c r="H36" i="72"/>
  <c r="H35" i="72"/>
  <c r="H22" i="72"/>
  <c r="H39" i="72" s="1"/>
  <c r="H34" i="72"/>
  <c r="H25" i="72"/>
  <c r="H42" i="72" s="1"/>
  <c r="H21" i="72"/>
  <c r="H38" i="72" s="1"/>
  <c r="I43" i="72"/>
  <c r="H23" i="72"/>
  <c r="H40" i="72" s="1"/>
  <c r="I44" i="72"/>
  <c r="H24" i="72"/>
  <c r="H41" i="72" s="1"/>
  <c r="H37" i="72"/>
  <c r="F23" i="72"/>
  <c r="F40" i="72" s="1"/>
  <c r="G43" i="72"/>
  <c r="F24" i="72"/>
  <c r="F41" i="72" s="1"/>
  <c r="F25" i="72"/>
  <c r="F42" i="72" s="1"/>
  <c r="G44" i="72"/>
  <c r="F21" i="72"/>
  <c r="F38" i="72" s="1"/>
  <c r="F22" i="72"/>
  <c r="F39" i="72" s="1"/>
  <c r="F34" i="72"/>
  <c r="F37" i="72"/>
  <c r="F35" i="72"/>
  <c r="F36" i="72"/>
  <c r="G36" i="72"/>
  <c r="G37" i="72"/>
  <c r="G22" i="72"/>
  <c r="G39" i="72" s="1"/>
  <c r="H43" i="72"/>
  <c r="G34" i="72"/>
  <c r="G35" i="72"/>
  <c r="G21" i="72"/>
  <c r="G38" i="72" s="1"/>
  <c r="H44" i="72"/>
  <c r="G25" i="72"/>
  <c r="G42" i="72" s="1"/>
  <c r="G24" i="72"/>
  <c r="G41" i="72" s="1"/>
  <c r="G23" i="72"/>
  <c r="G40" i="72" s="1"/>
  <c r="C7" i="72"/>
  <c r="C20" i="72"/>
  <c r="E43" i="72"/>
  <c r="D37" i="72"/>
  <c r="D22" i="72"/>
  <c r="D39" i="72" s="1"/>
  <c r="D36" i="72"/>
  <c r="D35" i="72"/>
  <c r="D21" i="72"/>
  <c r="D38" i="72" s="1"/>
  <c r="E44" i="72"/>
  <c r="D34" i="72"/>
  <c r="D24" i="72"/>
  <c r="D41" i="72" s="1"/>
  <c r="D25" i="72"/>
  <c r="D42" i="72" s="1"/>
  <c r="D23" i="72"/>
  <c r="D40" i="72" s="1"/>
  <c r="I25" i="72"/>
  <c r="I42" i="72" s="1"/>
  <c r="I21" i="72"/>
  <c r="I38" i="72" s="1"/>
  <c r="I24" i="72"/>
  <c r="I41" i="72" s="1"/>
  <c r="J43" i="72"/>
  <c r="J44" i="72"/>
  <c r="I23" i="72"/>
  <c r="I40" i="72" s="1"/>
  <c r="I22" i="72"/>
  <c r="I39" i="72" s="1"/>
  <c r="I34" i="72"/>
  <c r="I37" i="72"/>
  <c r="I35" i="72"/>
  <c r="I36" i="72"/>
  <c r="C66" i="72"/>
  <c r="C83" i="72" s="1"/>
  <c r="C81" i="72"/>
  <c r="C67" i="72"/>
  <c r="C84" i="72" s="1"/>
  <c r="C65" i="72"/>
  <c r="C82" i="72" s="1"/>
  <c r="C69" i="72"/>
  <c r="C86" i="72" s="1"/>
  <c r="C68" i="72"/>
  <c r="C85" i="72" s="1"/>
  <c r="C25" i="72" l="1"/>
  <c r="C42" i="72" s="1"/>
  <c r="C24" i="72"/>
  <c r="C41" i="72" s="1"/>
  <c r="D43" i="72"/>
  <c r="D44" i="72"/>
  <c r="C23" i="72"/>
  <c r="C40" i="72" s="1"/>
  <c r="C35" i="72"/>
  <c r="C36" i="72"/>
  <c r="C37" i="72"/>
  <c r="C22" i="72"/>
  <c r="C39" i="72" s="1"/>
  <c r="C34" i="72"/>
  <c r="C21" i="72"/>
  <c r="C38" i="72" s="1"/>
  <c r="G50" i="75" l="1"/>
  <c r="B53" i="72"/>
  <c r="B9" i="72" s="1"/>
  <c r="K51" i="72" l="1"/>
  <c r="J7" i="72"/>
  <c r="J20" i="72"/>
  <c r="G56" i="75"/>
  <c r="G49" i="75"/>
  <c r="G51" i="75" s="1"/>
  <c r="G57" i="75"/>
  <c r="K64" i="72" l="1"/>
  <c r="K68" i="72" s="1"/>
  <c r="K85" i="72" s="1"/>
  <c r="J51" i="72"/>
  <c r="J64" i="72"/>
  <c r="K88" i="72" s="1"/>
  <c r="G58" i="75"/>
  <c r="J36" i="72"/>
  <c r="J21" i="72"/>
  <c r="J38" i="72" s="1"/>
  <c r="J23" i="72"/>
  <c r="J40" i="72" s="1"/>
  <c r="J24" i="72"/>
  <c r="J41" i="72" s="1"/>
  <c r="J35" i="72"/>
  <c r="J37" i="72"/>
  <c r="J25" i="72"/>
  <c r="J42" i="72" s="1"/>
  <c r="J34" i="72"/>
  <c r="K44" i="72"/>
  <c r="J22" i="72"/>
  <c r="J39" i="72" s="1"/>
  <c r="K43" i="72"/>
  <c r="K20" i="72"/>
  <c r="K7" i="72"/>
  <c r="K69" i="72" l="1"/>
  <c r="K86" i="72" s="1"/>
  <c r="K66" i="72"/>
  <c r="K83" i="72" s="1"/>
  <c r="K81" i="72"/>
  <c r="L64" i="72"/>
  <c r="L79" i="72" s="1"/>
  <c r="L51" i="72"/>
  <c r="J80" i="72"/>
  <c r="J67" i="72"/>
  <c r="J84" i="72" s="1"/>
  <c r="K79" i="72"/>
  <c r="K78" i="72"/>
  <c r="K65" i="72"/>
  <c r="K82" i="72" s="1"/>
  <c r="K67" i="72"/>
  <c r="K84" i="72" s="1"/>
  <c r="L88" i="72"/>
  <c r="L87" i="72"/>
  <c r="K80" i="72"/>
  <c r="J65" i="72"/>
  <c r="J82" i="72" s="1"/>
  <c r="K87" i="72"/>
  <c r="J66" i="72"/>
  <c r="J83" i="72" s="1"/>
  <c r="J69" i="72"/>
  <c r="J86" i="72" s="1"/>
  <c r="J68" i="72"/>
  <c r="J85" i="72" s="1"/>
  <c r="J79" i="72"/>
  <c r="J81" i="72"/>
  <c r="J78" i="72"/>
  <c r="L20" i="72"/>
  <c r="L7" i="72"/>
  <c r="L44" i="72"/>
  <c r="K23" i="72"/>
  <c r="K40" i="72" s="1"/>
  <c r="K35" i="72"/>
  <c r="K25" i="72"/>
  <c r="K42" i="72" s="1"/>
  <c r="K24" i="72"/>
  <c r="K41" i="72" s="1"/>
  <c r="K36" i="72"/>
  <c r="K21" i="72"/>
  <c r="K38" i="72" s="1"/>
  <c r="K37" i="72"/>
  <c r="K34" i="72"/>
  <c r="L43" i="72"/>
  <c r="K22" i="72"/>
  <c r="K39" i="72" s="1"/>
  <c r="M64" i="72"/>
  <c r="M51" i="72"/>
  <c r="L80" i="72" l="1"/>
  <c r="L68" i="72"/>
  <c r="L85" i="72" s="1"/>
  <c r="L66" i="72"/>
  <c r="L83" i="72" s="1"/>
  <c r="M88" i="72"/>
  <c r="L81" i="72"/>
  <c r="M87" i="72"/>
  <c r="L78" i="72"/>
  <c r="L65" i="72"/>
  <c r="L82" i="72" s="1"/>
  <c r="L69" i="72"/>
  <c r="L86" i="72" s="1"/>
  <c r="L67" i="72"/>
  <c r="L84" i="72" s="1"/>
  <c r="M44" i="72"/>
  <c r="L35" i="72"/>
  <c r="L22" i="72"/>
  <c r="L39" i="72" s="1"/>
  <c r="L34" i="72"/>
  <c r="M43" i="72"/>
  <c r="L21" i="72"/>
  <c r="L38" i="72" s="1"/>
  <c r="L24" i="72"/>
  <c r="L41" i="72" s="1"/>
  <c r="L25" i="72"/>
  <c r="L42" i="72" s="1"/>
  <c r="L36" i="72"/>
  <c r="L23" i="72"/>
  <c r="L40" i="72" s="1"/>
  <c r="L37" i="72"/>
  <c r="N64" i="72"/>
  <c r="N51" i="72"/>
  <c r="M7" i="72"/>
  <c r="M20" i="72"/>
  <c r="N87" i="72"/>
  <c r="M78" i="72"/>
  <c r="M66" i="72"/>
  <c r="M83" i="72" s="1"/>
  <c r="M69" i="72"/>
  <c r="M86" i="72" s="1"/>
  <c r="M81" i="72"/>
  <c r="M79" i="72"/>
  <c r="M80" i="72"/>
  <c r="M68" i="72"/>
  <c r="M85" i="72" s="1"/>
  <c r="M67" i="72"/>
  <c r="M84" i="72" s="1"/>
  <c r="M65" i="72"/>
  <c r="M82" i="72" s="1"/>
  <c r="N88" i="72"/>
  <c r="N81" i="72" l="1"/>
  <c r="N78" i="72"/>
  <c r="N66" i="72"/>
  <c r="N83" i="72" s="1"/>
  <c r="N67" i="72"/>
  <c r="N84" i="72" s="1"/>
  <c r="O87" i="72"/>
  <c r="O88" i="72"/>
  <c r="N65" i="72"/>
  <c r="N82" i="72" s="1"/>
  <c r="N68" i="72"/>
  <c r="N85" i="72" s="1"/>
  <c r="N80" i="72"/>
  <c r="N69" i="72"/>
  <c r="N86" i="72" s="1"/>
  <c r="N79" i="72"/>
  <c r="N20" i="72"/>
  <c r="N7" i="72"/>
  <c r="M21" i="72"/>
  <c r="M38" i="72" s="1"/>
  <c r="M36" i="72"/>
  <c r="N43" i="72"/>
  <c r="N44" i="72"/>
  <c r="M23" i="72"/>
  <c r="M40" i="72" s="1"/>
  <c r="M24" i="72"/>
  <c r="M41" i="72" s="1"/>
  <c r="M22" i="72"/>
  <c r="M39" i="72" s="1"/>
  <c r="M34" i="72"/>
  <c r="M37" i="72"/>
  <c r="M35" i="72"/>
  <c r="M25" i="72"/>
  <c r="M42" i="72" s="1"/>
  <c r="O51" i="72"/>
  <c r="O64" i="72"/>
  <c r="P51" i="72" l="1"/>
  <c r="P64" i="72"/>
  <c r="N37" i="72"/>
  <c r="N35" i="72"/>
  <c r="N34" i="72"/>
  <c r="N22" i="72"/>
  <c r="N39" i="72" s="1"/>
  <c r="N24" i="72"/>
  <c r="N41" i="72" s="1"/>
  <c r="N36" i="72"/>
  <c r="N25" i="72"/>
  <c r="N42" i="72" s="1"/>
  <c r="O44" i="72"/>
  <c r="N21" i="72"/>
  <c r="N38" i="72" s="1"/>
  <c r="N23" i="72"/>
  <c r="N40" i="72" s="1"/>
  <c r="O43" i="72"/>
  <c r="O20" i="72"/>
  <c r="O7" i="72"/>
  <c r="O81" i="72"/>
  <c r="O78" i="72"/>
  <c r="O66" i="72"/>
  <c r="O83" i="72" s="1"/>
  <c r="O69" i="72"/>
  <c r="O86" i="72" s="1"/>
  <c r="O79" i="72"/>
  <c r="O65" i="72"/>
  <c r="O82" i="72" s="1"/>
  <c r="O68" i="72"/>
  <c r="O85" i="72" s="1"/>
  <c r="O80" i="72"/>
  <c r="O67" i="72"/>
  <c r="O84" i="72" s="1"/>
  <c r="P88" i="72"/>
  <c r="P87" i="72"/>
  <c r="Q64" i="72" l="1"/>
  <c r="Q51" i="72"/>
  <c r="P7" i="72"/>
  <c r="P20" i="72"/>
  <c r="O34" i="72"/>
  <c r="O36" i="72"/>
  <c r="O23" i="72"/>
  <c r="O40" i="72" s="1"/>
  <c r="O37" i="72"/>
  <c r="O22" i="72"/>
  <c r="O39" i="72" s="1"/>
  <c r="P44" i="72"/>
  <c r="O24" i="72"/>
  <c r="O41" i="72" s="1"/>
  <c r="O21" i="72"/>
  <c r="O38" i="72" s="1"/>
  <c r="O35" i="72"/>
  <c r="P43" i="72"/>
  <c r="O25" i="72"/>
  <c r="O42" i="72" s="1"/>
  <c r="P80" i="72"/>
  <c r="P78" i="72"/>
  <c r="P66" i="72"/>
  <c r="P83" i="72" s="1"/>
  <c r="P68" i="72"/>
  <c r="P85" i="72" s="1"/>
  <c r="P79" i="72"/>
  <c r="P69" i="72"/>
  <c r="P86" i="72" s="1"/>
  <c r="P81" i="72"/>
  <c r="Q87" i="72"/>
  <c r="Q88" i="72"/>
  <c r="P67" i="72"/>
  <c r="P84" i="72" s="1"/>
  <c r="P65" i="72"/>
  <c r="P82" i="72" s="1"/>
  <c r="Q7" i="72" l="1"/>
  <c r="Q20" i="72"/>
  <c r="Q80" i="72"/>
  <c r="R87" i="72"/>
  <c r="Q69" i="72"/>
  <c r="Q86" i="72" s="1"/>
  <c r="Q65" i="72"/>
  <c r="Q82" i="72" s="1"/>
  <c r="R88" i="72"/>
  <c r="Q79" i="72"/>
  <c r="Q81" i="72"/>
  <c r="Q68" i="72"/>
  <c r="Q85" i="72" s="1"/>
  <c r="Q67" i="72"/>
  <c r="Q84" i="72" s="1"/>
  <c r="Q78" i="72"/>
  <c r="Q66" i="72"/>
  <c r="Q83" i="72" s="1"/>
  <c r="P21" i="72"/>
  <c r="P38" i="72" s="1"/>
  <c r="P23" i="72"/>
  <c r="P40" i="72" s="1"/>
  <c r="P36" i="72"/>
  <c r="P35" i="72"/>
  <c r="P37" i="72"/>
  <c r="P24" i="72"/>
  <c r="P41" i="72" s="1"/>
  <c r="Q44" i="72"/>
  <c r="P34" i="72"/>
  <c r="P22" i="72"/>
  <c r="P39" i="72" s="1"/>
  <c r="Q43" i="72"/>
  <c r="P25" i="72"/>
  <c r="P42" i="72" s="1"/>
  <c r="R64" i="72"/>
  <c r="R51" i="72"/>
  <c r="R80" i="72" l="1"/>
  <c r="S87" i="72"/>
  <c r="R66" i="72"/>
  <c r="R83" i="72" s="1"/>
  <c r="R65" i="72"/>
  <c r="R82" i="72" s="1"/>
  <c r="R81" i="72"/>
  <c r="S88" i="72"/>
  <c r="R69" i="72"/>
  <c r="R86" i="72" s="1"/>
  <c r="R67" i="72"/>
  <c r="R84" i="72" s="1"/>
  <c r="R78" i="72"/>
  <c r="R68" i="72"/>
  <c r="R85" i="72" s="1"/>
  <c r="R79" i="72"/>
  <c r="R7" i="72"/>
  <c r="R20" i="72"/>
  <c r="S51" i="72"/>
  <c r="S64" i="72"/>
  <c r="Q34" i="72"/>
  <c r="Q22" i="72"/>
  <c r="Q39" i="72" s="1"/>
  <c r="R43" i="72"/>
  <c r="Q24" i="72"/>
  <c r="Q41" i="72" s="1"/>
  <c r="Q37" i="72"/>
  <c r="Q25" i="72"/>
  <c r="Q42" i="72" s="1"/>
  <c r="Q21" i="72"/>
  <c r="Q38" i="72" s="1"/>
  <c r="R44" i="72"/>
  <c r="Q35" i="72"/>
  <c r="Q23" i="72"/>
  <c r="Q40" i="72" s="1"/>
  <c r="Q36" i="72"/>
  <c r="S80" i="72" l="1"/>
  <c r="S79" i="72"/>
  <c r="S65" i="72"/>
  <c r="S82" i="72" s="1"/>
  <c r="S68" i="72"/>
  <c r="S85" i="72" s="1"/>
  <c r="T87" i="72"/>
  <c r="S69" i="72"/>
  <c r="S86" i="72" s="1"/>
  <c r="S66" i="72"/>
  <c r="S83" i="72" s="1"/>
  <c r="S78" i="72"/>
  <c r="S67" i="72"/>
  <c r="S84" i="72" s="1"/>
  <c r="T88" i="72"/>
  <c r="S81" i="72"/>
  <c r="S7" i="72"/>
  <c r="S20" i="72"/>
  <c r="T51" i="72"/>
  <c r="T64" i="72"/>
  <c r="S43" i="72"/>
  <c r="R23" i="72"/>
  <c r="R40" i="72" s="1"/>
  <c r="R37" i="72"/>
  <c r="R21" i="72"/>
  <c r="R38" i="72" s="1"/>
  <c r="R35" i="72"/>
  <c r="S44" i="72"/>
  <c r="R24" i="72"/>
  <c r="R41" i="72" s="1"/>
  <c r="R25" i="72"/>
  <c r="R42" i="72" s="1"/>
  <c r="R34" i="72"/>
  <c r="R36" i="72"/>
  <c r="R22" i="72"/>
  <c r="R39" i="72" s="1"/>
  <c r="T20" i="72" l="1"/>
  <c r="T7" i="72"/>
  <c r="U51" i="72"/>
  <c r="U64" i="72"/>
  <c r="S37" i="72"/>
  <c r="S21" i="72"/>
  <c r="S38" i="72" s="1"/>
  <c r="S35" i="72"/>
  <c r="S34" i="72"/>
  <c r="S23" i="72"/>
  <c r="S40" i="72" s="1"/>
  <c r="S22" i="72"/>
  <c r="S39" i="72" s="1"/>
  <c r="S25" i="72"/>
  <c r="S42" i="72" s="1"/>
  <c r="S24" i="72"/>
  <c r="S41" i="72" s="1"/>
  <c r="S36" i="72"/>
  <c r="T44" i="72"/>
  <c r="T43" i="72"/>
  <c r="U88" i="72"/>
  <c r="T67" i="72"/>
  <c r="T84" i="72" s="1"/>
  <c r="U87" i="72"/>
  <c r="T78" i="72"/>
  <c r="T65" i="72"/>
  <c r="T82" i="72" s="1"/>
  <c r="T69" i="72"/>
  <c r="T86" i="72" s="1"/>
  <c r="T81" i="72"/>
  <c r="T79" i="72"/>
  <c r="T80" i="72"/>
  <c r="T66" i="72"/>
  <c r="T83" i="72" s="1"/>
  <c r="T68" i="72"/>
  <c r="T85" i="72" s="1"/>
  <c r="V87" i="72" l="1"/>
  <c r="W87" i="72"/>
  <c r="U7" i="72"/>
  <c r="U20" i="72"/>
  <c r="W88" i="72"/>
  <c r="J58" i="72" s="1"/>
  <c r="V88" i="72"/>
  <c r="J57" i="72" s="1"/>
  <c r="U81" i="72"/>
  <c r="U79" i="72"/>
  <c r="U68" i="72"/>
  <c r="U85" i="72" s="1"/>
  <c r="U65" i="72"/>
  <c r="U82" i="72" s="1"/>
  <c r="U80" i="72"/>
  <c r="U66" i="72"/>
  <c r="U83" i="72" s="1"/>
  <c r="U78" i="72"/>
  <c r="U67" i="72"/>
  <c r="U84" i="72" s="1"/>
  <c r="U69" i="72"/>
  <c r="U86" i="72" s="1"/>
  <c r="U44" i="72"/>
  <c r="T37" i="72"/>
  <c r="T25" i="72"/>
  <c r="T42" i="72" s="1"/>
  <c r="T36" i="72"/>
  <c r="T22" i="72"/>
  <c r="T39" i="72" s="1"/>
  <c r="T23" i="72"/>
  <c r="T40" i="72" s="1"/>
  <c r="T24" i="72"/>
  <c r="T41" i="72" s="1"/>
  <c r="U43" i="72"/>
  <c r="T35" i="72"/>
  <c r="T21" i="72"/>
  <c r="T38" i="72" s="1"/>
  <c r="T34" i="72"/>
  <c r="V84" i="72" l="1"/>
  <c r="W84" i="72"/>
  <c r="V85" i="72"/>
  <c r="H57" i="72" s="1"/>
  <c r="W85" i="72"/>
  <c r="H58" i="72" s="1"/>
  <c r="V44" i="72"/>
  <c r="J13" i="72" s="1"/>
  <c r="W44" i="72"/>
  <c r="J14" i="72" s="1"/>
  <c r="W83" i="72"/>
  <c r="V83" i="72"/>
  <c r="W79" i="72"/>
  <c r="C58" i="72" s="1"/>
  <c r="V79" i="72"/>
  <c r="C57" i="72" s="1"/>
  <c r="U37" i="72"/>
  <c r="U22" i="72"/>
  <c r="U39" i="72" s="1"/>
  <c r="U36" i="72"/>
  <c r="U23" i="72"/>
  <c r="U40" i="72" s="1"/>
  <c r="U21" i="72"/>
  <c r="U38" i="72" s="1"/>
  <c r="U34" i="72"/>
  <c r="U24" i="72"/>
  <c r="U41" i="72" s="1"/>
  <c r="U25" i="72"/>
  <c r="U42" i="72" s="1"/>
  <c r="U35" i="72"/>
  <c r="V43" i="72"/>
  <c r="I13" i="72" s="1"/>
  <c r="W43" i="72"/>
  <c r="I14" i="72" s="1"/>
  <c r="W86" i="72"/>
  <c r="V86" i="72"/>
  <c r="V80" i="72"/>
  <c r="W80" i="72"/>
  <c r="V81" i="72"/>
  <c r="W81" i="72"/>
  <c r="W82" i="72"/>
  <c r="E58" i="72" s="1"/>
  <c r="V82" i="72"/>
  <c r="E57" i="72" s="1"/>
  <c r="I58" i="72"/>
  <c r="E98" i="72"/>
  <c r="V78" i="72"/>
  <c r="W78" i="72"/>
  <c r="I57" i="72"/>
  <c r="D98" i="72"/>
  <c r="B58" i="72" l="1"/>
  <c r="B57" i="72"/>
  <c r="W36" i="72"/>
  <c r="D14" i="72" s="1"/>
  <c r="V36" i="72"/>
  <c r="D13" i="72" s="1"/>
  <c r="D57" i="72"/>
  <c r="D99" i="72"/>
  <c r="W34" i="72"/>
  <c r="B14" i="72" s="1"/>
  <c r="V34" i="72"/>
  <c r="B13" i="72" s="1"/>
  <c r="V39" i="72"/>
  <c r="F13" i="72" s="1"/>
  <c r="W39" i="72"/>
  <c r="F14" i="72" s="1"/>
  <c r="F57" i="72"/>
  <c r="D101" i="72"/>
  <c r="V35" i="72"/>
  <c r="C13" i="72" s="1"/>
  <c r="W35" i="72"/>
  <c r="C14" i="72" s="1"/>
  <c r="V38" i="72"/>
  <c r="E13" i="72" s="1"/>
  <c r="W38" i="72"/>
  <c r="E14" i="72" s="1"/>
  <c r="V37" i="72"/>
  <c r="W37" i="72"/>
  <c r="F58" i="72"/>
  <c r="E101" i="72"/>
  <c r="V42" i="72"/>
  <c r="W42" i="72"/>
  <c r="V40" i="72"/>
  <c r="G13" i="72" s="1"/>
  <c r="W40" i="72"/>
  <c r="G14" i="72" s="1"/>
  <c r="G58" i="72"/>
  <c r="E102" i="72"/>
  <c r="E100" i="72"/>
  <c r="D58" i="72"/>
  <c r="E99" i="72"/>
  <c r="V41" i="72"/>
  <c r="H13" i="72" s="1"/>
  <c r="W41" i="72"/>
  <c r="H14" i="72" s="1"/>
  <c r="D100" i="72"/>
  <c r="G57" i="72"/>
  <c r="D102" i="72"/>
</calcChain>
</file>

<file path=xl/sharedStrings.xml><?xml version="1.0" encoding="utf-8"?>
<sst xmlns="http://schemas.openxmlformats.org/spreadsheetml/2006/main" count="1708" uniqueCount="394">
  <si>
    <t>Annex 3</t>
  </si>
  <si>
    <t>Financial and economic analysis of the Project Proposal "Public-Social-Private Partnerships for Ecologically-Sound Agriculture and Resilient Livelihood in Northern Tonle Sap Basin (PEARL)", Cambodia</t>
  </si>
  <si>
    <t>Version:</t>
  </si>
  <si>
    <t xml:space="preserve">Contact: Giacomo Branca (giac.branca@gmail.com) </t>
  </si>
  <si>
    <t>Table of Content (ToC):</t>
  </si>
  <si>
    <t>Name of Worksheet</t>
  </si>
  <si>
    <t>Content</t>
  </si>
  <si>
    <t>EIRR_NPV</t>
  </si>
  <si>
    <t>Economic analysis: aggregate profitability indicators and economic analysis</t>
  </si>
  <si>
    <t>Costs</t>
  </si>
  <si>
    <t>Project costs</t>
  </si>
  <si>
    <t>Benefits</t>
  </si>
  <si>
    <t>Project targets (households and agriculture activities) and benefits</t>
  </si>
  <si>
    <t>Summary_models</t>
  </si>
  <si>
    <t>Financial analysis: models' results (net margins and environmental benefits) and assumptions</t>
  </si>
  <si>
    <t>Rice_aromatic</t>
  </si>
  <si>
    <t>Detailed activity models, with/without project intervention: costs, revenues and profitability indicators</t>
  </si>
  <si>
    <t>Rice_non aromatic</t>
  </si>
  <si>
    <t>Mango</t>
  </si>
  <si>
    <t>Cashewnut</t>
  </si>
  <si>
    <t>Water Convolvulus</t>
  </si>
  <si>
    <t>Long bean</t>
  </si>
  <si>
    <t>Snake gourd</t>
  </si>
  <si>
    <t>Mungbean</t>
  </si>
  <si>
    <t>Maize</t>
  </si>
  <si>
    <t>Soybeans</t>
  </si>
  <si>
    <t>Sweet potato</t>
  </si>
  <si>
    <t>Cassava</t>
  </si>
  <si>
    <t>Peanut</t>
  </si>
  <si>
    <t>CF</t>
  </si>
  <si>
    <t>Conversion factors</t>
  </si>
  <si>
    <t xml:space="preserve"> Back to TOC</t>
  </si>
  <si>
    <t>Conversion factors calculations</t>
  </si>
  <si>
    <t>Discount rate financial analysis</t>
  </si>
  <si>
    <t>OER</t>
  </si>
  <si>
    <t>Riel/$</t>
  </si>
  <si>
    <t>Resume</t>
  </si>
  <si>
    <t>Discount rate economic analysis</t>
  </si>
  <si>
    <t>Shadow exchange rate Factor (SERF)</t>
  </si>
  <si>
    <t>Standard Conversion Factor (SCF)</t>
  </si>
  <si>
    <t>Discount rate</t>
  </si>
  <si>
    <t>Conversion Factor for imported chemicals</t>
  </si>
  <si>
    <t>Indicator</t>
  </si>
  <si>
    <t>Deposit interest rate</t>
  </si>
  <si>
    <t>Lending interest rate</t>
  </si>
  <si>
    <t>Average</t>
  </si>
  <si>
    <t>Conversion Factor for exported agric/ products</t>
  </si>
  <si>
    <t>Rate (%)</t>
  </si>
  <si>
    <t>Shadow Wage Rate Factor (SWRF) a/</t>
  </si>
  <si>
    <t>Source: International Monetary Fund, International Financial Statistics and data files using World Bank data on the GDP deflator.</t>
  </si>
  <si>
    <t>a/ SWRF= opportunity cost/ wage rate. For unskilled labor SWRF s typically 0 to 0.75 in labor surplus economies;  for skilled labor SWRF is 1.0</t>
  </si>
  <si>
    <t>Shadow Exchange rate (SER) and SCF calculation</t>
  </si>
  <si>
    <t>M $</t>
  </si>
  <si>
    <t>Source of data</t>
  </si>
  <si>
    <t xml:space="preserve">1) total imports (M) </t>
  </si>
  <si>
    <t>WB, 2020</t>
  </si>
  <si>
    <t xml:space="preserve">2) total exports (X) </t>
  </si>
  <si>
    <t xml:space="preserve">3) import taxes (Tm) </t>
  </si>
  <si>
    <t>WTO, 2022</t>
  </si>
  <si>
    <t xml:space="preserve">Import tariff for non ag products, simple average, final bound </t>
  </si>
  <si>
    <t>4) export taxes (Tx)</t>
  </si>
  <si>
    <t>Cambodia levies an export tax on goods leaving the country which ranges between 0 and 50 percent.</t>
  </si>
  <si>
    <t>SER</t>
  </si>
  <si>
    <t>SER=(M+X)/[(M+Tm)+(X-Tx)]*OER</t>
  </si>
  <si>
    <t xml:space="preserve"> </t>
  </si>
  <si>
    <t>SCF</t>
  </si>
  <si>
    <t>SCF=SER/OER</t>
  </si>
  <si>
    <t>VAT</t>
  </si>
  <si>
    <t>SCF with VAT of 10% also applied to all tradable goods</t>
  </si>
  <si>
    <t>Import parity price for key importable inputs</t>
  </si>
  <si>
    <t>Commodity</t>
  </si>
  <si>
    <t>Unit</t>
  </si>
  <si>
    <t>Urea 1/</t>
  </si>
  <si>
    <t>Phosphate 1/</t>
  </si>
  <si>
    <t>Potassium Chloride</t>
  </si>
  <si>
    <t>Financial</t>
  </si>
  <si>
    <t>Economic</t>
  </si>
  <si>
    <t>Price F.O.B,  Annual average, 2021</t>
  </si>
  <si>
    <t>$/mt</t>
  </si>
  <si>
    <t>Plus:</t>
  </si>
  <si>
    <t>- Transport, insurance and freight</t>
  </si>
  <si>
    <t>- Marketing Charges (2.5%)</t>
  </si>
  <si>
    <t>Border C.I.F. price</t>
  </si>
  <si>
    <t xml:space="preserve">Riel equivalent </t>
  </si>
  <si>
    <t>Riel/mt</t>
  </si>
  <si>
    <t>- VAT (10%)</t>
  </si>
  <si>
    <t>-</t>
  </si>
  <si>
    <t>-Import tariff (17.9%)</t>
  </si>
  <si>
    <t>Wholesale border price</t>
  </si>
  <si>
    <t>- Transport to regional market 2/</t>
  </si>
  <si>
    <t>- Transport to farmgate 3/</t>
  </si>
  <si>
    <t>- Marketing charges (2.5%)</t>
  </si>
  <si>
    <t>Farm Gate Import Price</t>
  </si>
  <si>
    <t>Riel/kg</t>
  </si>
  <si>
    <t>% of nutrient in product</t>
  </si>
  <si>
    <t>%</t>
  </si>
  <si>
    <t xml:space="preserve">Input subsidy (0%) </t>
  </si>
  <si>
    <t>Farm gate market price</t>
  </si>
  <si>
    <t xml:space="preserve">Conversion Factor </t>
  </si>
  <si>
    <t>1/ Urea: E.Europe; Phosphate: rock.</t>
  </si>
  <si>
    <t>2/ 400 km @ $ 0.046 $ per-ton/Km = 187 Riel per-ton/Km</t>
  </si>
  <si>
    <t>3/ 100 km @  187 Riel per-ton/Km</t>
  </si>
  <si>
    <t>Source of data: World Bank Commodities Price Data (The Pink Sheet), february 2nd, 2022</t>
  </si>
  <si>
    <t>Export parity price for exported output</t>
  </si>
  <si>
    <t>Aromatic rice</t>
  </si>
  <si>
    <t>Exported products: rice, cassava, mango, cashewnut, maize, peanut</t>
  </si>
  <si>
    <t xml:space="preserve">FOB price at port of arrival </t>
  </si>
  <si>
    <t>Maritime Fret</t>
  </si>
  <si>
    <t>International Insurance (2% of FOB price)</t>
  </si>
  <si>
    <t>Exchange rate</t>
  </si>
  <si>
    <t xml:space="preserve">CIF price at port of departure </t>
  </si>
  <si>
    <t>Export duties (25% of CIF)</t>
  </si>
  <si>
    <t>Riel</t>
  </si>
  <si>
    <t>Handling (2.5% of CIF)</t>
  </si>
  <si>
    <t>Storage fee (1% of CIF and duties)</t>
  </si>
  <si>
    <t>Port fee (50 % of the storage fee and handling fee)</t>
  </si>
  <si>
    <t xml:space="preserve">Transportation cost from farm to port </t>
  </si>
  <si>
    <t>Price at the farm gate</t>
  </si>
  <si>
    <t>Riel/Kg</t>
  </si>
  <si>
    <t>Source of data: USDA, February 2022</t>
  </si>
  <si>
    <t>Wage shadow rate</t>
  </si>
  <si>
    <t>CF: Ec price/mk price</t>
  </si>
  <si>
    <t>Market wage</t>
  </si>
  <si>
    <t>Economic wage</t>
  </si>
  <si>
    <t>Cambodia GDP growth rate</t>
  </si>
  <si>
    <t>Year</t>
  </si>
  <si>
    <t>Source: World Bank national accounts data, and OECD National Accounts data files.</t>
  </si>
  <si>
    <t>Minimum wage ($/month)</t>
  </si>
  <si>
    <t>Minimum wage (Riel/day) - computed over 25 days/month</t>
  </si>
  <si>
    <t>FINANCIAL ANALYSIS, base case</t>
  </si>
  <si>
    <t>Y1</t>
  </si>
  <si>
    <t>Y2</t>
  </si>
  <si>
    <t>Y3</t>
  </si>
  <si>
    <t>Y4</t>
  </si>
  <si>
    <t>Y5</t>
  </si>
  <si>
    <t>Y6</t>
  </si>
  <si>
    <t>Y7</t>
  </si>
  <si>
    <t>Y8</t>
  </si>
  <si>
    <t>Y9</t>
  </si>
  <si>
    <t>Y10</t>
  </si>
  <si>
    <t>Y11</t>
  </si>
  <si>
    <t>Y12</t>
  </si>
  <si>
    <t>Y13</t>
  </si>
  <si>
    <t>Y14</t>
  </si>
  <si>
    <t>Y15</t>
  </si>
  <si>
    <t>Y16</t>
  </si>
  <si>
    <t>Y17</t>
  </si>
  <si>
    <t>Y18</t>
  </si>
  <si>
    <t>Y19</t>
  </si>
  <si>
    <t>Y20</t>
  </si>
  <si>
    <t>Incremental financial benefits (000 $)</t>
  </si>
  <si>
    <t>Incremental financial  costs (000 $)</t>
  </si>
  <si>
    <t>Benefits-Costs (000 $)</t>
  </si>
  <si>
    <t>% operating costs (to compurte costs from Y9 on)</t>
  </si>
  <si>
    <t>Adoption rate</t>
  </si>
  <si>
    <t>Sensitivity Analysis</t>
  </si>
  <si>
    <t>Performance indicators</t>
  </si>
  <si>
    <t>Base case</t>
  </si>
  <si>
    <t>Cost increments</t>
  </si>
  <si>
    <t>Benefits increments</t>
  </si>
  <si>
    <t>Benefits decrease</t>
  </si>
  <si>
    <t>Benefits delay</t>
  </si>
  <si>
    <t>+10%</t>
  </si>
  <si>
    <t>+20%</t>
  </si>
  <si>
    <t>-10%</t>
  </si>
  <si>
    <t>-20%</t>
  </si>
  <si>
    <t>1 year</t>
  </si>
  <si>
    <t>2 year</t>
  </si>
  <si>
    <t>FIRR</t>
  </si>
  <si>
    <t>NPV @ 5.9% (000 $)</t>
  </si>
  <si>
    <t>Sensitivity analysis</t>
  </si>
  <si>
    <t>000 $</t>
  </si>
  <si>
    <t>IRR</t>
  </si>
  <si>
    <t>NPV</t>
  </si>
  <si>
    <t>base scenario</t>
  </si>
  <si>
    <t>benefits +10%</t>
  </si>
  <si>
    <t>benefits  +20%</t>
  </si>
  <si>
    <t>benefits  -10%</t>
  </si>
  <si>
    <t>benefits  -20%</t>
  </si>
  <si>
    <t>benefits  -50%</t>
  </si>
  <si>
    <t>costs +10%</t>
  </si>
  <si>
    <t>costs +20%</t>
  </si>
  <si>
    <t>costs +50%</t>
  </si>
  <si>
    <t>Net cash flow</t>
  </si>
  <si>
    <t>benefits postipated 1 yr</t>
  </si>
  <si>
    <t>benefits postipated 2 yrs</t>
  </si>
  <si>
    <t>ECONOMIC ANALYSIS, base case</t>
  </si>
  <si>
    <t>Incremental economic benefits (000 $)</t>
  </si>
  <si>
    <t>Incremental economic costs (000 $)</t>
  </si>
  <si>
    <t>% operating costs (to compute costs from Y9 on)</t>
  </si>
  <si>
    <t>EIRR</t>
  </si>
  <si>
    <t>NPV @ 5% (000 $)</t>
  </si>
  <si>
    <t>Break-even point (adoption rate)</t>
  </si>
  <si>
    <t>Minimum number of beneficiaries to have a positive NPV (HH)</t>
  </si>
  <si>
    <t>Corresponding adoption rate (%)</t>
  </si>
  <si>
    <t xml:space="preserve">Risk description (link with the risk matrix) </t>
  </si>
  <si>
    <t xml:space="preserve">Risk description </t>
  </si>
  <si>
    <t xml:space="preserve"> Probability of occurrence </t>
  </si>
  <si>
    <t xml:space="preserve"> Proxy to compare with sensitivity analysis results </t>
  </si>
  <si>
    <t xml:space="preserve"> EIRR (%) </t>
  </si>
  <si>
    <t xml:space="preserve"> NPV (000 $) </t>
  </si>
  <si>
    <t xml:space="preserve"> INSTITUTIONAL: Limited Institutional capacity </t>
  </si>
  <si>
    <t xml:space="preserve"> Low </t>
  </si>
  <si>
    <t xml:space="preserve"> Benefits delay 1 year due to implementation risk</t>
  </si>
  <si>
    <t xml:space="preserve"> ECONOMIC: Worsening of the macroeconomic scenario </t>
  </si>
  <si>
    <t>Medium</t>
  </si>
  <si>
    <t>Increase in costs due to the enhnaced input costs</t>
  </si>
  <si>
    <t xml:space="preserve"> SOCIAL: Farmers reluctant to fully adopt the farming practices disseminated </t>
  </si>
  <si>
    <t xml:space="preserve"> Decrease in benefits due to the lower adoption rate</t>
  </si>
  <si>
    <t xml:space="preserve"> CLIMATIC: increased risk affecting temperatures and water availability</t>
  </si>
  <si>
    <t xml:space="preserve"> Medium </t>
  </si>
  <si>
    <t>Increase in benefits due to the worsening of the WOP scenario</t>
  </si>
  <si>
    <t xml:space="preserve"> POLITICAL: Discontinuation of practices once the project ends </t>
  </si>
  <si>
    <t xml:space="preserve"> Decrease in benefits due to the suspension of climate-resilience practices and benefits capitalization</t>
  </si>
  <si>
    <t>Cost streams</t>
  </si>
  <si>
    <t>Financial costs</t>
  </si>
  <si>
    <t>Valori</t>
  </si>
  <si>
    <t>Component</t>
  </si>
  <si>
    <t>outcome</t>
  </si>
  <si>
    <t xml:space="preserve">  Total LC base costs</t>
  </si>
  <si>
    <t xml:space="preserve">  Total USD base costs</t>
  </si>
  <si>
    <t xml:space="preserve">  LC Total Physical Contingencies</t>
  </si>
  <si>
    <t xml:space="preserve">  USD Total Physical Contingencies</t>
  </si>
  <si>
    <t xml:space="preserve">  LC total costs</t>
  </si>
  <si>
    <t xml:space="preserve">  USD total costs</t>
  </si>
  <si>
    <t>Component 2</t>
  </si>
  <si>
    <t>Outcome 2.1</t>
  </si>
  <si>
    <t>Outcome 2.2</t>
  </si>
  <si>
    <t>Outcome 2.3</t>
  </si>
  <si>
    <t>Outcome 2.4</t>
  </si>
  <si>
    <t>Component 2 Total</t>
  </si>
  <si>
    <t>Component 3</t>
  </si>
  <si>
    <t>Outcome 3.1</t>
  </si>
  <si>
    <t>Outcome 3.2</t>
  </si>
  <si>
    <t>Component 3 Total</t>
  </si>
  <si>
    <t>Component 1</t>
  </si>
  <si>
    <t>Outcome 1.1</t>
  </si>
  <si>
    <t>Component 1 Total</t>
  </si>
  <si>
    <t>PMC</t>
  </si>
  <si>
    <t>PMC Total</t>
  </si>
  <si>
    <t>Grand Total</t>
  </si>
  <si>
    <t>Year 1</t>
  </si>
  <si>
    <t>Year 2</t>
  </si>
  <si>
    <t>Year 3</t>
  </si>
  <si>
    <t>Year 4</t>
  </si>
  <si>
    <t>Year 5</t>
  </si>
  <si>
    <t>Year 6</t>
  </si>
  <si>
    <t>Year 7</t>
  </si>
  <si>
    <t>Year 8</t>
  </si>
  <si>
    <t>Year 9</t>
  </si>
  <si>
    <t>Year 10</t>
  </si>
  <si>
    <t>Total</t>
  </si>
  <si>
    <t>financial costs</t>
  </si>
  <si>
    <t>economic costs</t>
  </si>
  <si>
    <t>Targets and benefits</t>
  </si>
  <si>
    <t>Nr. Beneficiaries (smallholder farmers)</t>
  </si>
  <si>
    <t>Cambodian farmers are smallholder farmers. The average farming households own less than two hectares of cultivating area. Indeed, based on FAOSTAT, arable land in Cambodia is 4 million hectares and agricultural population is 9.363 millions people. The ratio of arable land in hectare to agricultural population is 0.43. Based on General Population Census of Cambodia, average household in rural area has 4.6 persons. Average arable land owned by farmer household is therefore 4.6 persons/household times 0.43 hectare/person = 1.98 hectare of arable land per household</t>
  </si>
  <si>
    <t>Households</t>
  </si>
  <si>
    <t>people/HH</t>
  </si>
  <si>
    <t xml:space="preserve">people  </t>
  </si>
  <si>
    <t>Ha/HH</t>
  </si>
  <si>
    <t>Total Ha</t>
  </si>
  <si>
    <t>Targeted households</t>
  </si>
  <si>
    <t>TOTAL</t>
  </si>
  <si>
    <t xml:space="preserve">Project phasing </t>
  </si>
  <si>
    <t>Hypotethical targets (incremental)</t>
  </si>
  <si>
    <t>Nr. HH</t>
  </si>
  <si>
    <t>Adopters (incremental)</t>
  </si>
  <si>
    <t xml:space="preserve">Financial </t>
  </si>
  <si>
    <t>Representative HH (crop production)</t>
  </si>
  <si>
    <t>Plain, irrigated</t>
  </si>
  <si>
    <t>Hilly, rainfed</t>
  </si>
  <si>
    <t>Crop</t>
  </si>
  <si>
    <t>Average cropland area (ha)</t>
  </si>
  <si>
    <t>Annual net income ($)</t>
  </si>
  <si>
    <t>WOP</t>
  </si>
  <si>
    <t>WP</t>
  </si>
  <si>
    <t>Change</t>
  </si>
  <si>
    <t>Per capita daily income</t>
  </si>
  <si>
    <t>$/day/person</t>
  </si>
  <si>
    <t>Financial benefits</t>
  </si>
  <si>
    <t>AEZ</t>
  </si>
  <si>
    <t>Incremental</t>
  </si>
  <si>
    <t>Hypothetical number of HH targeted</t>
  </si>
  <si>
    <t xml:space="preserve">Number of HHs targeted </t>
  </si>
  <si>
    <t>Benefit stream (000 $)</t>
  </si>
  <si>
    <t>Annual net income ($/HH)</t>
  </si>
  <si>
    <t>Nr.</t>
  </si>
  <si>
    <t>Economic benefits</t>
  </si>
  <si>
    <t>Summary of the model financial results</t>
  </si>
  <si>
    <t xml:space="preserve">Annual net margin ($/ha) </t>
  </si>
  <si>
    <t>Rice aromatic_conventional</t>
  </si>
  <si>
    <t>Rice aromatic_organic</t>
  </si>
  <si>
    <t>Rice non aromatic</t>
  </si>
  <si>
    <t xml:space="preserve">Mango </t>
  </si>
  <si>
    <t>Cashew nuts</t>
  </si>
  <si>
    <t>Snake Gourd</t>
  </si>
  <si>
    <t>Mung bean</t>
  </si>
  <si>
    <t>Maize_conventional</t>
  </si>
  <si>
    <t>Soybean_conventional</t>
  </si>
  <si>
    <t>Cassava_conventional</t>
  </si>
  <si>
    <t>Maize_improved</t>
  </si>
  <si>
    <t>Soybean_improved</t>
  </si>
  <si>
    <t>Cassava_improved</t>
  </si>
  <si>
    <t>Summary of the model economic results</t>
  </si>
  <si>
    <t>Rice aromatic</t>
  </si>
  <si>
    <t>Assumptions and parameters</t>
  </si>
  <si>
    <t>Conventional</t>
  </si>
  <si>
    <t>Organic</t>
  </si>
  <si>
    <t>Unit quantities (inputs)</t>
  </si>
  <si>
    <t>Seed rate</t>
  </si>
  <si>
    <t>Kg/ha</t>
  </si>
  <si>
    <t>Fertilizer</t>
  </si>
  <si>
    <t>Insecticides and weedicides</t>
  </si>
  <si>
    <t>bottle/ha</t>
  </si>
  <si>
    <t>Crop suplement</t>
  </si>
  <si>
    <t>Water pumping</t>
  </si>
  <si>
    <t>time/ha</t>
  </si>
  <si>
    <t>Interest period</t>
  </si>
  <si>
    <t>month</t>
  </si>
  <si>
    <t xml:space="preserve">Labour  </t>
  </si>
  <si>
    <t>Land preparation/ripping</t>
  </si>
  <si>
    <t>person-days/ha</t>
  </si>
  <si>
    <t>Land preparation/ridging</t>
  </si>
  <si>
    <t>Sowing/planting</t>
  </si>
  <si>
    <t>Fertilizer application</t>
  </si>
  <si>
    <t>Pesticides application</t>
  </si>
  <si>
    <t>Harvesting</t>
  </si>
  <si>
    <t>Unit prices (input)</t>
  </si>
  <si>
    <t>Seed, purchase price</t>
  </si>
  <si>
    <t>Riel/bottle</t>
  </si>
  <si>
    <t>Crop supplement</t>
  </si>
  <si>
    <t>Riel/time/ha</t>
  </si>
  <si>
    <t>Interest rate</t>
  </si>
  <si>
    <t>% per month</t>
  </si>
  <si>
    <t>Labour</t>
  </si>
  <si>
    <t>Riel/person day</t>
  </si>
  <si>
    <t>Amount</t>
  </si>
  <si>
    <t>Seed</t>
  </si>
  <si>
    <t>Riel/ha</t>
  </si>
  <si>
    <t>Cost summary</t>
  </si>
  <si>
    <t>Land cost</t>
  </si>
  <si>
    <t>Input cost</t>
  </si>
  <si>
    <t>Labour cost</t>
  </si>
  <si>
    <t>Interest (50% of capital costs)</t>
  </si>
  <si>
    <t>Output summary</t>
  </si>
  <si>
    <t>Yield</t>
  </si>
  <si>
    <t>Kg/ha, wet</t>
  </si>
  <si>
    <t>Main product, selling price @ farm gate</t>
  </si>
  <si>
    <t>Riel/Kg, wet</t>
  </si>
  <si>
    <t>Revenue</t>
  </si>
  <si>
    <t>Performance</t>
  </si>
  <si>
    <t>Gross margin (before family labour) [cash flow]</t>
  </si>
  <si>
    <t>Net margin (after family labour)</t>
  </si>
  <si>
    <t>$/ha</t>
  </si>
  <si>
    <t>Returns to family labour</t>
  </si>
  <si>
    <t>NPV @ 5.9%</t>
  </si>
  <si>
    <t>Rice-non aromatic</t>
  </si>
  <si>
    <t>Interest (50% of total costs)</t>
  </si>
  <si>
    <t>* Upfront capital investment for growing mango trees is excluded. This costing is based on mango trees aged 6-7 years. No wrapping of mango fruits.</t>
  </si>
  <si>
    <t>tree/ha</t>
  </si>
  <si>
    <t>Bag/ha</t>
  </si>
  <si>
    <t>(lump-sum)/ha</t>
  </si>
  <si>
    <t>Seed, purchase price (rental fee per tree)</t>
  </si>
  <si>
    <t>Riel/tree/cycle</t>
  </si>
  <si>
    <t>Riel/Bag</t>
  </si>
  <si>
    <t>Kg/ha, fresh</t>
  </si>
  <si>
    <t>Riel/Kg, fresh (unwrapped)</t>
  </si>
  <si>
    <t xml:space="preserve">* Upfront capital investment for growing cashew trees is excluded. This costing is based on cashew trees aged 3-5 years. </t>
  </si>
  <si>
    <t>Riel/Kg, fresh</t>
  </si>
  <si>
    <t>Longbean</t>
  </si>
  <si>
    <r>
      <t>can/1000m</t>
    </r>
    <r>
      <rPr>
        <vertAlign val="superscript"/>
        <sz val="11"/>
        <rFont val="Times New Roman"/>
        <family val="1"/>
      </rPr>
      <t>2</t>
    </r>
  </si>
  <si>
    <r>
      <t>Kg/1000m</t>
    </r>
    <r>
      <rPr>
        <vertAlign val="superscript"/>
        <sz val="11"/>
        <rFont val="Times New Roman"/>
        <family val="1"/>
      </rPr>
      <t>2</t>
    </r>
  </si>
  <si>
    <r>
      <t>pack/1000m</t>
    </r>
    <r>
      <rPr>
        <vertAlign val="superscript"/>
        <sz val="11"/>
        <rFont val="Times New Roman"/>
        <family val="1"/>
      </rPr>
      <t>2</t>
    </r>
  </si>
  <si>
    <r>
      <t>bottle/1000m</t>
    </r>
    <r>
      <rPr>
        <vertAlign val="superscript"/>
        <sz val="11"/>
        <rFont val="Times New Roman"/>
        <family val="1"/>
      </rPr>
      <t>2</t>
    </r>
  </si>
  <si>
    <r>
      <t>time/1000m</t>
    </r>
    <r>
      <rPr>
        <vertAlign val="superscript"/>
        <sz val="11"/>
        <rFont val="Times New Roman"/>
        <family val="1"/>
      </rPr>
      <t>2</t>
    </r>
  </si>
  <si>
    <r>
      <t>person-days/1000m</t>
    </r>
    <r>
      <rPr>
        <vertAlign val="superscript"/>
        <sz val="11"/>
        <rFont val="Times New Roman"/>
        <family val="1"/>
      </rPr>
      <t>2</t>
    </r>
  </si>
  <si>
    <t>Riel/can</t>
  </si>
  <si>
    <t>Riel/pack</t>
  </si>
  <si>
    <r>
      <t>Riel/time/1000m</t>
    </r>
    <r>
      <rPr>
        <vertAlign val="superscript"/>
        <sz val="11"/>
        <rFont val="Times New Roman"/>
        <family val="1"/>
      </rPr>
      <t>2</t>
    </r>
  </si>
  <si>
    <r>
      <t>Riel/1000m</t>
    </r>
    <r>
      <rPr>
        <vertAlign val="superscript"/>
        <sz val="11"/>
        <rFont val="Times New Roman"/>
        <family val="1"/>
      </rPr>
      <t>2</t>
    </r>
  </si>
  <si>
    <r>
      <t>Kg/1000m</t>
    </r>
    <r>
      <rPr>
        <vertAlign val="superscript"/>
        <sz val="11"/>
        <rFont val="Times New Roman"/>
        <family val="1"/>
      </rPr>
      <t>2</t>
    </r>
    <r>
      <rPr>
        <sz val="11"/>
        <rFont val="Times New Roman"/>
        <family val="1"/>
      </rPr>
      <t>, wet</t>
    </r>
  </si>
  <si>
    <t>WaterConvolvulus</t>
  </si>
  <si>
    <t>** Farming cycle: 20 dyas.</t>
  </si>
  <si>
    <t>pack/ha</t>
  </si>
  <si>
    <t>Riel/litre</t>
  </si>
  <si>
    <t>Interest</t>
  </si>
  <si>
    <t>Kg/ha, dry</t>
  </si>
  <si>
    <t>Riel/Kg, dry</t>
  </si>
  <si>
    <t>Improved</t>
  </si>
  <si>
    <t>litre/ha</t>
  </si>
  <si>
    <t>SweetPotato</t>
  </si>
  <si>
    <r>
      <t>slip/1000m</t>
    </r>
    <r>
      <rPr>
        <vertAlign val="superscript"/>
        <sz val="11"/>
        <rFont val="Times New Roman"/>
        <family val="1"/>
      </rPr>
      <t>2</t>
    </r>
  </si>
  <si>
    <t>Riel/slip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</si>
</sst>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_);_(* \(#,##0.00\);_(* &quot;-&quot;??_);_(@_)"/>
    <numFmt numFmtId="164" formatCode="_-* #,##0.00_-;\-* #,##0.00_-;_-* &quot;-&quot;??_-;_-@_-"/>
    <numFmt numFmtId="165" formatCode="_-* #,##0.00\ _€_-;\-* #,##0.00\ _€_-;_-* &quot;-&quot;??\ _€_-;_-@_-"/>
    <numFmt numFmtId="166" formatCode="_-&quot;£&quot;* #,##0.00_-;\-&quot;£&quot;* #,##0.00_-;_-&quot;£&quot;* &quot;-&quot;??_-;_-@_-"/>
    <numFmt numFmtId="167" formatCode="_-[$€]* #,##0.00_-;\-[$€]* #,##0.00_-;_-[$€]* &quot;-&quot;??_-;_-@_-"/>
    <numFmt numFmtId="168" formatCode="0.0"/>
    <numFmt numFmtId="169" formatCode="#,##0.0"/>
    <numFmt numFmtId="170" formatCode="#,##0.00_ ;\-#,##0.00\ "/>
    <numFmt numFmtId="171" formatCode="0.000"/>
    <numFmt numFmtId="172" formatCode="_-* #,##0.0_-;\-* #,##0.0_-;_-* &quot;-&quot;??_-;_-@_-"/>
    <numFmt numFmtId="173" formatCode="_-* #,##0_-;\-* #,##0_-;_-* &quot;-&quot;??_-;_-@_-"/>
    <numFmt numFmtId="174" formatCode="_(* #,##0_);_(* \(#,##0\);_(* &quot;-&quot;??_);_(@_)"/>
    <numFmt numFmtId="175" formatCode="#,##0.00;\-#,##0.00;\-"/>
    <numFmt numFmtId="176" formatCode="_(* #,##0.0_);_(* \(#,##0.0\);_(* &quot;-&quot;??_);_(@_)"/>
    <numFmt numFmtId="177" formatCode="0.0%"/>
    <numFmt numFmtId="178" formatCode="_-* #,##0.0\ _€_-;\-* #,##0.0\ _€_-;_-* &quot;-&quot;?\ _€_-;_-@_-"/>
  </numFmts>
  <fonts count="34">
    <font>
      <sz val="10"/>
      <name val="Arial"/>
      <family val="2"/>
    </font>
    <font>
      <sz val="11"/>
      <color theme="1"/>
      <name val="Times New Roman"/>
      <family val="2"/>
    </font>
    <font>
      <sz val="11"/>
      <color theme="1"/>
      <name val="Times New Roman"/>
      <family val="2"/>
    </font>
    <font>
      <sz val="11"/>
      <color theme="1"/>
      <name val="Times New Roman"/>
      <family val="2"/>
    </font>
    <font>
      <sz val="11"/>
      <color theme="1"/>
      <name val="Times New Roman"/>
      <family val="2"/>
    </font>
    <font>
      <sz val="11"/>
      <color theme="1"/>
      <name val="Calibri"/>
      <family val="2"/>
      <scheme val="minor"/>
    </font>
    <font>
      <sz val="10"/>
      <name val="Arial"/>
      <family val="2"/>
    </font>
    <font>
      <sz val="10"/>
      <name val="Times New Roman"/>
      <family val="1"/>
    </font>
    <font>
      <sz val="11"/>
      <color rgb="FF0070C0"/>
      <name val="Times New Roman"/>
      <family val="1"/>
    </font>
    <font>
      <b/>
      <sz val="10"/>
      <name val="Times New Roman"/>
      <family val="1"/>
    </font>
    <font>
      <sz val="8"/>
      <name val="Arial"/>
      <family val="2"/>
    </font>
    <font>
      <u/>
      <sz val="10"/>
      <color theme="10"/>
      <name val="Arial"/>
      <family val="2"/>
    </font>
    <font>
      <sz val="11"/>
      <name val="Arial"/>
      <family val="2"/>
    </font>
    <font>
      <sz val="11"/>
      <color indexed="8"/>
      <name val="Calibri"/>
      <family val="2"/>
    </font>
    <font>
      <sz val="10"/>
      <name val="Arial"/>
      <family val="2"/>
    </font>
    <font>
      <sz val="10"/>
      <color rgb="FF0070C0"/>
      <name val="Times New Roman"/>
      <family val="1"/>
    </font>
    <font>
      <b/>
      <sz val="10"/>
      <color rgb="FF0070C0"/>
      <name val="Times New Roman"/>
      <family val="1"/>
    </font>
    <font>
      <sz val="10"/>
      <name val="MS Sans Serif"/>
      <family val="2"/>
    </font>
    <font>
      <u/>
      <sz val="10"/>
      <name val="Times New Roman"/>
      <family val="1"/>
    </font>
    <font>
      <u/>
      <sz val="10"/>
      <color rgb="FF0070C0"/>
      <name val="Times New Roman"/>
      <family val="1"/>
    </font>
    <font>
      <b/>
      <u/>
      <sz val="10"/>
      <color rgb="FF0070C0"/>
      <name val="Times New Roman"/>
      <family val="1"/>
    </font>
    <font>
      <sz val="11"/>
      <name val="Times New Roman"/>
      <family val="1"/>
    </font>
    <font>
      <b/>
      <sz val="11"/>
      <name val="Times New Roman"/>
      <family val="1"/>
    </font>
    <font>
      <sz val="11"/>
      <color theme="1"/>
      <name val="Times New Roman"/>
      <family val="1"/>
    </font>
    <font>
      <b/>
      <sz val="11"/>
      <color theme="1"/>
      <name val="Times New Roman"/>
      <family val="1"/>
    </font>
    <font>
      <sz val="11"/>
      <color rgb="FFFF0000"/>
      <name val="Times New Roman"/>
      <family val="1"/>
    </font>
    <font>
      <i/>
      <sz val="11"/>
      <color theme="1"/>
      <name val="Times New Roman"/>
      <family val="1"/>
    </font>
    <font>
      <vertAlign val="superscript"/>
      <sz val="11"/>
      <name val="Times New Roman"/>
      <family val="1"/>
    </font>
    <font>
      <u/>
      <sz val="11"/>
      <name val="Times New Roman"/>
      <family val="1"/>
    </font>
    <font>
      <b/>
      <sz val="11"/>
      <color indexed="8"/>
      <name val="Times New Roman"/>
      <family val="1"/>
    </font>
    <font>
      <b/>
      <sz val="11"/>
      <color theme="1"/>
      <name val="Calibri"/>
      <family val="2"/>
      <scheme val="minor"/>
    </font>
    <font>
      <sz val="11"/>
      <color theme="0"/>
      <name val="Calibri"/>
      <family val="2"/>
      <scheme val="minor"/>
    </font>
    <font>
      <b/>
      <u/>
      <sz val="10"/>
      <name val="Times New Roman"/>
      <family val="1"/>
    </font>
    <font>
      <sz val="9"/>
      <name val="Times New Roman"/>
      <family val="1"/>
    </font>
  </fonts>
  <fills count="19">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them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rgb="FF00B0F0"/>
        <bgColor indexed="64"/>
      </patternFill>
    </fill>
    <fill>
      <patternFill patternType="solid">
        <fgColor theme="0" tint="-0.249977111117893"/>
        <bgColor indexed="64"/>
      </patternFill>
    </fill>
    <fill>
      <patternFill patternType="solid">
        <fgColor theme="5" tint="0.39997558519241921"/>
        <bgColor indexed="64"/>
      </patternFill>
    </fill>
    <fill>
      <patternFill patternType="solid">
        <fgColor theme="4" tint="0.79998168889431442"/>
        <bgColor theme="4" tint="0.79998168889431442"/>
      </patternFill>
    </fill>
    <fill>
      <patternFill patternType="solid">
        <fgColor theme="8" tint="-0.249977111117893"/>
        <bgColor theme="8" tint="-0.249977111117893"/>
      </patternFill>
    </fill>
  </fills>
  <borders count="24">
    <border>
      <left/>
      <right/>
      <top/>
      <bottom/>
      <diagonal/>
    </border>
    <border>
      <left/>
      <right/>
      <top/>
      <bottom style="thin">
        <color indexed="64"/>
      </bottom>
      <diagonal/>
    </border>
    <border>
      <left/>
      <right/>
      <top style="thin">
        <color auto="1"/>
      </top>
      <bottom style="thin">
        <color auto="1"/>
      </bottom>
      <diagonal/>
    </border>
    <border>
      <left/>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auto="1"/>
      </bottom>
      <diagonal/>
    </border>
    <border>
      <left style="thin">
        <color indexed="64"/>
      </left>
      <right/>
      <top style="thin">
        <color auto="1"/>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uble">
        <color theme="8" tint="-0.249977111117893"/>
      </top>
      <bottom style="thin">
        <color indexed="64"/>
      </bottom>
      <diagonal/>
    </border>
    <border>
      <left/>
      <right/>
      <top style="double">
        <color theme="8" tint="-0.249977111117893"/>
      </top>
      <bottom style="thin">
        <color indexed="64"/>
      </bottom>
      <diagonal/>
    </border>
    <border>
      <left/>
      <right style="thin">
        <color indexed="64"/>
      </right>
      <top style="double">
        <color theme="8" tint="-0.249977111117893"/>
      </top>
      <bottom style="thin">
        <color indexed="64"/>
      </bottom>
      <diagonal/>
    </border>
    <border>
      <left style="medium">
        <color indexed="64"/>
      </left>
      <right style="medium">
        <color indexed="64"/>
      </right>
      <top/>
      <bottom style="medium">
        <color indexed="64"/>
      </bottom>
      <diagonal/>
    </border>
    <border>
      <left/>
      <right/>
      <top/>
      <bottom style="thin">
        <color theme="4" tint="0.39997558519241921"/>
      </bottom>
      <diagonal/>
    </border>
    <border>
      <left/>
      <right/>
      <top style="thin">
        <color theme="4"/>
      </top>
      <bottom style="thin">
        <color theme="4"/>
      </bottom>
      <diagonal/>
    </border>
    <border>
      <left/>
      <right/>
      <top style="thin">
        <color theme="4" tint="0.39997558519241921"/>
      </top>
      <bottom/>
      <diagonal/>
    </border>
    <border>
      <left/>
      <right/>
      <top style="thin">
        <color indexed="64"/>
      </top>
      <bottom style="thin">
        <color theme="8" tint="0.59999389629810485"/>
      </bottom>
      <diagonal/>
    </border>
  </borders>
  <cellStyleXfs count="59">
    <xf numFmtId="167" fontId="0" fillId="0" borderId="0"/>
    <xf numFmtId="167" fontId="6" fillId="0" borderId="0"/>
    <xf numFmtId="167" fontId="5" fillId="0" borderId="0"/>
    <xf numFmtId="167" fontId="5" fillId="0" borderId="0"/>
    <xf numFmtId="164" fontId="5" fillId="0" borderId="0" applyFont="0" applyFill="0" applyBorder="0" applyAlignment="0" applyProtection="0"/>
    <xf numFmtId="43" fontId="6" fillId="0" borderId="0" applyFont="0" applyFill="0" applyBorder="0" applyAlignment="0" applyProtection="0"/>
    <xf numFmtId="0" fontId="5" fillId="0" borderId="0"/>
    <xf numFmtId="167" fontId="11" fillId="0" borderId="0" applyNumberFormat="0" applyFill="0" applyBorder="0" applyAlignment="0" applyProtection="0"/>
    <xf numFmtId="164" fontId="6" fillId="0" borderId="0" applyFont="0" applyFill="0" applyBorder="0" applyAlignment="0" applyProtection="0"/>
    <xf numFmtId="0" fontId="4" fillId="0" borderId="0"/>
    <xf numFmtId="9" fontId="4" fillId="0" borderId="0" applyFont="0" applyFill="0" applyBorder="0" applyAlignment="0" applyProtection="0"/>
    <xf numFmtId="9" fontId="5" fillId="0" borderId="0" applyFont="0" applyFill="0" applyBorder="0" applyAlignment="0" applyProtection="0"/>
    <xf numFmtId="166" fontId="5" fillId="0" borderId="0" applyFont="0" applyFill="0" applyBorder="0" applyAlignment="0" applyProtection="0"/>
    <xf numFmtId="9" fontId="6" fillId="0" borderId="0" applyFont="0" applyFill="0" applyBorder="0" applyAlignment="0" applyProtection="0"/>
    <xf numFmtId="0" fontId="3" fillId="0" borderId="0"/>
    <xf numFmtId="167" fontId="5" fillId="0" borderId="0"/>
    <xf numFmtId="167" fontId="12" fillId="0" borderId="0"/>
    <xf numFmtId="167" fontId="6" fillId="0" borderId="0"/>
    <xf numFmtId="9" fontId="13" fillId="0" borderId="0" applyFont="0" applyFill="0" applyBorder="0" applyAlignment="0" applyProtection="0"/>
    <xf numFmtId="167" fontId="6" fillId="0" borderId="0"/>
    <xf numFmtId="164" fontId="5" fillId="0" borderId="0" applyFont="0" applyFill="0" applyBorder="0" applyAlignment="0" applyProtection="0"/>
    <xf numFmtId="0" fontId="14" fillId="0" borderId="0"/>
    <xf numFmtId="164" fontId="6" fillId="0" borderId="0" applyFont="0" applyFill="0" applyBorder="0" applyAlignment="0" applyProtection="0"/>
    <xf numFmtId="0" fontId="6" fillId="0" borderId="0"/>
    <xf numFmtId="0" fontId="6" fillId="0" borderId="0"/>
    <xf numFmtId="0" fontId="5" fillId="0" borderId="0"/>
    <xf numFmtId="0" fontId="2" fillId="0" borderId="0"/>
    <xf numFmtId="167" fontId="6" fillId="0" borderId="0"/>
    <xf numFmtId="167" fontId="6" fillId="0" borderId="0"/>
    <xf numFmtId="9" fontId="2" fillId="0" borderId="0" applyFont="0" applyFill="0" applyBorder="0" applyAlignment="0" applyProtection="0"/>
    <xf numFmtId="164" fontId="2" fillId="0" borderId="0" applyFont="0" applyFill="0" applyBorder="0" applyAlignment="0" applyProtection="0"/>
    <xf numFmtId="0" fontId="17" fillId="0" borderId="0"/>
    <xf numFmtId="167" fontId="14" fillId="0" borderId="0"/>
    <xf numFmtId="0" fontId="6" fillId="0" borderId="0"/>
    <xf numFmtId="0" fontId="6" fillId="0" borderId="0"/>
    <xf numFmtId="0" fontId="5" fillId="0" borderId="0"/>
    <xf numFmtId="167" fontId="6" fillId="0" borderId="0"/>
    <xf numFmtId="164" fontId="6" fillId="0" borderId="0" applyFont="0" applyFill="0" applyBorder="0" applyAlignment="0" applyProtection="0"/>
    <xf numFmtId="167" fontId="10" fillId="0" borderId="0"/>
    <xf numFmtId="167" fontId="10" fillId="0" borderId="0"/>
    <xf numFmtId="9" fontId="13" fillId="0" borderId="0" applyFont="0" applyFill="0" applyBorder="0" applyAlignment="0" applyProtection="0"/>
    <xf numFmtId="167" fontId="10" fillId="0" borderId="0"/>
    <xf numFmtId="167" fontId="10" fillId="0" borderId="0"/>
    <xf numFmtId="167" fontId="6" fillId="0" borderId="0"/>
    <xf numFmtId="0" fontId="10" fillId="0" borderId="0"/>
    <xf numFmtId="167" fontId="6" fillId="0" borderId="0"/>
    <xf numFmtId="165" fontId="6" fillId="0" borderId="0" applyFont="0" applyFill="0" applyBorder="0" applyAlignment="0" applyProtection="0"/>
    <xf numFmtId="167" fontId="6" fillId="0" borderId="0"/>
    <xf numFmtId="167" fontId="5" fillId="0" borderId="0"/>
    <xf numFmtId="164" fontId="5" fillId="0" borderId="0" applyFont="0" applyFill="0" applyBorder="0" applyAlignment="0" applyProtection="0"/>
    <xf numFmtId="43" fontId="6" fillId="0" borderId="0" applyFont="0" applyFill="0" applyBorder="0" applyAlignment="0" applyProtection="0"/>
    <xf numFmtId="0" fontId="1" fillId="0" borderId="0"/>
    <xf numFmtId="0" fontId="1" fillId="0" borderId="0"/>
    <xf numFmtId="164" fontId="5" fillId="0" borderId="0" applyFont="0" applyFill="0" applyBorder="0" applyAlignment="0" applyProtection="0"/>
    <xf numFmtId="167" fontId="11" fillId="0" borderId="0" applyNumberFormat="0" applyFill="0" applyBorder="0" applyAlignment="0" applyProtection="0"/>
    <xf numFmtId="9" fontId="6" fillId="0" borderId="0" applyFont="0" applyFill="0" applyBorder="0" applyAlignment="0" applyProtection="0"/>
    <xf numFmtId="43" fontId="5" fillId="0" borderId="0" applyFont="0" applyFill="0" applyBorder="0" applyAlignment="0" applyProtection="0"/>
    <xf numFmtId="0" fontId="5" fillId="0" borderId="0"/>
    <xf numFmtId="9" fontId="5" fillId="0" borderId="0" applyFont="0" applyFill="0" applyBorder="0" applyAlignment="0" applyProtection="0"/>
  </cellStyleXfs>
  <cellXfs count="444">
    <xf numFmtId="167" fontId="0" fillId="0" borderId="0" xfId="0"/>
    <xf numFmtId="168" fontId="8" fillId="0" borderId="0" xfId="3" applyNumberFormat="1" applyFont="1" applyAlignment="1">
      <alignment horizontal="left" vertical="center"/>
    </xf>
    <xf numFmtId="3" fontId="15" fillId="0" borderId="0" xfId="38" applyNumberFormat="1" applyFont="1"/>
    <xf numFmtId="49" fontId="19" fillId="0" borderId="0" xfId="7" applyNumberFormat="1" applyFont="1" applyAlignment="1">
      <alignment wrapText="1"/>
    </xf>
    <xf numFmtId="49" fontId="15" fillId="0" borderId="0" xfId="0" applyNumberFormat="1" applyFont="1" applyAlignment="1">
      <alignment wrapText="1"/>
    </xf>
    <xf numFmtId="167" fontId="8" fillId="0" borderId="0" xfId="1" applyFont="1"/>
    <xf numFmtId="168" fontId="15" fillId="0" borderId="0" xfId="0" applyNumberFormat="1" applyFont="1"/>
    <xf numFmtId="167" fontId="8" fillId="0" borderId="0" xfId="15" applyFont="1"/>
    <xf numFmtId="167" fontId="8" fillId="0" borderId="0" xfId="1" applyFont="1" applyAlignment="1">
      <alignment horizontal="center"/>
    </xf>
    <xf numFmtId="167" fontId="8" fillId="0" borderId="7" xfId="1" applyFont="1" applyBorder="1"/>
    <xf numFmtId="167" fontId="15" fillId="0" borderId="0" xfId="0" applyFont="1" applyAlignment="1">
      <alignment vertical="center" wrapText="1"/>
    </xf>
    <xf numFmtId="167" fontId="15" fillId="0" borderId="0" xfId="0" applyFont="1"/>
    <xf numFmtId="167" fontId="15" fillId="0" borderId="0" xfId="0" applyFont="1" applyAlignment="1">
      <alignment wrapText="1"/>
    </xf>
    <xf numFmtId="9" fontId="15" fillId="0" borderId="0" xfId="13" applyFont="1" applyFill="1"/>
    <xf numFmtId="167" fontId="16" fillId="0" borderId="0" xfId="0" applyFont="1"/>
    <xf numFmtId="167" fontId="15" fillId="14" borderId="0" xfId="0" applyFont="1" applyFill="1"/>
    <xf numFmtId="173" fontId="15" fillId="0" borderId="0" xfId="51" applyNumberFormat="1" applyFont="1"/>
    <xf numFmtId="0" fontId="15" fillId="0" borderId="0" xfId="51" applyFont="1"/>
    <xf numFmtId="0" fontId="20" fillId="2" borderId="0" xfId="51" applyFont="1" applyFill="1"/>
    <xf numFmtId="2" fontId="15" fillId="0" borderId="0" xfId="45" applyNumberFormat="1" applyFont="1" applyAlignment="1">
      <alignment wrapText="1"/>
    </xf>
    <xf numFmtId="165" fontId="15" fillId="0" borderId="0" xfId="51" applyNumberFormat="1" applyFont="1"/>
    <xf numFmtId="0" fontId="15" fillId="0" borderId="0" xfId="26" applyFont="1"/>
    <xf numFmtId="167" fontId="16" fillId="9" borderId="0" xfId="0" applyFont="1" applyFill="1"/>
    <xf numFmtId="167" fontId="15" fillId="0" borderId="0" xfId="36" applyFont="1"/>
    <xf numFmtId="167" fontId="15" fillId="0" borderId="0" xfId="36" applyFont="1" applyAlignment="1">
      <alignment horizontal="center"/>
    </xf>
    <xf numFmtId="167" fontId="21" fillId="0" borderId="6" xfId="1" applyFont="1" applyBorder="1" applyAlignment="1">
      <alignment horizontal="right"/>
    </xf>
    <xf numFmtId="167" fontId="21" fillId="0" borderId="9" xfId="1" applyFont="1" applyBorder="1"/>
    <xf numFmtId="167" fontId="21" fillId="0" borderId="8" xfId="1" applyFont="1" applyBorder="1"/>
    <xf numFmtId="173" fontId="21" fillId="0" borderId="11" xfId="8" applyNumberFormat="1" applyFont="1" applyFill="1" applyBorder="1"/>
    <xf numFmtId="49" fontId="18" fillId="0" borderId="0" xfId="7" applyNumberFormat="1" applyFont="1" applyAlignment="1">
      <alignment wrapText="1"/>
    </xf>
    <xf numFmtId="49" fontId="7" fillId="0" borderId="0" xfId="0" applyNumberFormat="1" applyFont="1" applyAlignment="1">
      <alignment wrapText="1"/>
    </xf>
    <xf numFmtId="167" fontId="7" fillId="0" borderId="0" xfId="0" applyFont="1"/>
    <xf numFmtId="167" fontId="21" fillId="7" borderId="1" xfId="15" applyFont="1" applyFill="1" applyBorder="1" applyAlignment="1">
      <alignment horizontal="left"/>
    </xf>
    <xf numFmtId="167" fontId="22" fillId="7" borderId="1" xfId="15" applyFont="1" applyFill="1" applyBorder="1" applyAlignment="1">
      <alignment horizontal="right"/>
    </xf>
    <xf numFmtId="167" fontId="22" fillId="7" borderId="1" xfId="15" applyFont="1" applyFill="1" applyBorder="1"/>
    <xf numFmtId="167" fontId="21" fillId="7" borderId="1" xfId="1" applyFont="1" applyFill="1" applyBorder="1"/>
    <xf numFmtId="0" fontId="24" fillId="0" borderId="1" xfId="6" applyFont="1" applyBorder="1" applyAlignment="1">
      <alignment vertical="top"/>
    </xf>
    <xf numFmtId="174" fontId="24" fillId="0" borderId="1" xfId="56" applyNumberFormat="1" applyFont="1" applyFill="1" applyBorder="1" applyAlignment="1">
      <alignment horizontal="center" vertical="top"/>
    </xf>
    <xf numFmtId="43" fontId="24" fillId="0" borderId="1" xfId="56" applyFont="1" applyFill="1" applyBorder="1" applyAlignment="1">
      <alignment horizontal="center" vertical="top"/>
    </xf>
    <xf numFmtId="0" fontId="24" fillId="0" borderId="0" xfId="6" applyFont="1"/>
    <xf numFmtId="0" fontId="23" fillId="0" borderId="0" xfId="6" applyFont="1"/>
    <xf numFmtId="169" fontId="22" fillId="0" borderId="1" xfId="57" applyNumberFormat="1" applyFont="1" applyBorder="1" applyAlignment="1">
      <alignment horizontal="left" vertical="top"/>
    </xf>
    <xf numFmtId="169" fontId="21" fillId="0" borderId="1" xfId="57" applyNumberFormat="1" applyFont="1" applyBorder="1" applyAlignment="1">
      <alignment horizontal="left" vertical="top"/>
    </xf>
    <xf numFmtId="169" fontId="21" fillId="0" borderId="1" xfId="57" applyNumberFormat="1" applyFont="1" applyBorder="1" applyAlignment="1">
      <alignment horizontal="left" vertical="top" wrapText="1"/>
    </xf>
    <xf numFmtId="43" fontId="21" fillId="0" borderId="1" xfId="56" applyFont="1" applyFill="1" applyBorder="1" applyAlignment="1">
      <alignment horizontal="center" vertical="top"/>
    </xf>
    <xf numFmtId="169" fontId="21" fillId="0" borderId="0" xfId="57" applyNumberFormat="1" applyFont="1" applyAlignment="1">
      <alignment horizontal="left" vertical="top"/>
    </xf>
    <xf numFmtId="169" fontId="21" fillId="0" borderId="0" xfId="57" applyNumberFormat="1" applyFont="1" applyAlignment="1">
      <alignment vertical="top" wrapText="1"/>
    </xf>
    <xf numFmtId="174" fontId="21" fillId="0" borderId="0" xfId="56" applyNumberFormat="1" applyFont="1" applyFill="1" applyBorder="1" applyAlignment="1">
      <alignment horizontal="center" vertical="top" wrapText="1"/>
    </xf>
    <xf numFmtId="169" fontId="21" fillId="0" borderId="0" xfId="23" applyNumberFormat="1" applyFont="1" applyAlignment="1">
      <alignment horizontal="left" vertical="top"/>
    </xf>
    <xf numFmtId="174" fontId="21" fillId="0" borderId="0" xfId="56" applyNumberFormat="1" applyFont="1" applyFill="1" applyBorder="1" applyAlignment="1">
      <alignment horizontal="center" vertical="top"/>
    </xf>
    <xf numFmtId="169" fontId="21" fillId="0" borderId="0" xfId="23" applyNumberFormat="1" applyFont="1" applyAlignment="1">
      <alignment vertical="top"/>
    </xf>
    <xf numFmtId="0" fontId="23" fillId="0" borderId="0" xfId="6" applyFont="1" applyAlignment="1">
      <alignment vertical="top"/>
    </xf>
    <xf numFmtId="174" fontId="23" fillId="0" borderId="0" xfId="6" applyNumberFormat="1" applyFont="1"/>
    <xf numFmtId="169" fontId="22" fillId="0" borderId="0" xfId="23" applyNumberFormat="1" applyFont="1" applyAlignment="1">
      <alignment vertical="top"/>
    </xf>
    <xf numFmtId="177" fontId="21" fillId="0" borderId="0" xfId="11" applyNumberFormat="1" applyFont="1" applyFill="1" applyBorder="1" applyAlignment="1">
      <alignment horizontal="right" vertical="top"/>
    </xf>
    <xf numFmtId="176" fontId="21" fillId="0" borderId="0" xfId="56" applyNumberFormat="1" applyFont="1" applyFill="1" applyBorder="1" applyAlignment="1">
      <alignment horizontal="center" vertical="top"/>
    </xf>
    <xf numFmtId="169" fontId="21" fillId="0" borderId="0" xfId="57" applyNumberFormat="1" applyFont="1" applyAlignment="1">
      <alignment vertical="top"/>
    </xf>
    <xf numFmtId="0" fontId="25" fillId="0" borderId="0" xfId="6" applyFont="1"/>
    <xf numFmtId="174" fontId="23" fillId="0" borderId="0" xfId="56" applyNumberFormat="1" applyFont="1" applyFill="1" applyBorder="1" applyAlignment="1">
      <alignment vertical="top"/>
    </xf>
    <xf numFmtId="43" fontId="23" fillId="0" borderId="0" xfId="56" applyFont="1" applyFill="1" applyBorder="1" applyAlignment="1">
      <alignment vertical="top"/>
    </xf>
    <xf numFmtId="174" fontId="23" fillId="0" borderId="0" xfId="58" applyNumberFormat="1" applyFont="1" applyFill="1" applyBorder="1" applyAlignment="1">
      <alignment vertical="top"/>
    </xf>
    <xf numFmtId="174" fontId="23" fillId="3" borderId="0" xfId="56" applyNumberFormat="1" applyFont="1" applyFill="1" applyBorder="1" applyAlignment="1">
      <alignment vertical="top"/>
    </xf>
    <xf numFmtId="0" fontId="24" fillId="0" borderId="1" xfId="57" applyFont="1" applyBorder="1"/>
    <xf numFmtId="0" fontId="23" fillId="0" borderId="1" xfId="57" applyFont="1" applyBorder="1"/>
    <xf numFmtId="0" fontId="23" fillId="0" borderId="1" xfId="57" applyFont="1" applyBorder="1" applyAlignment="1">
      <alignment horizontal="center" vertical="top"/>
    </xf>
    <xf numFmtId="0" fontId="23" fillId="0" borderId="0" xfId="57" applyFont="1"/>
    <xf numFmtId="0" fontId="23" fillId="0" borderId="0" xfId="57" applyFont="1" applyAlignment="1">
      <alignment vertical="top"/>
    </xf>
    <xf numFmtId="1" fontId="23" fillId="0" borderId="0" xfId="57" applyNumberFormat="1" applyFont="1"/>
    <xf numFmtId="9" fontId="21" fillId="0" borderId="0" xfId="58" applyFont="1" applyFill="1" applyBorder="1" applyAlignment="1">
      <alignment horizontal="right" vertical="top"/>
    </xf>
    <xf numFmtId="0" fontId="24" fillId="0" borderId="1" xfId="57" applyFont="1" applyBorder="1" applyAlignment="1">
      <alignment horizontal="center" vertical="top"/>
    </xf>
    <xf numFmtId="0" fontId="24" fillId="0" borderId="0" xfId="57" applyFont="1"/>
    <xf numFmtId="174" fontId="23" fillId="0" borderId="0" xfId="57" applyNumberFormat="1" applyFont="1"/>
    <xf numFmtId="174" fontId="21" fillId="0" borderId="0" xfId="58" applyNumberFormat="1" applyFont="1" applyFill="1" applyBorder="1" applyAlignment="1">
      <alignment horizontal="right" vertical="top"/>
    </xf>
    <xf numFmtId="174" fontId="21" fillId="0" borderId="0" xfId="56" applyNumberFormat="1" applyFont="1" applyFill="1" applyBorder="1" applyAlignment="1">
      <alignment horizontal="right" vertical="top"/>
    </xf>
    <xf numFmtId="0" fontId="23" fillId="3" borderId="0" xfId="57" applyFont="1" applyFill="1"/>
    <xf numFmtId="168" fontId="23" fillId="0" borderId="0" xfId="57" applyNumberFormat="1" applyFont="1"/>
    <xf numFmtId="1" fontId="23" fillId="3" borderId="0" xfId="57" applyNumberFormat="1" applyFont="1" applyFill="1"/>
    <xf numFmtId="2" fontId="9" fillId="0" borderId="2" xfId="17" applyNumberFormat="1" applyFont="1" applyBorder="1" applyAlignment="1">
      <alignment horizontal="center" vertical="center" wrapText="1"/>
    </xf>
    <xf numFmtId="2" fontId="7" fillId="0" borderId="0" xfId="17" applyNumberFormat="1" applyFont="1"/>
    <xf numFmtId="2" fontId="7" fillId="0" borderId="0" xfId="17" applyNumberFormat="1" applyFont="1" applyAlignment="1">
      <alignment vertical="center" wrapText="1"/>
    </xf>
    <xf numFmtId="173" fontId="7" fillId="0" borderId="0" xfId="22" applyNumberFormat="1" applyFont="1" applyFill="1" applyBorder="1" applyAlignment="1">
      <alignment horizontal="center" vertical="center" wrapText="1"/>
    </xf>
    <xf numFmtId="173" fontId="7" fillId="0" borderId="0" xfId="22" applyNumberFormat="1" applyFont="1" applyFill="1" applyBorder="1" applyAlignment="1">
      <alignment horizontal="right" vertical="center" wrapText="1"/>
    </xf>
    <xf numFmtId="2" fontId="7" fillId="0" borderId="2" xfId="17" applyNumberFormat="1" applyFont="1" applyBorder="1" applyAlignment="1">
      <alignment horizontal="center" vertical="center" wrapText="1"/>
    </xf>
    <xf numFmtId="2" fontId="7" fillId="0" borderId="2" xfId="17" applyNumberFormat="1" applyFont="1" applyBorder="1" applyAlignment="1">
      <alignment vertical="center" wrapText="1"/>
    </xf>
    <xf numFmtId="173" fontId="7" fillId="0" borderId="0" xfId="17" applyNumberFormat="1" applyFont="1"/>
    <xf numFmtId="167" fontId="21" fillId="8" borderId="0" xfId="0" applyFont="1" applyFill="1"/>
    <xf numFmtId="14" fontId="21" fillId="8" borderId="0" xfId="0" applyNumberFormat="1" applyFont="1" applyFill="1"/>
    <xf numFmtId="167" fontId="21" fillId="8" borderId="0" xfId="0" applyFont="1" applyFill="1" applyAlignment="1">
      <alignment horizontal="left"/>
    </xf>
    <xf numFmtId="167" fontId="28" fillId="8" borderId="0" xfId="7" applyFont="1" applyFill="1" applyAlignment="1">
      <alignment horizontal="center"/>
    </xf>
    <xf numFmtId="167" fontId="7" fillId="16" borderId="0" xfId="36" applyFont="1" applyFill="1"/>
    <xf numFmtId="167" fontId="7" fillId="16" borderId="0" xfId="36" applyFont="1" applyFill="1" applyAlignment="1">
      <alignment horizontal="center"/>
    </xf>
    <xf numFmtId="0" fontId="23" fillId="9" borderId="0" xfId="6" applyFont="1" applyFill="1" applyAlignment="1">
      <alignment vertical="top"/>
    </xf>
    <xf numFmtId="174" fontId="23" fillId="9" borderId="0" xfId="56" applyNumberFormat="1" applyFont="1" applyFill="1" applyBorder="1" applyAlignment="1">
      <alignment vertical="top"/>
    </xf>
    <xf numFmtId="43" fontId="23" fillId="9" borderId="0" xfId="56" applyFont="1" applyFill="1" applyBorder="1" applyAlignment="1">
      <alignment vertical="top"/>
    </xf>
    <xf numFmtId="0" fontId="23" fillId="9" borderId="0" xfId="6" applyFont="1" applyFill="1"/>
    <xf numFmtId="0" fontId="23" fillId="9" borderId="0" xfId="57" applyFont="1" applyFill="1"/>
    <xf numFmtId="0" fontId="24" fillId="9" borderId="0" xfId="6" applyFont="1" applyFill="1" applyAlignment="1">
      <alignment vertical="top"/>
    </xf>
    <xf numFmtId="0" fontId="29" fillId="9" borderId="0" xfId="57" applyFont="1" applyFill="1"/>
    <xf numFmtId="174" fontId="22" fillId="0" borderId="1" xfId="56" applyNumberFormat="1" applyFont="1" applyFill="1" applyBorder="1" applyAlignment="1">
      <alignment horizontal="center" vertical="top"/>
    </xf>
    <xf numFmtId="43" fontId="22" fillId="0" borderId="1" xfId="56" applyFont="1" applyFill="1" applyBorder="1" applyAlignment="1">
      <alignment horizontal="center" vertical="top"/>
    </xf>
    <xf numFmtId="0" fontId="24" fillId="5" borderId="0" xfId="6" applyFont="1" applyFill="1" applyAlignment="1">
      <alignment vertical="top"/>
    </xf>
    <xf numFmtId="174" fontId="24" fillId="5" borderId="0" xfId="56" applyNumberFormat="1" applyFont="1" applyFill="1" applyBorder="1" applyAlignment="1">
      <alignment vertical="top"/>
    </xf>
    <xf numFmtId="43" fontId="24" fillId="5" borderId="0" xfId="56" applyFont="1" applyFill="1" applyBorder="1" applyAlignment="1">
      <alignment vertical="top"/>
    </xf>
    <xf numFmtId="0" fontId="24" fillId="5" borderId="0" xfId="6" applyFont="1" applyFill="1"/>
    <xf numFmtId="0" fontId="29" fillId="5" borderId="0" xfId="57" applyFont="1" applyFill="1"/>
    <xf numFmtId="174" fontId="21" fillId="5" borderId="0" xfId="56" applyNumberFormat="1" applyFont="1" applyFill="1" applyBorder="1" applyAlignment="1">
      <alignment horizontal="center" vertical="top"/>
    </xf>
    <xf numFmtId="176" fontId="21" fillId="5" borderId="0" xfId="56" applyNumberFormat="1" applyFont="1" applyFill="1" applyBorder="1" applyAlignment="1">
      <alignment horizontal="center" vertical="top"/>
    </xf>
    <xf numFmtId="177" fontId="21" fillId="0" borderId="1" xfId="13" applyNumberFormat="1" applyFont="1" applyBorder="1" applyAlignment="1">
      <alignment horizontal="center"/>
    </xf>
    <xf numFmtId="167" fontId="21" fillId="0" borderId="0" xfId="0" applyFont="1"/>
    <xf numFmtId="167" fontId="21" fillId="0" borderId="0" xfId="1" applyFont="1"/>
    <xf numFmtId="167" fontId="22" fillId="8" borderId="1" xfId="15" applyFont="1" applyFill="1" applyBorder="1"/>
    <xf numFmtId="167" fontId="22" fillId="8" borderId="0" xfId="15" applyFont="1" applyFill="1"/>
    <xf numFmtId="167" fontId="21" fillId="8" borderId="10" xfId="0" applyFont="1" applyFill="1" applyBorder="1" applyAlignment="1">
      <alignment horizontal="center" wrapText="1"/>
    </xf>
    <xf numFmtId="167" fontId="22" fillId="0" borderId="0" xfId="15" applyFont="1"/>
    <xf numFmtId="170" fontId="21" fillId="0" borderId="0" xfId="1" applyNumberFormat="1" applyFont="1"/>
    <xf numFmtId="167" fontId="9" fillId="0" borderId="0" xfId="0" applyFont="1"/>
    <xf numFmtId="177" fontId="21" fillId="9" borderId="0" xfId="0" applyNumberFormat="1" applyFont="1" applyFill="1"/>
    <xf numFmtId="167" fontId="7" fillId="0" borderId="0" xfId="0" applyFont="1" applyAlignment="1">
      <alignment vertical="center" wrapText="1"/>
    </xf>
    <xf numFmtId="167" fontId="21" fillId="8" borderId="7" xfId="0" applyFont="1" applyFill="1" applyBorder="1" applyAlignment="1">
      <alignment horizontal="right"/>
    </xf>
    <xf numFmtId="167" fontId="21" fillId="8" borderId="2" xfId="0" applyFont="1" applyFill="1" applyBorder="1" applyAlignment="1">
      <alignment horizontal="right"/>
    </xf>
    <xf numFmtId="167" fontId="21" fillId="8" borderId="5" xfId="0" applyFont="1" applyFill="1" applyBorder="1" applyAlignment="1">
      <alignment horizontal="center" wrapText="1"/>
    </xf>
    <xf numFmtId="167" fontId="21" fillId="8" borderId="4" xfId="1" applyFont="1" applyFill="1" applyBorder="1"/>
    <xf numFmtId="9" fontId="21" fillId="9" borderId="0" xfId="0" applyNumberFormat="1" applyFont="1" applyFill="1"/>
    <xf numFmtId="167" fontId="21" fillId="8" borderId="10" xfId="0" applyFont="1" applyFill="1" applyBorder="1"/>
    <xf numFmtId="167" fontId="21" fillId="8" borderId="8" xfId="0" applyFont="1" applyFill="1" applyBorder="1" applyAlignment="1">
      <alignment horizontal="right"/>
    </xf>
    <xf numFmtId="174" fontId="21" fillId="8" borderId="0" xfId="5" applyNumberFormat="1" applyFont="1" applyFill="1" applyBorder="1" applyAlignment="1"/>
    <xf numFmtId="176" fontId="21" fillId="8" borderId="0" xfId="5" applyNumberFormat="1" applyFont="1" applyFill="1" applyBorder="1" applyAlignment="1"/>
    <xf numFmtId="43" fontId="21" fillId="8" borderId="0" xfId="5" applyFont="1" applyFill="1" applyBorder="1" applyAlignment="1"/>
    <xf numFmtId="171" fontId="21" fillId="8" borderId="0" xfId="0" applyNumberFormat="1" applyFont="1" applyFill="1"/>
    <xf numFmtId="171" fontId="21" fillId="8" borderId="1" xfId="0" applyNumberFormat="1" applyFont="1" applyFill="1" applyBorder="1"/>
    <xf numFmtId="167" fontId="21" fillId="8" borderId="10" xfId="0" applyFont="1" applyFill="1" applyBorder="1" applyAlignment="1">
      <alignment horizontal="right" wrapText="1"/>
    </xf>
    <xf numFmtId="167" fontId="21" fillId="8" borderId="11" xfId="0" applyFont="1" applyFill="1" applyBorder="1" applyAlignment="1">
      <alignment horizontal="right" wrapText="1"/>
    </xf>
    <xf numFmtId="167" fontId="21" fillId="0" borderId="0" xfId="1" applyFont="1" applyAlignment="1">
      <alignment horizontal="center"/>
    </xf>
    <xf numFmtId="167" fontId="21" fillId="0" borderId="13" xfId="1" applyFont="1" applyBorder="1" applyAlignment="1">
      <alignment horizontal="center"/>
    </xf>
    <xf numFmtId="167" fontId="21" fillId="0" borderId="13" xfId="1" applyFont="1" applyBorder="1"/>
    <xf numFmtId="167" fontId="21" fillId="0" borderId="12" xfId="1" applyFont="1" applyBorder="1"/>
    <xf numFmtId="167" fontId="21" fillId="0" borderId="12" xfId="1" applyFont="1" applyBorder="1" applyAlignment="1">
      <alignment horizontal="center"/>
    </xf>
    <xf numFmtId="167" fontId="21" fillId="0" borderId="15" xfId="1" applyFont="1" applyBorder="1"/>
    <xf numFmtId="167" fontId="21" fillId="0" borderId="15" xfId="1" applyFont="1" applyBorder="1" applyAlignment="1">
      <alignment horizontal="center"/>
    </xf>
    <xf numFmtId="168" fontId="21" fillId="0" borderId="0" xfId="3" applyNumberFormat="1" applyFont="1" applyAlignment="1">
      <alignment horizontal="left" vertical="center"/>
    </xf>
    <xf numFmtId="168" fontId="7" fillId="0" borderId="0" xfId="0" applyNumberFormat="1" applyFont="1"/>
    <xf numFmtId="168" fontId="21" fillId="0" borderId="1" xfId="3" applyNumberFormat="1" applyFont="1" applyBorder="1" applyAlignment="1">
      <alignment horizontal="left" vertical="center"/>
    </xf>
    <xf numFmtId="167" fontId="21" fillId="0" borderId="15" xfId="1" quotePrefix="1" applyFont="1" applyBorder="1"/>
    <xf numFmtId="173" fontId="21" fillId="0" borderId="12" xfId="8" applyNumberFormat="1" applyFont="1" applyFill="1" applyBorder="1" applyAlignment="1">
      <alignment horizontal="right"/>
    </xf>
    <xf numFmtId="173" fontId="21" fillId="0" borderId="3" xfId="8" applyNumberFormat="1" applyFont="1" applyFill="1" applyBorder="1" applyAlignment="1">
      <alignment horizontal="right"/>
    </xf>
    <xf numFmtId="173" fontId="21" fillId="0" borderId="15" xfId="8" applyNumberFormat="1" applyFont="1" applyFill="1" applyBorder="1" applyAlignment="1">
      <alignment horizontal="right"/>
    </xf>
    <xf numFmtId="173" fontId="21" fillId="0" borderId="0" xfId="8" applyNumberFormat="1" applyFont="1" applyFill="1" applyBorder="1" applyAlignment="1">
      <alignment horizontal="right"/>
    </xf>
    <xf numFmtId="167" fontId="21" fillId="0" borderId="6" xfId="1" applyFont="1" applyBorder="1"/>
    <xf numFmtId="167" fontId="21" fillId="0" borderId="3" xfId="1" applyFont="1" applyBorder="1"/>
    <xf numFmtId="177" fontId="21" fillId="0" borderId="9" xfId="13" applyNumberFormat="1" applyFont="1" applyFill="1" applyBorder="1"/>
    <xf numFmtId="167" fontId="22" fillId="4" borderId="4" xfId="15" applyFont="1" applyFill="1" applyBorder="1"/>
    <xf numFmtId="167" fontId="21" fillId="4" borderId="5" xfId="15" applyFont="1" applyFill="1" applyBorder="1"/>
    <xf numFmtId="9" fontId="21" fillId="0" borderId="8" xfId="13" applyFont="1" applyFill="1" applyBorder="1"/>
    <xf numFmtId="167" fontId="21" fillId="0" borderId="1" xfId="1" applyFont="1" applyBorder="1"/>
    <xf numFmtId="9" fontId="21" fillId="0" borderId="11" xfId="13" applyFont="1" applyFill="1" applyBorder="1"/>
    <xf numFmtId="167" fontId="21" fillId="4" borderId="6" xfId="15" applyFont="1" applyFill="1" applyBorder="1"/>
    <xf numFmtId="2" fontId="21" fillId="4" borderId="3" xfId="15" applyNumberFormat="1" applyFont="1" applyFill="1" applyBorder="1"/>
    <xf numFmtId="167" fontId="21" fillId="4" borderId="0" xfId="16" applyFont="1" applyFill="1"/>
    <xf numFmtId="2" fontId="21" fillId="4" borderId="0" xfId="16" applyNumberFormat="1" applyFont="1" applyFill="1"/>
    <xf numFmtId="167" fontId="21" fillId="4" borderId="7" xfId="16" applyFont="1" applyFill="1" applyBorder="1"/>
    <xf numFmtId="167" fontId="21" fillId="4" borderId="8" xfId="16" applyFont="1" applyFill="1" applyBorder="1"/>
    <xf numFmtId="2" fontId="21" fillId="4" borderId="1" xfId="17" applyNumberFormat="1" applyFont="1" applyFill="1" applyBorder="1"/>
    <xf numFmtId="167" fontId="21" fillId="0" borderId="0" xfId="1" applyFont="1" applyAlignment="1">
      <alignment horizontal="left"/>
    </xf>
    <xf numFmtId="164" fontId="21" fillId="0" borderId="15" xfId="8" applyFont="1" applyFill="1" applyBorder="1" applyAlignment="1">
      <alignment horizontal="right"/>
    </xf>
    <xf numFmtId="164" fontId="21" fillId="0" borderId="0" xfId="8" applyFont="1" applyFill="1" applyBorder="1" applyAlignment="1">
      <alignment horizontal="right"/>
    </xf>
    <xf numFmtId="167" fontId="21" fillId="0" borderId="14" xfId="1" applyFont="1" applyBorder="1"/>
    <xf numFmtId="167" fontId="21" fillId="0" borderId="14" xfId="1" applyFont="1" applyBorder="1" applyAlignment="1">
      <alignment horizontal="center"/>
    </xf>
    <xf numFmtId="173" fontId="21" fillId="0" borderId="14" xfId="8" applyNumberFormat="1" applyFont="1" applyFill="1" applyBorder="1" applyAlignment="1">
      <alignment horizontal="right"/>
    </xf>
    <xf numFmtId="167" fontId="22" fillId="0" borderId="1" xfId="15" applyFont="1" applyBorder="1"/>
    <xf numFmtId="167" fontId="21" fillId="0" borderId="4" xfId="1" applyFont="1" applyBorder="1" applyAlignment="1">
      <alignment horizontal="center"/>
    </xf>
    <xf numFmtId="167" fontId="21" fillId="0" borderId="0" xfId="15" applyFont="1" applyAlignment="1">
      <alignment wrapText="1"/>
    </xf>
    <xf numFmtId="167" fontId="21" fillId="0" borderId="7" xfId="15" applyFont="1" applyBorder="1" applyAlignment="1">
      <alignment horizontal="center" wrapText="1"/>
    </xf>
    <xf numFmtId="173" fontId="21" fillId="0" borderId="7" xfId="8" applyNumberFormat="1" applyFont="1" applyFill="1" applyBorder="1" applyAlignment="1"/>
    <xf numFmtId="173" fontId="21" fillId="0" borderId="15" xfId="8" applyNumberFormat="1" applyFont="1" applyFill="1" applyBorder="1" applyAlignment="1"/>
    <xf numFmtId="167" fontId="21" fillId="0" borderId="0" xfId="19" applyFont="1" applyAlignment="1">
      <alignment horizontal="left"/>
    </xf>
    <xf numFmtId="167" fontId="21" fillId="0" borderId="0" xfId="19" applyFont="1"/>
    <xf numFmtId="172" fontId="21" fillId="0" borderId="7" xfId="8" applyNumberFormat="1" applyFont="1" applyFill="1" applyBorder="1" applyAlignment="1"/>
    <xf numFmtId="172" fontId="21" fillId="0" borderId="15" xfId="8" applyNumberFormat="1" applyFont="1" applyFill="1" applyBorder="1" applyAlignment="1"/>
    <xf numFmtId="167" fontId="21" fillId="0" borderId="0" xfId="15" applyFont="1" applyAlignment="1">
      <alignment horizontal="left" vertical="top" wrapText="1"/>
    </xf>
    <xf numFmtId="173" fontId="21" fillId="0" borderId="7" xfId="8" applyNumberFormat="1" applyFont="1" applyFill="1" applyBorder="1" applyAlignment="1">
      <alignment vertical="top"/>
    </xf>
    <xf numFmtId="173" fontId="21" fillId="0" borderId="15" xfId="8" applyNumberFormat="1" applyFont="1" applyFill="1" applyBorder="1" applyAlignment="1" applyProtection="1">
      <alignment vertical="top"/>
      <protection locked="0" hidden="1"/>
    </xf>
    <xf numFmtId="173" fontId="21" fillId="0" borderId="15" xfId="8" applyNumberFormat="1" applyFont="1" applyFill="1" applyBorder="1" applyAlignment="1">
      <alignment vertical="top"/>
    </xf>
    <xf numFmtId="173" fontId="21" fillId="0" borderId="15" xfId="8" applyNumberFormat="1" applyFont="1" applyFill="1" applyBorder="1" applyAlignment="1" applyProtection="1">
      <protection locked="0" hidden="1"/>
    </xf>
    <xf numFmtId="167" fontId="21" fillId="0" borderId="0" xfId="15" applyFont="1" applyAlignment="1">
      <alignment horizontal="left" vertical="center" wrapText="1"/>
    </xf>
    <xf numFmtId="173" fontId="21" fillId="0" borderId="7" xfId="8" applyNumberFormat="1" applyFont="1" applyFill="1" applyBorder="1" applyAlignment="1">
      <alignment vertical="center"/>
    </xf>
    <xf numFmtId="173" fontId="21" fillId="0" borderId="15" xfId="8" applyNumberFormat="1" applyFont="1" applyFill="1" applyBorder="1" applyAlignment="1">
      <alignment vertical="center"/>
    </xf>
    <xf numFmtId="167" fontId="21" fillId="0" borderId="1" xfId="15" applyFont="1" applyBorder="1" applyAlignment="1">
      <alignment wrapText="1"/>
    </xf>
    <xf numFmtId="167" fontId="21" fillId="0" borderId="8" xfId="15" applyFont="1" applyBorder="1" applyAlignment="1">
      <alignment horizontal="center" wrapText="1"/>
    </xf>
    <xf numFmtId="173" fontId="21" fillId="0" borderId="8" xfId="8" applyNumberFormat="1" applyFont="1" applyFill="1" applyBorder="1" applyAlignment="1"/>
    <xf numFmtId="173" fontId="21" fillId="0" borderId="14" xfId="8" applyNumberFormat="1" applyFont="1" applyFill="1" applyBorder="1" applyAlignment="1"/>
    <xf numFmtId="167" fontId="21" fillId="0" borderId="2" xfId="15" applyFont="1" applyBorder="1" applyAlignment="1">
      <alignment horizontal="left" wrapText="1"/>
    </xf>
    <xf numFmtId="167" fontId="22" fillId="0" borderId="4" xfId="15" applyFont="1" applyBorder="1" applyAlignment="1">
      <alignment horizontal="left" wrapText="1"/>
    </xf>
    <xf numFmtId="167" fontId="9" fillId="0" borderId="1" xfId="0" applyFont="1" applyBorder="1" applyAlignment="1">
      <alignment horizontal="center"/>
    </xf>
    <xf numFmtId="167" fontId="7" fillId="0" borderId="1" xfId="0" applyFont="1" applyBorder="1" applyAlignment="1">
      <alignment horizontal="center"/>
    </xf>
    <xf numFmtId="167" fontId="7" fillId="0" borderId="0" xfId="0" applyFont="1" applyAlignment="1">
      <alignment wrapText="1"/>
    </xf>
    <xf numFmtId="0" fontId="7" fillId="0" borderId="0" xfId="8" applyNumberFormat="1" applyFont="1" applyFill="1" applyBorder="1" applyAlignment="1">
      <alignment horizontal="center"/>
    </xf>
    <xf numFmtId="0" fontId="7" fillId="0" borderId="0" xfId="0" applyNumberFormat="1" applyFont="1" applyAlignment="1">
      <alignment horizontal="center"/>
    </xf>
    <xf numFmtId="0" fontId="7" fillId="0" borderId="1" xfId="8" applyNumberFormat="1" applyFont="1" applyFill="1" applyBorder="1" applyAlignment="1">
      <alignment horizontal="center"/>
    </xf>
    <xf numFmtId="0" fontId="7" fillId="0" borderId="1" xfId="0" applyNumberFormat="1" applyFont="1" applyBorder="1" applyAlignment="1">
      <alignment horizontal="center"/>
    </xf>
    <xf numFmtId="167" fontId="7" fillId="0" borderId="0" xfId="0" applyFont="1" applyAlignment="1">
      <alignment horizontal="center"/>
    </xf>
    <xf numFmtId="2" fontId="7" fillId="0" borderId="0" xfId="0" applyNumberFormat="1" applyFont="1" applyAlignment="1">
      <alignment horizontal="center"/>
    </xf>
    <xf numFmtId="2" fontId="23" fillId="0" borderId="0" xfId="6" applyNumberFormat="1" applyFont="1"/>
    <xf numFmtId="2" fontId="23" fillId="0" borderId="0" xfId="57" applyNumberFormat="1" applyFont="1"/>
    <xf numFmtId="174" fontId="21" fillId="13" borderId="0" xfId="56" applyNumberFormat="1" applyFont="1" applyFill="1" applyBorder="1" applyAlignment="1">
      <alignment horizontal="center" vertical="top"/>
    </xf>
    <xf numFmtId="0" fontId="29" fillId="0" borderId="0" xfId="57" applyFont="1"/>
    <xf numFmtId="0" fontId="26" fillId="0" borderId="0" xfId="57" applyFont="1"/>
    <xf numFmtId="165" fontId="23" fillId="0" borderId="0" xfId="57" applyNumberFormat="1" applyFont="1"/>
    <xf numFmtId="177" fontId="21" fillId="0" borderId="0" xfId="13" applyNumberFormat="1" applyFont="1" applyFill="1" applyBorder="1" applyAlignment="1">
      <alignment horizontal="right" vertical="top"/>
    </xf>
    <xf numFmtId="177" fontId="23" fillId="0" borderId="0" xfId="13" applyNumberFormat="1" applyFont="1" applyFill="1"/>
    <xf numFmtId="176" fontId="21" fillId="0" borderId="0" xfId="56" applyNumberFormat="1" applyFont="1" applyFill="1" applyBorder="1" applyAlignment="1">
      <alignment horizontal="center" vertical="top" wrapText="1"/>
    </xf>
    <xf numFmtId="2" fontId="9" fillId="5" borderId="0" xfId="17" applyNumberFormat="1" applyFont="1" applyFill="1"/>
    <xf numFmtId="167" fontId="9" fillId="14" borderId="0" xfId="0" applyFont="1" applyFill="1"/>
    <xf numFmtId="167" fontId="7" fillId="14" borderId="0" xfId="0" applyFont="1" applyFill="1"/>
    <xf numFmtId="0" fontId="22" fillId="0" borderId="0" xfId="57" applyFont="1"/>
    <xf numFmtId="178" fontId="23" fillId="0" borderId="0" xfId="57" applyNumberFormat="1" applyFont="1"/>
    <xf numFmtId="49" fontId="18" fillId="0" borderId="0" xfId="54" applyNumberFormat="1" applyFont="1" applyAlignment="1">
      <alignment wrapText="1"/>
    </xf>
    <xf numFmtId="49" fontId="7" fillId="0" borderId="0" xfId="17" applyNumberFormat="1" applyFont="1" applyAlignment="1">
      <alignment wrapText="1"/>
    </xf>
    <xf numFmtId="2" fontId="7" fillId="0" borderId="0" xfId="17" applyNumberFormat="1" applyFont="1" applyAlignment="1">
      <alignment wrapText="1"/>
    </xf>
    <xf numFmtId="2" fontId="7" fillId="9" borderId="0" xfId="17" applyNumberFormat="1" applyFont="1" applyFill="1"/>
    <xf numFmtId="2" fontId="9" fillId="0" borderId="0" xfId="17" applyNumberFormat="1" applyFont="1" applyAlignment="1">
      <alignment horizontal="center"/>
    </xf>
    <xf numFmtId="2" fontId="7" fillId="0" borderId="0" xfId="45" applyNumberFormat="1" applyFont="1" applyAlignment="1">
      <alignment wrapText="1"/>
    </xf>
    <xf numFmtId="0" fontId="9" fillId="4" borderId="1" xfId="51" applyFont="1" applyFill="1" applyBorder="1"/>
    <xf numFmtId="2" fontId="9" fillId="4" borderId="1" xfId="45" applyNumberFormat="1" applyFont="1" applyFill="1" applyBorder="1" applyAlignment="1">
      <alignment horizontal="center" wrapText="1"/>
    </xf>
    <xf numFmtId="0" fontId="7" fillId="0" borderId="0" xfId="51" applyFont="1"/>
    <xf numFmtId="9" fontId="7" fillId="0" borderId="0" xfId="13" applyFont="1" applyFill="1" applyBorder="1" applyAlignment="1">
      <alignment horizontal="right" wrapText="1"/>
    </xf>
    <xf numFmtId="9" fontId="7" fillId="0" borderId="0" xfId="13" applyFont="1" applyAlignment="1">
      <alignment horizontal="right" wrapText="1"/>
    </xf>
    <xf numFmtId="173" fontId="7" fillId="0" borderId="0" xfId="8" applyNumberFormat="1" applyFont="1" applyAlignment="1">
      <alignment horizontal="right"/>
    </xf>
    <xf numFmtId="177" fontId="7" fillId="0" borderId="0" xfId="13" applyNumberFormat="1" applyFont="1" applyFill="1" applyAlignment="1">
      <alignment horizontal="right" wrapText="1"/>
    </xf>
    <xf numFmtId="2" fontId="7" fillId="0" borderId="1" xfId="45" applyNumberFormat="1" applyFont="1" applyBorder="1" applyAlignment="1">
      <alignment wrapText="1"/>
    </xf>
    <xf numFmtId="173" fontId="7" fillId="0" borderId="1" xfId="8" applyNumberFormat="1" applyFont="1" applyBorder="1" applyAlignment="1">
      <alignment horizontal="right"/>
    </xf>
    <xf numFmtId="2" fontId="7" fillId="11" borderId="0" xfId="45" applyNumberFormat="1" applyFont="1" applyFill="1" applyAlignment="1">
      <alignment wrapText="1"/>
    </xf>
    <xf numFmtId="0" fontId="7" fillId="2" borderId="0" xfId="51" applyFont="1" applyFill="1"/>
    <xf numFmtId="164" fontId="7" fillId="0" borderId="0" xfId="8" applyFont="1"/>
    <xf numFmtId="164" fontId="7" fillId="0" borderId="0" xfId="51" applyNumberFormat="1" applyFont="1"/>
    <xf numFmtId="168" fontId="9" fillId="11" borderId="1" xfId="0" applyNumberFormat="1" applyFont="1" applyFill="1" applyBorder="1"/>
    <xf numFmtId="168" fontId="7" fillId="0" borderId="0" xfId="51" applyNumberFormat="1" applyFont="1"/>
    <xf numFmtId="0" fontId="7" fillId="0" borderId="1" xfId="51" applyFont="1" applyBorder="1" applyAlignment="1">
      <alignment horizontal="center"/>
    </xf>
    <xf numFmtId="0" fontId="7" fillId="0" borderId="8" xfId="51" applyFont="1" applyBorder="1" applyAlignment="1">
      <alignment horizontal="center"/>
    </xf>
    <xf numFmtId="0" fontId="7" fillId="0" borderId="11" xfId="51" applyFont="1" applyBorder="1" applyAlignment="1">
      <alignment horizontal="center"/>
    </xf>
    <xf numFmtId="2" fontId="7" fillId="11" borderId="0" xfId="26" applyNumberFormat="1" applyFont="1" applyFill="1" applyAlignment="1">
      <alignment vertical="center" wrapText="1"/>
    </xf>
    <xf numFmtId="164" fontId="7" fillId="0" borderId="0" xfId="8" applyFont="1" applyBorder="1" applyAlignment="1">
      <alignment horizontal="center"/>
    </xf>
    <xf numFmtId="164" fontId="7" fillId="0" borderId="7" xfId="8" applyFont="1" applyBorder="1" applyAlignment="1">
      <alignment horizontal="center"/>
    </xf>
    <xf numFmtId="164" fontId="7" fillId="0" borderId="10" xfId="8" applyFont="1" applyBorder="1" applyAlignment="1">
      <alignment horizontal="center"/>
    </xf>
    <xf numFmtId="164" fontId="7" fillId="0" borderId="6" xfId="8" applyFont="1" applyBorder="1" applyAlignment="1">
      <alignment horizontal="center"/>
    </xf>
    <xf numFmtId="164" fontId="7" fillId="0" borderId="0" xfId="8" applyFont="1" applyAlignment="1">
      <alignment horizontal="center"/>
    </xf>
    <xf numFmtId="2" fontId="7" fillId="11" borderId="1" xfId="26" applyNumberFormat="1" applyFont="1" applyFill="1" applyBorder="1" applyAlignment="1">
      <alignment vertical="center" wrapText="1"/>
    </xf>
    <xf numFmtId="164" fontId="7" fillId="0" borderId="1" xfId="8" applyFont="1" applyBorder="1" applyAlignment="1">
      <alignment horizontal="center"/>
    </xf>
    <xf numFmtId="164" fontId="7" fillId="0" borderId="8" xfId="8" applyFont="1" applyBorder="1" applyAlignment="1">
      <alignment horizontal="center"/>
    </xf>
    <xf numFmtId="164" fontId="7" fillId="0" borderId="11" xfId="8" applyFont="1" applyBorder="1" applyAlignment="1">
      <alignment horizontal="center"/>
    </xf>
    <xf numFmtId="2" fontId="9" fillId="11" borderId="0" xfId="26" applyNumberFormat="1" applyFont="1" applyFill="1" applyAlignment="1">
      <alignment horizontal="right" vertical="center" wrapText="1"/>
    </xf>
    <xf numFmtId="0" fontId="7" fillId="0" borderId="0" xfId="51" applyFont="1" applyAlignment="1">
      <alignment wrapText="1"/>
    </xf>
    <xf numFmtId="0" fontId="9" fillId="0" borderId="0" xfId="51" applyFont="1"/>
    <xf numFmtId="168" fontId="7" fillId="0" borderId="8" xfId="0" applyNumberFormat="1" applyFont="1" applyBorder="1" applyAlignment="1">
      <alignment horizontal="center" wrapText="1"/>
    </xf>
    <xf numFmtId="168" fontId="7" fillId="0" borderId="1" xfId="0" applyNumberFormat="1" applyFont="1" applyBorder="1" applyAlignment="1">
      <alignment horizontal="center" wrapText="1"/>
    </xf>
    <xf numFmtId="2" fontId="7" fillId="0" borderId="8" xfId="51" applyNumberFormat="1" applyFont="1" applyBorder="1" applyAlignment="1">
      <alignment horizontal="center"/>
    </xf>
    <xf numFmtId="2" fontId="7" fillId="0" borderId="1" xfId="51" applyNumberFormat="1" applyFont="1" applyBorder="1" applyAlignment="1">
      <alignment horizontal="center"/>
    </xf>
    <xf numFmtId="0" fontId="7" fillId="0" borderId="1" xfId="51" applyFont="1" applyBorder="1"/>
    <xf numFmtId="2" fontId="7" fillId="0" borderId="0" xfId="51" applyNumberFormat="1" applyFont="1"/>
    <xf numFmtId="173" fontId="7" fillId="0" borderId="7" xfId="8" applyNumberFormat="1" applyFont="1" applyFill="1" applyBorder="1" applyAlignment="1">
      <alignment horizontal="center"/>
    </xf>
    <xf numFmtId="173" fontId="7" fillId="0" borderId="0" xfId="8" applyNumberFormat="1" applyFont="1" applyFill="1" applyBorder="1" applyAlignment="1">
      <alignment horizontal="center"/>
    </xf>
    <xf numFmtId="177" fontId="7" fillId="0" borderId="7" xfId="13" applyNumberFormat="1" applyFont="1" applyFill="1" applyBorder="1" applyAlignment="1">
      <alignment horizontal="center"/>
    </xf>
    <xf numFmtId="164" fontId="7" fillId="0" borderId="0" xfId="8" applyFont="1" applyFill="1" applyBorder="1" applyAlignment="1">
      <alignment horizontal="center"/>
    </xf>
    <xf numFmtId="173" fontId="7" fillId="0" borderId="7" xfId="8" applyNumberFormat="1" applyFont="1" applyFill="1" applyBorder="1"/>
    <xf numFmtId="173" fontId="7" fillId="0" borderId="0" xfId="51" applyNumberFormat="1" applyFont="1"/>
    <xf numFmtId="177" fontId="7" fillId="0" borderId="7" xfId="51" applyNumberFormat="1" applyFont="1" applyBorder="1" applyAlignment="1">
      <alignment horizontal="center"/>
    </xf>
    <xf numFmtId="177" fontId="9" fillId="0" borderId="0" xfId="51" applyNumberFormat="1" applyFont="1" applyAlignment="1">
      <alignment horizontal="center"/>
    </xf>
    <xf numFmtId="164" fontId="9" fillId="0" borderId="0" xfId="8" applyFont="1" applyFill="1" applyAlignment="1">
      <alignment horizontal="center"/>
    </xf>
    <xf numFmtId="173" fontId="9" fillId="0" borderId="7" xfId="8" applyNumberFormat="1" applyFont="1" applyFill="1" applyBorder="1"/>
    <xf numFmtId="173" fontId="9" fillId="0" borderId="0" xfId="51" applyNumberFormat="1" applyFont="1"/>
    <xf numFmtId="173" fontId="9" fillId="0" borderId="7" xfId="51" applyNumberFormat="1" applyFont="1" applyBorder="1"/>
    <xf numFmtId="167" fontId="30" fillId="17" borderId="0" xfId="0" applyFont="1" applyFill="1"/>
    <xf numFmtId="167" fontId="30" fillId="17" borderId="20" xfId="0" applyFont="1" applyFill="1" applyBorder="1"/>
    <xf numFmtId="167" fontId="30" fillId="0" borderId="0" xfId="0" applyFont="1"/>
    <xf numFmtId="3" fontId="0" fillId="0" borderId="0" xfId="0" applyNumberFormat="1"/>
    <xf numFmtId="167" fontId="30" fillId="0" borderId="20" xfId="0" applyFont="1" applyBorder="1"/>
    <xf numFmtId="167" fontId="30" fillId="0" borderId="21" xfId="0" applyFont="1" applyBorder="1"/>
    <xf numFmtId="3" fontId="30" fillId="0" borderId="21" xfId="0" applyNumberFormat="1" applyFont="1" applyBorder="1"/>
    <xf numFmtId="167" fontId="30" fillId="17" borderId="22" xfId="0" applyFont="1" applyFill="1" applyBorder="1"/>
    <xf numFmtId="3" fontId="30" fillId="17" borderId="22" xfId="0" applyNumberFormat="1" applyFont="1" applyFill="1" applyBorder="1"/>
    <xf numFmtId="3" fontId="30" fillId="0" borderId="16" xfId="0" applyNumberFormat="1" applyFont="1" applyBorder="1"/>
    <xf numFmtId="3" fontId="30" fillId="0" borderId="18" xfId="0" applyNumberFormat="1" applyFont="1" applyBorder="1"/>
    <xf numFmtId="167" fontId="31" fillId="18" borderId="23" xfId="0" applyFont="1" applyFill="1" applyBorder="1" applyAlignment="1">
      <alignment horizontal="center" vertical="center" wrapText="1"/>
    </xf>
    <xf numFmtId="167" fontId="7" fillId="0" borderId="0" xfId="36" applyFont="1"/>
    <xf numFmtId="167" fontId="7" fillId="0" borderId="1" xfId="36" applyFont="1" applyBorder="1"/>
    <xf numFmtId="167" fontId="7" fillId="0" borderId="1" xfId="36" applyFont="1" applyBorder="1" applyAlignment="1">
      <alignment horizontal="center"/>
    </xf>
    <xf numFmtId="167" fontId="9" fillId="0" borderId="0" xfId="36" applyFont="1" applyAlignment="1">
      <alignment wrapText="1"/>
    </xf>
    <xf numFmtId="3" fontId="9" fillId="0" borderId="0" xfId="36" applyNumberFormat="1" applyFont="1" applyAlignment="1">
      <alignment horizontal="center"/>
    </xf>
    <xf numFmtId="167" fontId="9" fillId="0" borderId="0" xfId="36" applyFont="1"/>
    <xf numFmtId="173" fontId="7" fillId="0" borderId="0" xfId="37" applyNumberFormat="1" applyFont="1" applyFill="1" applyBorder="1" applyAlignment="1">
      <alignment horizontal="center"/>
    </xf>
    <xf numFmtId="167" fontId="7" fillId="12" borderId="0" xfId="36" applyFont="1" applyFill="1"/>
    <xf numFmtId="9" fontId="7" fillId="12" borderId="0" xfId="13" applyFont="1" applyFill="1" applyBorder="1"/>
    <xf numFmtId="3" fontId="7" fillId="0" borderId="0" xfId="38" applyNumberFormat="1" applyFont="1"/>
    <xf numFmtId="3" fontId="9" fillId="0" borderId="0" xfId="38" applyNumberFormat="1" applyFont="1" applyAlignment="1">
      <alignment horizontal="center"/>
    </xf>
    <xf numFmtId="167" fontId="7" fillId="4" borderId="0" xfId="36" applyFont="1" applyFill="1"/>
    <xf numFmtId="177" fontId="7" fillId="4" borderId="0" xfId="13" applyNumberFormat="1" applyFont="1" applyFill="1" applyBorder="1" applyAlignment="1">
      <alignment horizontal="center"/>
    </xf>
    <xf numFmtId="167" fontId="7" fillId="0" borderId="0" xfId="36" applyFont="1" applyAlignment="1">
      <alignment horizontal="center"/>
    </xf>
    <xf numFmtId="167" fontId="9" fillId="0" borderId="1" xfId="36" applyFont="1" applyBorder="1"/>
    <xf numFmtId="3" fontId="9" fillId="0" borderId="0" xfId="38" applyNumberFormat="1" applyFont="1" applyAlignment="1">
      <alignment vertical="center" wrapText="1"/>
    </xf>
    <xf numFmtId="167" fontId="7" fillId="0" borderId="13" xfId="36" applyFont="1" applyBorder="1"/>
    <xf numFmtId="3" fontId="7" fillId="0" borderId="13" xfId="38" quotePrefix="1" applyNumberFormat="1" applyFont="1" applyBorder="1" applyAlignment="1">
      <alignment horizontal="center" vertical="center"/>
    </xf>
    <xf numFmtId="9" fontId="7" fillId="0" borderId="13" xfId="40" quotePrefix="1" applyFont="1" applyFill="1" applyBorder="1" applyAlignment="1">
      <alignment horizontal="center" vertical="center"/>
    </xf>
    <xf numFmtId="3" fontId="7" fillId="0" borderId="13" xfId="38" applyNumberFormat="1" applyFont="1" applyBorder="1" applyAlignment="1">
      <alignment horizontal="center" vertical="center"/>
    </xf>
    <xf numFmtId="177" fontId="7" fillId="0" borderId="13" xfId="38" applyNumberFormat="1" applyFont="1" applyBorder="1" applyAlignment="1">
      <alignment horizontal="center"/>
    </xf>
    <xf numFmtId="3" fontId="7" fillId="0" borderId="13" xfId="38" applyNumberFormat="1" applyFont="1" applyBorder="1" applyAlignment="1">
      <alignment horizontal="center"/>
    </xf>
    <xf numFmtId="167" fontId="7" fillId="0" borderId="0" xfId="39" applyFont="1"/>
    <xf numFmtId="167" fontId="7" fillId="0" borderId="0" xfId="39" applyFont="1" applyAlignment="1">
      <alignment horizontal="center"/>
    </xf>
    <xf numFmtId="3" fontId="7" fillId="0" borderId="2" xfId="38" applyNumberFormat="1" applyFont="1" applyBorder="1"/>
    <xf numFmtId="3" fontId="9" fillId="0" borderId="8" xfId="38" applyNumberFormat="1" applyFont="1" applyBorder="1"/>
    <xf numFmtId="3" fontId="9" fillId="0" borderId="1" xfId="38" applyNumberFormat="1" applyFont="1" applyBorder="1" applyAlignment="1">
      <alignment horizontal="center"/>
    </xf>
    <xf numFmtId="3" fontId="9" fillId="0" borderId="8" xfId="38" applyNumberFormat="1" applyFont="1" applyBorder="1" applyAlignment="1">
      <alignment horizontal="center"/>
    </xf>
    <xf numFmtId="3" fontId="9" fillId="0" borderId="19" xfId="38" applyNumberFormat="1" applyFont="1" applyBorder="1" applyAlignment="1">
      <alignment horizontal="center"/>
    </xf>
    <xf numFmtId="3" fontId="32" fillId="0" borderId="7" xfId="38" applyNumberFormat="1" applyFont="1" applyBorder="1"/>
    <xf numFmtId="3" fontId="7" fillId="0" borderId="7" xfId="38" applyNumberFormat="1" applyFont="1" applyBorder="1"/>
    <xf numFmtId="3" fontId="7" fillId="0" borderId="10" xfId="38" applyNumberFormat="1" applyFont="1" applyBorder="1"/>
    <xf numFmtId="3" fontId="7" fillId="0" borderId="0" xfId="41" applyNumberFormat="1" applyFont="1" applyAlignment="1">
      <alignment horizontal="right"/>
    </xf>
    <xf numFmtId="3" fontId="9" fillId="0" borderId="7" xfId="38" applyNumberFormat="1" applyFont="1" applyBorder="1"/>
    <xf numFmtId="3" fontId="7" fillId="0" borderId="0" xfId="38" applyNumberFormat="1" applyFont="1" applyAlignment="1">
      <alignment horizontal="right"/>
    </xf>
    <xf numFmtId="177" fontId="9" fillId="0" borderId="7" xfId="38" applyNumberFormat="1" applyFont="1" applyBorder="1" applyAlignment="1">
      <alignment horizontal="right"/>
    </xf>
    <xf numFmtId="3" fontId="9" fillId="0" borderId="10" xfId="38" applyNumberFormat="1" applyFont="1" applyBorder="1" applyAlignment="1">
      <alignment horizontal="right"/>
    </xf>
    <xf numFmtId="177" fontId="7" fillId="0" borderId="7" xfId="38" applyNumberFormat="1" applyFont="1" applyBorder="1" applyAlignment="1">
      <alignment horizontal="right"/>
    </xf>
    <xf numFmtId="3" fontId="7" fillId="0" borderId="10" xfId="38" applyNumberFormat="1" applyFont="1" applyBorder="1" applyAlignment="1">
      <alignment horizontal="right"/>
    </xf>
    <xf numFmtId="177" fontId="7" fillId="0" borderId="11" xfId="13" applyNumberFormat="1" applyFont="1" applyFill="1" applyBorder="1"/>
    <xf numFmtId="177" fontId="7" fillId="0" borderId="0" xfId="38" applyNumberFormat="1" applyFont="1" applyAlignment="1">
      <alignment horizontal="right"/>
    </xf>
    <xf numFmtId="167" fontId="9" fillId="4" borderId="4" xfId="39" applyFont="1" applyFill="1" applyBorder="1" applyAlignment="1">
      <alignment vertical="center"/>
    </xf>
    <xf numFmtId="177" fontId="9" fillId="4" borderId="13" xfId="38" applyNumberFormat="1" applyFont="1" applyFill="1" applyBorder="1" applyAlignment="1">
      <alignment horizontal="center"/>
    </xf>
    <xf numFmtId="167" fontId="9" fillId="4" borderId="4" xfId="39" applyFont="1" applyFill="1" applyBorder="1"/>
    <xf numFmtId="3" fontId="9" fillId="4" borderId="13" xfId="38" applyNumberFormat="1" applyFont="1" applyFill="1" applyBorder="1" applyAlignment="1">
      <alignment horizontal="center"/>
    </xf>
    <xf numFmtId="167" fontId="9" fillId="5" borderId="4" xfId="39" applyFont="1" applyFill="1" applyBorder="1" applyAlignment="1">
      <alignment vertical="center"/>
    </xf>
    <xf numFmtId="177" fontId="9" fillId="5" borderId="13" xfId="38" applyNumberFormat="1" applyFont="1" applyFill="1" applyBorder="1" applyAlignment="1">
      <alignment horizontal="center"/>
    </xf>
    <xf numFmtId="167" fontId="9" fillId="5" borderId="4" xfId="39" applyFont="1" applyFill="1" applyBorder="1"/>
    <xf numFmtId="3" fontId="9" fillId="5" borderId="13" xfId="38" applyNumberFormat="1" applyFont="1" applyFill="1" applyBorder="1" applyAlignment="1">
      <alignment horizontal="center"/>
    </xf>
    <xf numFmtId="167" fontId="33" fillId="0" borderId="0" xfId="0" applyFont="1"/>
    <xf numFmtId="173" fontId="33" fillId="0" borderId="7" xfId="8" applyNumberFormat="1" applyFont="1" applyFill="1" applyBorder="1" applyAlignment="1">
      <alignment vertical="center"/>
    </xf>
    <xf numFmtId="172" fontId="7" fillId="0" borderId="0" xfId="22" applyNumberFormat="1" applyFont="1" applyFill="1" applyBorder="1" applyAlignment="1">
      <alignment vertical="center" wrapText="1"/>
    </xf>
    <xf numFmtId="172" fontId="7" fillId="0" borderId="0" xfId="17" applyNumberFormat="1" applyFont="1"/>
    <xf numFmtId="2" fontId="7" fillId="0" borderId="1" xfId="17" applyNumberFormat="1" applyFont="1" applyBorder="1"/>
    <xf numFmtId="172" fontId="7" fillId="0" borderId="1" xfId="17" applyNumberFormat="1" applyFont="1" applyBorder="1"/>
    <xf numFmtId="168" fontId="7" fillId="8" borderId="8" xfId="0" applyNumberFormat="1" applyFont="1" applyFill="1" applyBorder="1" applyAlignment="1">
      <alignment horizontal="center" wrapText="1"/>
    </xf>
    <xf numFmtId="168" fontId="7" fillId="8" borderId="13" xfId="0" applyNumberFormat="1" applyFont="1" applyFill="1" applyBorder="1" applyAlignment="1">
      <alignment horizontal="center" wrapText="1"/>
    </xf>
    <xf numFmtId="2" fontId="7" fillId="8" borderId="8" xfId="0" applyNumberFormat="1" applyFont="1" applyFill="1" applyBorder="1" applyAlignment="1">
      <alignment horizontal="center"/>
    </xf>
    <xf numFmtId="2" fontId="7" fillId="8" borderId="14" xfId="0" applyNumberFormat="1" applyFont="1" applyFill="1" applyBorder="1" applyAlignment="1">
      <alignment horizontal="center"/>
    </xf>
    <xf numFmtId="167" fontId="21" fillId="0" borderId="4" xfId="0" applyFont="1" applyBorder="1" applyAlignment="1">
      <alignment horizontal="center" wrapText="1"/>
    </xf>
    <xf numFmtId="167" fontId="21" fillId="0" borderId="2" xfId="0" applyFont="1" applyBorder="1" applyAlignment="1">
      <alignment horizontal="center" wrapText="1"/>
    </xf>
    <xf numFmtId="167" fontId="21" fillId="0" borderId="5" xfId="0" applyFont="1" applyBorder="1" applyAlignment="1">
      <alignment horizontal="center" wrapText="1"/>
    </xf>
    <xf numFmtId="167" fontId="21" fillId="0" borderId="8" xfId="0" applyFont="1" applyBorder="1" applyAlignment="1">
      <alignment horizontal="right"/>
    </xf>
    <xf numFmtId="177" fontId="21" fillId="0" borderId="11" xfId="13" applyNumberFormat="1" applyFont="1" applyBorder="1" applyAlignment="1">
      <alignment horizontal="center"/>
    </xf>
    <xf numFmtId="9" fontId="7" fillId="6" borderId="0" xfId="13" applyFont="1" applyFill="1"/>
    <xf numFmtId="9" fontId="7" fillId="0" borderId="0" xfId="13" applyFont="1" applyFill="1"/>
    <xf numFmtId="167" fontId="21" fillId="6" borderId="6" xfId="15" applyFont="1" applyFill="1" applyBorder="1"/>
    <xf numFmtId="167" fontId="21" fillId="6" borderId="9" xfId="15" applyFont="1" applyFill="1" applyBorder="1" applyAlignment="1">
      <alignment horizontal="center"/>
    </xf>
    <xf numFmtId="167" fontId="21" fillId="6" borderId="7" xfId="15" applyFont="1" applyFill="1" applyBorder="1"/>
    <xf numFmtId="175" fontId="21" fillId="6" borderId="10" xfId="15" applyNumberFormat="1" applyFont="1" applyFill="1" applyBorder="1" applyAlignment="1">
      <alignment horizontal="right"/>
    </xf>
    <xf numFmtId="167" fontId="21" fillId="6" borderId="8" xfId="15" applyFont="1" applyFill="1" applyBorder="1"/>
    <xf numFmtId="175" fontId="21" fillId="6" borderId="11" xfId="15" applyNumberFormat="1" applyFont="1" applyFill="1" applyBorder="1" applyAlignment="1">
      <alignment horizontal="right"/>
    </xf>
    <xf numFmtId="3" fontId="30" fillId="0" borderId="16" xfId="0" applyNumberFormat="1" applyFont="1" applyBorder="1" applyAlignment="1">
      <alignment vertical="top"/>
    </xf>
    <xf numFmtId="3" fontId="30" fillId="0" borderId="17" xfId="0" applyNumberFormat="1" applyFont="1" applyBorder="1" applyAlignment="1">
      <alignment vertical="top"/>
    </xf>
    <xf numFmtId="3" fontId="30" fillId="0" borderId="18" xfId="0" applyNumberFormat="1" applyFont="1" applyBorder="1" applyAlignment="1">
      <alignment vertical="top"/>
    </xf>
    <xf numFmtId="173" fontId="7" fillId="0" borderId="0" xfId="8" applyNumberFormat="1" applyFont="1" applyAlignment="1">
      <alignment horizontal="right" wrapText="1"/>
    </xf>
    <xf numFmtId="2" fontId="7" fillId="0" borderId="0" xfId="45" applyNumberFormat="1" applyFont="1" applyAlignment="1">
      <alignment horizontal="center" wrapText="1"/>
    </xf>
    <xf numFmtId="0" fontId="7" fillId="0" borderId="0" xfId="51" applyFont="1" applyAlignment="1">
      <alignment horizontal="center"/>
    </xf>
    <xf numFmtId="2" fontId="7" fillId="0" borderId="1" xfId="45" applyNumberFormat="1" applyFont="1" applyBorder="1" applyAlignment="1">
      <alignment horizontal="center" wrapText="1"/>
    </xf>
    <xf numFmtId="173" fontId="7" fillId="0" borderId="0" xfId="8" applyNumberFormat="1" applyFont="1" applyFill="1" applyBorder="1"/>
    <xf numFmtId="3" fontId="32" fillId="0" borderId="6" xfId="38" applyNumberFormat="1" applyFont="1" applyBorder="1"/>
    <xf numFmtId="3" fontId="7" fillId="0" borderId="9" xfId="38" applyNumberFormat="1" applyFont="1" applyBorder="1"/>
    <xf numFmtId="3" fontId="7" fillId="0" borderId="6" xfId="38" applyNumberFormat="1" applyFont="1" applyBorder="1"/>
    <xf numFmtId="3" fontId="7" fillId="0" borderId="8" xfId="38" applyNumberFormat="1" applyFont="1" applyBorder="1"/>
    <xf numFmtId="167" fontId="21" fillId="0" borderId="0" xfId="36" applyFont="1" applyAlignment="1">
      <alignment horizontal="left" vertical="center" wrapText="1"/>
    </xf>
    <xf numFmtId="177" fontId="21" fillId="0" borderId="0" xfId="13" applyNumberFormat="1" applyFont="1" applyAlignment="1">
      <alignment horizontal="center" vertical="center" wrapText="1"/>
    </xf>
    <xf numFmtId="173" fontId="21" fillId="0" borderId="0" xfId="8" applyNumberFormat="1" applyFont="1" applyAlignment="1">
      <alignment horizontal="center" vertical="center" wrapText="1"/>
    </xf>
    <xf numFmtId="167" fontId="21" fillId="0" borderId="1" xfId="36" applyFont="1" applyBorder="1" applyAlignment="1">
      <alignment horizontal="left" vertical="center" wrapText="1"/>
    </xf>
    <xf numFmtId="177" fontId="21" fillId="0" borderId="1" xfId="13" applyNumberFormat="1" applyFont="1" applyBorder="1" applyAlignment="1">
      <alignment horizontal="center" vertical="center" wrapText="1"/>
    </xf>
    <xf numFmtId="173" fontId="21" fillId="0" borderId="1" xfId="8" applyNumberFormat="1" applyFont="1" applyBorder="1" applyAlignment="1">
      <alignment horizontal="center" vertical="center" wrapText="1"/>
    </xf>
    <xf numFmtId="167" fontId="22" fillId="0" borderId="2" xfId="0" applyFont="1" applyBorder="1" applyAlignment="1">
      <alignment horizontal="center" vertical="center" wrapText="1"/>
    </xf>
    <xf numFmtId="167" fontId="22" fillId="0" borderId="2" xfId="36" applyFont="1" applyBorder="1" applyAlignment="1">
      <alignment horizontal="center" vertical="center" wrapText="1"/>
    </xf>
    <xf numFmtId="167" fontId="28" fillId="8" borderId="13" xfId="7" applyFont="1" applyFill="1" applyBorder="1" applyAlignment="1">
      <alignment horizontal="left" vertical="top"/>
    </xf>
    <xf numFmtId="167" fontId="21" fillId="8" borderId="13" xfId="0" applyFont="1" applyFill="1" applyBorder="1" applyAlignment="1">
      <alignment horizontal="left" vertical="top" wrapText="1"/>
    </xf>
    <xf numFmtId="167" fontId="21" fillId="8" borderId="6" xfId="0" applyFont="1" applyFill="1" applyBorder="1" applyAlignment="1">
      <alignment horizontal="center" vertical="center" wrapText="1"/>
    </xf>
    <xf numFmtId="167" fontId="21" fillId="8" borderId="3" xfId="0" applyFont="1" applyFill="1" applyBorder="1" applyAlignment="1">
      <alignment horizontal="center" vertical="center" wrapText="1"/>
    </xf>
    <xf numFmtId="167" fontId="21" fillId="8" borderId="9" xfId="0" applyFont="1" applyFill="1" applyBorder="1" applyAlignment="1">
      <alignment horizontal="center" vertical="center" wrapText="1"/>
    </xf>
    <xf numFmtId="167" fontId="21" fillId="8" borderId="7" xfId="0" applyFont="1" applyFill="1" applyBorder="1" applyAlignment="1">
      <alignment horizontal="center" vertical="center" wrapText="1"/>
    </xf>
    <xf numFmtId="167" fontId="21" fillId="8" borderId="0" xfId="0" applyFont="1" applyFill="1" applyAlignment="1">
      <alignment horizontal="center" vertical="center" wrapText="1"/>
    </xf>
    <xf numFmtId="167" fontId="21" fillId="8" borderId="10" xfId="0" applyFont="1" applyFill="1" applyBorder="1" applyAlignment="1">
      <alignment horizontal="center" vertical="center" wrapText="1"/>
    </xf>
    <xf numFmtId="167" fontId="21" fillId="8" borderId="0" xfId="0" applyFont="1" applyFill="1" applyAlignment="1">
      <alignment horizontal="left" vertical="top"/>
    </xf>
    <xf numFmtId="167" fontId="22" fillId="8" borderId="0" xfId="0" applyFont="1" applyFill="1" applyAlignment="1">
      <alignment horizontal="left" vertical="top"/>
    </xf>
    <xf numFmtId="167" fontId="21" fillId="0" borderId="13" xfId="0" applyFont="1" applyBorder="1" applyAlignment="1">
      <alignment wrapText="1"/>
    </xf>
    <xf numFmtId="167" fontId="21" fillId="8" borderId="13" xfId="0" applyFont="1" applyFill="1" applyBorder="1" applyAlignment="1">
      <alignment horizontal="center"/>
    </xf>
    <xf numFmtId="167" fontId="22" fillId="8" borderId="0" xfId="0" applyFont="1" applyFill="1" applyAlignment="1">
      <alignment horizontal="center"/>
    </xf>
    <xf numFmtId="167" fontId="21" fillId="0" borderId="6" xfId="1" applyFont="1" applyBorder="1" applyAlignment="1">
      <alignment horizontal="center" vertical="center"/>
    </xf>
    <xf numFmtId="167" fontId="21" fillId="0" borderId="8" xfId="1" applyFont="1" applyBorder="1" applyAlignment="1">
      <alignment horizontal="center" vertical="center"/>
    </xf>
    <xf numFmtId="167" fontId="21" fillId="0" borderId="13" xfId="1" applyFont="1" applyBorder="1" applyAlignment="1">
      <alignment horizontal="center"/>
    </xf>
    <xf numFmtId="167" fontId="22" fillId="8" borderId="0" xfId="17" applyFont="1" applyFill="1" applyAlignment="1">
      <alignment horizontal="left"/>
    </xf>
    <xf numFmtId="167" fontId="21" fillId="0" borderId="12" xfId="1" applyFont="1" applyBorder="1" applyAlignment="1">
      <alignment horizontal="center" vertical="center"/>
    </xf>
    <xf numFmtId="167" fontId="21" fillId="0" borderId="14" xfId="1" applyFont="1" applyBorder="1" applyAlignment="1">
      <alignment horizontal="center" vertical="center"/>
    </xf>
    <xf numFmtId="167" fontId="15" fillId="0" borderId="0" xfId="0" applyFont="1" applyAlignment="1">
      <alignment vertical="center" wrapText="1"/>
    </xf>
    <xf numFmtId="2" fontId="21" fillId="0" borderId="4" xfId="15" applyNumberFormat="1" applyFont="1" applyBorder="1" applyAlignment="1">
      <alignment horizontal="center"/>
    </xf>
    <xf numFmtId="2" fontId="21" fillId="0" borderId="2" xfId="15" applyNumberFormat="1" applyFont="1" applyBorder="1" applyAlignment="1">
      <alignment horizontal="center"/>
    </xf>
    <xf numFmtId="167" fontId="21" fillId="6" borderId="3" xfId="15" applyFont="1" applyFill="1" applyBorder="1" applyAlignment="1">
      <alignment horizontal="center" vertical="center"/>
    </xf>
    <xf numFmtId="167" fontId="21" fillId="6" borderId="9" xfId="15" applyFont="1" applyFill="1" applyBorder="1" applyAlignment="1">
      <alignment horizontal="center" vertical="center"/>
    </xf>
    <xf numFmtId="167" fontId="21" fillId="6" borderId="0" xfId="15" applyFont="1" applyFill="1" applyAlignment="1">
      <alignment horizontal="center" vertical="center"/>
    </xf>
    <xf numFmtId="167" fontId="21" fillId="6" borderId="10" xfId="15" applyFont="1" applyFill="1" applyBorder="1" applyAlignment="1">
      <alignment horizontal="center" vertical="center"/>
    </xf>
    <xf numFmtId="2" fontId="22" fillId="6" borderId="2" xfId="15" applyNumberFormat="1" applyFont="1" applyFill="1" applyBorder="1" applyAlignment="1">
      <alignment horizontal="center"/>
    </xf>
    <xf numFmtId="2" fontId="22" fillId="6" borderId="5" xfId="15" applyNumberFormat="1" applyFont="1" applyFill="1" applyBorder="1" applyAlignment="1">
      <alignment horizontal="center"/>
    </xf>
    <xf numFmtId="164" fontId="21" fillId="0" borderId="8" xfId="8" applyFont="1" applyFill="1" applyBorder="1" applyAlignment="1">
      <alignment horizontal="center"/>
    </xf>
    <xf numFmtId="164" fontId="21" fillId="0" borderId="11" xfId="8" applyFont="1" applyFill="1" applyBorder="1" applyAlignment="1">
      <alignment horizontal="center"/>
    </xf>
    <xf numFmtId="167" fontId="21" fillId="0" borderId="4" xfId="1" applyFont="1" applyBorder="1" applyAlignment="1">
      <alignment horizontal="center"/>
    </xf>
    <xf numFmtId="167" fontId="21" fillId="0" borderId="5" xfId="1" applyFont="1" applyBorder="1" applyAlignment="1">
      <alignment horizontal="center"/>
    </xf>
    <xf numFmtId="167" fontId="9" fillId="0" borderId="0" xfId="36" applyFont="1" applyAlignment="1">
      <alignment horizontal="center"/>
    </xf>
    <xf numFmtId="3" fontId="9" fillId="0" borderId="2" xfId="38" applyNumberFormat="1" applyFont="1" applyBorder="1" applyAlignment="1">
      <alignment horizontal="center"/>
    </xf>
    <xf numFmtId="167" fontId="9" fillId="5" borderId="0" xfId="36" applyFont="1" applyFill="1" applyAlignment="1">
      <alignment horizontal="left"/>
    </xf>
    <xf numFmtId="3" fontId="9" fillId="0" borderId="13" xfId="38" applyNumberFormat="1" applyFont="1" applyBorder="1" applyAlignment="1">
      <alignment horizontal="center" vertical="center" wrapText="1"/>
    </xf>
    <xf numFmtId="167" fontId="7" fillId="0" borderId="13" xfId="36" applyFont="1" applyBorder="1" applyAlignment="1">
      <alignment horizontal="center" vertical="center" wrapText="1"/>
    </xf>
    <xf numFmtId="167" fontId="9" fillId="0" borderId="1" xfId="36" applyFont="1" applyBorder="1" applyAlignment="1">
      <alignment horizontal="center"/>
    </xf>
    <xf numFmtId="167" fontId="9" fillId="4" borderId="0" xfId="36" applyFont="1" applyFill="1" applyAlignment="1">
      <alignment horizontal="left"/>
    </xf>
    <xf numFmtId="0" fontId="7" fillId="0" borderId="1" xfId="51" applyFont="1" applyBorder="1" applyAlignment="1">
      <alignment horizontal="center"/>
    </xf>
    <xf numFmtId="0" fontId="7" fillId="0" borderId="8" xfId="51" applyFont="1" applyBorder="1" applyAlignment="1">
      <alignment horizontal="center"/>
    </xf>
    <xf numFmtId="2" fontId="7" fillId="5" borderId="6" xfId="45" applyNumberFormat="1" applyFont="1" applyFill="1" applyBorder="1" applyAlignment="1">
      <alignment horizontal="center" wrapText="1"/>
    </xf>
    <xf numFmtId="2" fontId="7" fillId="5" borderId="3" xfId="45" applyNumberFormat="1" applyFont="1" applyFill="1" applyBorder="1" applyAlignment="1">
      <alignment horizontal="center" wrapText="1"/>
    </xf>
    <xf numFmtId="0" fontId="9" fillId="5" borderId="1" xfId="51" applyFont="1" applyFill="1" applyBorder="1" applyAlignment="1">
      <alignment horizontal="center"/>
    </xf>
    <xf numFmtId="0" fontId="7" fillId="10" borderId="7" xfId="51" applyFont="1" applyFill="1" applyBorder="1" applyAlignment="1">
      <alignment horizontal="center"/>
    </xf>
    <xf numFmtId="0" fontId="7" fillId="10" borderId="0" xfId="51" applyFont="1" applyFill="1" applyAlignment="1">
      <alignment horizontal="center"/>
    </xf>
    <xf numFmtId="168" fontId="7" fillId="10" borderId="0" xfId="0" applyNumberFormat="1" applyFont="1" applyFill="1" applyAlignment="1">
      <alignment horizontal="center" wrapText="1"/>
    </xf>
    <xf numFmtId="0" fontId="7" fillId="10" borderId="10" xfId="51" applyFont="1" applyFill="1" applyBorder="1" applyAlignment="1">
      <alignment horizontal="center"/>
    </xf>
    <xf numFmtId="0" fontId="9" fillId="9" borderId="1" xfId="51" applyFont="1" applyFill="1" applyBorder="1" applyAlignment="1">
      <alignment horizontal="center"/>
    </xf>
    <xf numFmtId="2" fontId="7" fillId="15" borderId="6" xfId="45" applyNumberFormat="1" applyFont="1" applyFill="1" applyBorder="1" applyAlignment="1">
      <alignment horizontal="center" wrapText="1"/>
    </xf>
    <xf numFmtId="2" fontId="7" fillId="15" borderId="3" xfId="45" applyNumberFormat="1" applyFont="1" applyFill="1" applyBorder="1" applyAlignment="1">
      <alignment horizontal="center" wrapText="1"/>
    </xf>
    <xf numFmtId="2" fontId="7" fillId="15" borderId="9" xfId="45" applyNumberFormat="1" applyFont="1" applyFill="1" applyBorder="1" applyAlignment="1">
      <alignment horizontal="center" wrapText="1"/>
    </xf>
    <xf numFmtId="168" fontId="7" fillId="10" borderId="7" xfId="0" applyNumberFormat="1" applyFont="1" applyFill="1" applyBorder="1" applyAlignment="1">
      <alignment horizontal="center" wrapText="1"/>
    </xf>
    <xf numFmtId="168" fontId="9" fillId="11" borderId="0" xfId="0" applyNumberFormat="1" applyFont="1" applyFill="1" applyAlignment="1">
      <alignment horizontal="center"/>
    </xf>
    <xf numFmtId="168" fontId="9" fillId="11" borderId="1" xfId="0" applyNumberFormat="1" applyFont="1" applyFill="1" applyBorder="1" applyAlignment="1">
      <alignment horizontal="center"/>
    </xf>
    <xf numFmtId="168" fontId="9" fillId="0" borderId="0" xfId="0" applyNumberFormat="1" applyFont="1" applyAlignment="1">
      <alignment horizontal="center" vertical="center"/>
    </xf>
    <xf numFmtId="168" fontId="9" fillId="0" borderId="1" xfId="0" applyNumberFormat="1" applyFont="1" applyBorder="1" applyAlignment="1">
      <alignment horizontal="center" vertical="center"/>
    </xf>
    <xf numFmtId="168" fontId="9" fillId="8" borderId="4" xfId="0" applyNumberFormat="1" applyFont="1" applyFill="1" applyBorder="1" applyAlignment="1">
      <alignment horizontal="center" wrapText="1"/>
    </xf>
    <xf numFmtId="168" fontId="9" fillId="8" borderId="5" xfId="0" applyNumberFormat="1" applyFont="1" applyFill="1" applyBorder="1" applyAlignment="1">
      <alignment horizontal="center" wrapText="1"/>
    </xf>
    <xf numFmtId="168" fontId="7" fillId="8" borderId="4" xfId="0" applyNumberFormat="1" applyFont="1" applyFill="1" applyBorder="1" applyAlignment="1">
      <alignment horizontal="center"/>
    </xf>
    <xf numFmtId="168" fontId="7" fillId="8" borderId="2" xfId="0" applyNumberFormat="1" applyFont="1" applyFill="1" applyBorder="1" applyAlignment="1">
      <alignment horizontal="center"/>
    </xf>
    <xf numFmtId="168" fontId="7" fillId="8" borderId="5" xfId="0" applyNumberFormat="1" applyFont="1" applyFill="1" applyBorder="1" applyAlignment="1">
      <alignment horizontal="center"/>
    </xf>
    <xf numFmtId="168" fontId="9" fillId="4" borderId="0" xfId="0" applyNumberFormat="1" applyFont="1" applyFill="1" applyAlignment="1">
      <alignment horizontal="center" vertical="center"/>
    </xf>
    <xf numFmtId="168" fontId="9" fillId="12" borderId="0" xfId="0" applyNumberFormat="1" applyFont="1" applyFill="1" applyAlignment="1">
      <alignment horizontal="center" vertical="center" wrapText="1"/>
    </xf>
    <xf numFmtId="168" fontId="9" fillId="5" borderId="0" xfId="0" applyNumberFormat="1" applyFont="1" applyFill="1" applyAlignment="1">
      <alignment horizontal="center" vertical="center"/>
    </xf>
    <xf numFmtId="2" fontId="9" fillId="0" borderId="3" xfId="17" applyNumberFormat="1" applyFont="1" applyBorder="1" applyAlignment="1">
      <alignment horizontal="center" vertical="center" wrapText="1"/>
    </xf>
    <xf numFmtId="2" fontId="9" fillId="0" borderId="1" xfId="17" applyNumberFormat="1" applyFont="1" applyBorder="1" applyAlignment="1">
      <alignment horizontal="center" vertical="center" wrapText="1"/>
    </xf>
    <xf numFmtId="2" fontId="9" fillId="9" borderId="0" xfId="17" applyNumberFormat="1" applyFont="1" applyFill="1" applyAlignment="1">
      <alignment horizontal="left"/>
    </xf>
    <xf numFmtId="167" fontId="28" fillId="0" borderId="13" xfId="7" applyFont="1" applyFill="1" applyBorder="1" applyAlignment="1"/>
    <xf numFmtId="167" fontId="21" fillId="0" borderId="13" xfId="0" applyFont="1" applyBorder="1" applyAlignment="1"/>
  </cellXfs>
  <cellStyles count="59">
    <cellStyle name="Comma" xfId="8" builtinId="3"/>
    <cellStyle name="Comma 2" xfId="30" xr:uid="{6D1F1366-0DC1-4558-AD47-E15C16579EB1}"/>
    <cellStyle name="Comma 2 2" xfId="22" xr:uid="{0B9906D4-9AC7-4820-A3D7-A60D3108F489}"/>
    <cellStyle name="Comma 3" xfId="46" xr:uid="{E44D41BE-6182-4FEE-953B-E1C491F9508C}"/>
    <cellStyle name="Comma 3 2" xfId="5" xr:uid="{E13C73F4-E5B3-4E7D-A567-64798E188C03}"/>
    <cellStyle name="Comma 4" xfId="56" xr:uid="{CF285E9A-B97B-473C-856B-D9A9FB40B3B3}"/>
    <cellStyle name="Comma 6" xfId="4" xr:uid="{12FAD8F1-BAFF-4712-8317-0BD07E892319}"/>
    <cellStyle name="Comma 6 3 2" xfId="49" xr:uid="{6A0FBE90-84B1-4796-AD3F-91AFE897A54A}"/>
    <cellStyle name="Comma 8" xfId="53" xr:uid="{60D43E39-4E28-42EB-8895-2A9EEC9E8AD9}"/>
    <cellStyle name="Currency 2" xfId="12" xr:uid="{FEEF6EEE-C8A4-46D1-B5D0-9D6B5CF09389}"/>
    <cellStyle name="Hyperlink" xfId="7" builtinId="8"/>
    <cellStyle name="Hyperlink 2" xfId="54" xr:uid="{A0926DEE-6570-4CE5-9166-62983378DE65}"/>
    <cellStyle name="Migliaia 2" xfId="50" xr:uid="{F3C927AA-D56D-4354-A485-C94F9DAC0325}"/>
    <cellStyle name="Migliaia 4" xfId="20" xr:uid="{0C086044-7E7C-4951-B555-07B61FFB269F}"/>
    <cellStyle name="Migliaia_TRE" xfId="37" xr:uid="{E451D813-A9DC-429A-85F8-8BF160649201}"/>
    <cellStyle name="Normal" xfId="0" builtinId="0"/>
    <cellStyle name="Normal 10" xfId="3" xr:uid="{ADF89D00-A4CA-4CA0-AB8A-FCC1DE525993}"/>
    <cellStyle name="Normal 10 2" xfId="57" xr:uid="{79D82CD5-D9FF-4F80-9918-0269F949B945}"/>
    <cellStyle name="Normal 10 4 2" xfId="48" xr:uid="{AD318FC8-103C-4FC3-A5C2-058330BE2161}"/>
    <cellStyle name="Normal 2" xfId="6" xr:uid="{C5FB4544-56BB-4523-9B97-E64D0C28842D}"/>
    <cellStyle name="Normal 2 2 2" xfId="17" xr:uid="{3BEDA1E0-1061-4934-AD8F-480CC11CA254}"/>
    <cellStyle name="Normal 2 2 2 2" xfId="28" xr:uid="{D1A33208-C5F2-450A-B27E-73717CAEC7AA}"/>
    <cellStyle name="Normal 2 2 2 2 2" xfId="34" xr:uid="{A25C836B-F786-452C-8A71-3AD479EA1091}"/>
    <cellStyle name="Normal 2 3" xfId="1" xr:uid="{BF337F4D-856E-4877-92CD-648BA5A4C8D5}"/>
    <cellStyle name="Normal 2 3 2" xfId="23" xr:uid="{7731384B-6625-4129-AF5D-66D7DAFF603B}"/>
    <cellStyle name="Normal 2 3 2 2" xfId="27" xr:uid="{C5700AE2-959A-4718-8A3C-49DA7F4C519E}"/>
    <cellStyle name="Normal 3" xfId="9" xr:uid="{063BC868-6903-4CEB-A3FE-201907CB5A72}"/>
    <cellStyle name="Normal 3 2" xfId="43" xr:uid="{C264A551-E469-40D9-AD47-0469303C3C03}"/>
    <cellStyle name="Normal 3 3" xfId="26" xr:uid="{249EA783-E521-414F-97D3-C6F407CC906A}"/>
    <cellStyle name="Normal 3 3 2" xfId="51" xr:uid="{0DDD3F9B-39D4-4B33-9A6A-A479463EC647}"/>
    <cellStyle name="Normal 4" xfId="14" xr:uid="{8FB31156-B46B-474A-8E9D-E3228D1ADE9E}"/>
    <cellStyle name="Normal 4 2" xfId="52" xr:uid="{861A1643-8235-4916-8FD5-4F03B60F9E84}"/>
    <cellStyle name="Normal 5" xfId="21" xr:uid="{C9D73C9D-752A-493E-93C9-1E78C00AB444}"/>
    <cellStyle name="Normal 6" xfId="25" xr:uid="{8F5F6972-4FD6-4548-9286-ABAEA67C6959}"/>
    <cellStyle name="Normal 6 2" xfId="24" xr:uid="{0380BD04-E227-4E9F-BC17-653AF1D4BCBA}"/>
    <cellStyle name="Normal 7" xfId="32" xr:uid="{A9C043FA-3CCA-47E9-91FC-09CF3447DF45}"/>
    <cellStyle name="Normal 7 2" xfId="45" xr:uid="{AEB87B3C-A5FB-4FE6-8D2B-8EB1AC943001}"/>
    <cellStyle name="Normal_Anx 8 AP3 Analyse économique" xfId="19" xr:uid="{1C066328-9EF6-4FC3-92A6-C1621F57D74B}"/>
    <cellStyle name="Normal_DT 9 App 2 Résumé analyses sensibilité" xfId="39" xr:uid="{C74861E7-9BFD-4935-A810-53D1BC64F566}"/>
    <cellStyle name="Normal_DT 9 App 2 Taux de rentabilité Cas de base" xfId="41" xr:uid="{FA5850D3-D077-4D8F-837D-990702ABFA71}"/>
    <cellStyle name="Normal_Economic and Financial Analysis_12_10-10 " xfId="36" xr:uid="{0AE135F0-6012-4089-9C29-9B32D1C08C6C}"/>
    <cellStyle name="Normal_Enterprise Models" xfId="16" xr:uid="{41080605-62B9-4A22-A97D-7EE1E2FEEDB1}"/>
    <cellStyle name="Normal_Sensitivity" xfId="38" xr:uid="{9FE51397-E0CF-4A6E-B91E-0D07485A1ADF}"/>
    <cellStyle name="Normale 10" xfId="35" xr:uid="{B112CE98-EF0A-4F8D-A8AF-BB7FA0F997FF}"/>
    <cellStyle name="Normale 11" xfId="33" xr:uid="{21DBC944-325C-4E63-8E51-A7F29AEAD4ED}"/>
    <cellStyle name="Normale 12" xfId="31" xr:uid="{07D7D8CC-C1E3-40F5-B437-2EBA0A90990A}"/>
    <cellStyle name="Normale 2" xfId="42" xr:uid="{B9EF31FA-4766-4E44-9F09-9F27C6EAFEED}"/>
    <cellStyle name="Normale 2 2" xfId="44" xr:uid="{8D8C5D37-D7F0-41BA-A3CF-11C36D02C6A3}"/>
    <cellStyle name="Normale 3" xfId="47" xr:uid="{CD5CAFB2-D02C-429C-BDA9-A230A68FDBED}"/>
    <cellStyle name="Normale 5" xfId="15" xr:uid="{D60CD8FD-57C2-4FAE-A594-BCAABF03936C}"/>
    <cellStyle name="Normale 6" xfId="2" xr:uid="{95C4E44E-549F-46AD-B22D-C02775C00941}"/>
    <cellStyle name="Percent" xfId="13" builtinId="5"/>
    <cellStyle name="Percent 2" xfId="10" xr:uid="{C5A1AF4E-EA9B-4461-B975-35DF60C7BBA0}"/>
    <cellStyle name="Percent 2 2" xfId="58" xr:uid="{0D18A2C2-BB50-428F-89F1-BEC70850DC45}"/>
    <cellStyle name="Percent 3" xfId="11" xr:uid="{F19ED8B7-B6E1-46CA-8CB7-CD7F906123F6}"/>
    <cellStyle name="Percent 3 2" xfId="55" xr:uid="{04555E94-8832-49AF-B68B-ADC4A8638B55}"/>
    <cellStyle name="Percent 4" xfId="29" xr:uid="{61A30756-D018-4E33-BA76-A8751C9EE7F5}"/>
    <cellStyle name="Percent 4 2" xfId="18" xr:uid="{F74A8ACE-C805-4344-921E-28D1A8D8A44F}"/>
    <cellStyle name="Percent 5 2" xfId="40" xr:uid="{0A777CD9-39A3-41E4-9F98-E971CD575E5D}"/>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7.xml"/><Relationship Id="rId39" Type="http://schemas.openxmlformats.org/officeDocument/2006/relationships/calcChain" Target="calcChain.xml"/><Relationship Id="rId21" Type="http://schemas.openxmlformats.org/officeDocument/2006/relationships/externalLink" Target="externalLinks/externalLink2.xml"/><Relationship Id="rId34" Type="http://schemas.openxmlformats.org/officeDocument/2006/relationships/externalLink" Target="externalLinks/externalLink15.xml"/><Relationship Id="rId42"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externalLink" Target="externalLinks/externalLink10.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32" Type="http://schemas.openxmlformats.org/officeDocument/2006/relationships/externalLink" Target="externalLinks/externalLink13.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externalLink" Target="externalLinks/externalLink9.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externalLink" Target="externalLinks/externalLink8.xml"/><Relationship Id="rId30" Type="http://schemas.openxmlformats.org/officeDocument/2006/relationships/externalLink" Target="externalLinks/externalLink11.xml"/><Relationship Id="rId35" Type="http://schemas.openxmlformats.org/officeDocument/2006/relationships/externalLink" Target="externalLinks/externalLink16.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33" Type="http://schemas.openxmlformats.org/officeDocument/2006/relationships/externalLink" Target="externalLinks/externalLink14.xml"/><Relationship Id="rId38"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Muenzel/My%20Documents/Nigeria/RICE/CBA/19-07-TS%20Mode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Nouveau%20Dossier\MALI04\FICHES%20mali.XLS" TargetMode="External"/></Relationships>
</file>

<file path=xl/externalLinks/_rels/externalLink11.xml.rels><?xml version="1.0" encoding="UTF-8" standalone="yes"?>
<Relationships xmlns="http://schemas.openxmlformats.org/package/2006/relationships"><Relationship Id="rId2" Type="http://schemas.microsoft.com/office/2019/04/relationships/externalLinkLongPath" Target="/Users/Branca.FAODOMAIN/AppData/Local/Microsoft/Windows/Temporary%20Internet%20Files/Content.Outlook/XD89ZI30/YemenInvest/WP5/IFAD/Operations/NEN/Yemen/Projects/YemenInvest/YemenInvest%20Models.xlsx?2A00AC64" TargetMode="External"/><Relationship Id="rId1" Type="http://schemas.openxmlformats.org/officeDocument/2006/relationships/externalLinkPath" Target="file:///\\2A00AC64\YemenInvest%20Models.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Lisa/AppData/Local/Temp/Temp11_RFSMP%20Appraisal_Feb%202008.zip/RFSMP%20Appraisal_Feb%202008/Final%20Appraisal%20RSFM%20model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Traniello/Local%20Settings/Temp/PRODER%203%20Appui%20Initiatives%20Base%20(Sylvie+Marc)-%2013%20Nov.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Fantinet\Niger\projet%20IRDAR\Rapport%20de%20formulation%20-%20EN%20FORMATAGE\DT%201%20Pr&#233;vention%20des%20risques%20-%20Format&#233;\DT1%20AP5%20Couts%20-fina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Il%20mio%20Drive/LAVORO/UN%20&amp;%20INTERNATIONAL%20ORG/WB/CSIP_LESOTHO/MY_WORK/MITIGATION_EX-ACT/Lesotho_20%20MAR_EX-ACT.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Users/Hami/Dropbox/Brazil/Pernambuco/Segunda%20miss&#227;o%20-%20Abril%202017/EFA/E.Mazzoli%20-%20FIDA%20-%20Pernambuco%20-28feb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mado/Desktop/EFA/Vietnam%20IFAD/Other%20projects%20Vietnam/SRDP/SRDP-WP2-Appendices%201-4-%20Fin%20Model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jumabayeva/My%20Documents/Georgia/2009/IFAD/Appraisal/WP4-Annexes%201-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Glaesener\CAMEROUN\PADFA\Appraisal\Ecofin%20DT6\Jan.%202010\CMR-PADFA-DT6-AP%20analyse%20ecofi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Il%20mio%20Drive/LAVORO/UN%20&amp;%20INTERNATIONAL%20ORG/WB/CSIP_NEPAL/OUR%20WORK/Ex-ACT/EX-ACT_V9.0_nepal_CBA_16-3-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Branca.FAODOMAIN/AppData/Local/Microsoft/Windows/Temporary%20Internet%20Files/Content.Outlook/XD89ZI30/YemenInvest/WP5/YemenInvest%20Models.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Documents%20and%20Settings\mawirac\Desktop\Loan%20amortization%20schedule1.xlsx" TargetMode="External"/></Relationships>
</file>

<file path=xl/externalLinks/_rels/externalLink8.xml.rels><?xml version="1.0" encoding="UTF-8" standalone="yes"?>
<Relationships xmlns="http://schemas.openxmlformats.org/package/2006/relationships"><Relationship Id="rId2" Type="http://schemas.microsoft.com/office/2019/04/relationships/externalLinkLongPath" Target="/Users/Branca.FAODOMAIN/AppData/Local/Microsoft/Windows/Temporary%20Internet%20Files/Content.Outlook/XD89ZI30/Jens%20Doc/Moldova/Fourth%20trip%20Oct%20Nov%202006/Appraisal%20Report%20RFSEDP/App7-Project%20Analysis/Enterprises.xls?210D6AE2" TargetMode="External"/><Relationship Id="rId1" Type="http://schemas.openxmlformats.org/officeDocument/2006/relationships/externalLinkPath" Target="file:///\\210D6AE2\Enterpris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Il%20mio%20Drive/LAVORO/UN%20&amp;%20INTERNATIONAL%20ORG/WB/CSIP_NEPAL/LIBRARY/for%20CBA%20&amp;%20MODELS/RANI_MODERNIZATION%20OF%20RANI%20JAMARA%20KULARIYA%20IRRIGATION%20SCHEME/EFA_draft%200311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T_1"/>
      <sheetName val="annuity"/>
      <sheetName val="FT_1"/>
      <sheetName val="ET_1"/>
      <sheetName val="0 Overview"/>
      <sheetName val="1 excDT"/>
      <sheetName val="c1 SUMYEAR"/>
      <sheetName val="c2 SUMFIN"/>
      <sheetName val="c5-6_ha"/>
      <sheetName val="5phase"/>
      <sheetName val="3 ecSUMYEAR"/>
      <sheetName val="3 fSUMYEAR"/>
      <sheetName val="CBAsum"/>
      <sheetName val="Sens"/>
      <sheetName val="22 ERR"/>
      <sheetName val="22 FIRR"/>
      <sheetName val="23 ESens"/>
      <sheetName val="23 FSens"/>
      <sheetName val="1 Price"/>
      <sheetName val="2-3 IPP"/>
      <sheetName val="4 finMod1"/>
      <sheetName val="4b ecMod1"/>
      <sheetName val="5 finMod2"/>
      <sheetName val="5b ecMod2"/>
      <sheetName val="GMsum"/>
      <sheetName val="6 Prod"/>
      <sheetName val="8-9 Yield"/>
      <sheetName val="8-9 MaCap"/>
      <sheetName val="10-13 SilCap"/>
      <sheetName val="16 MaCost"/>
      <sheetName val="17 Machiner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ésult"/>
      <sheetName val="Coût _H"/>
      <sheetName val="base"/>
      <sheetName val="Assol"/>
      <sheetName val="Pédo"/>
      <sheetName val="SyntRd&amp;PV"/>
      <sheetName val="RizCs"/>
      <sheetName val="RizS"/>
      <sheetName val="RizS IPTRID"/>
      <sheetName val="Financement"/>
      <sheetName val="P de T"/>
      <sheetName val="Tom"/>
      <sheetName val="Gombo"/>
      <sheetName val="Oign"/>
      <sheetName val="Maïs"/>
      <sheetName val="Four"/>
      <sheetName val="Agr1"/>
      <sheetName val="AgrM"/>
      <sheetName val="Ban"/>
      <sheetName val="Bois1"/>
      <sheetName val="BoisM"/>
      <sheetName val="RizV"/>
      <sheetName val="Feuil7"/>
      <sheetName val="Feuil8"/>
      <sheetName val="Feuil9"/>
      <sheetName val="Feuil10"/>
      <sheetName val="Feuil11"/>
      <sheetName val="Feuil12"/>
      <sheetName val="Feuil13"/>
      <sheetName val="Feuil14"/>
      <sheetName val="Feuil15"/>
      <sheetName val="Feuil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on Data"/>
      <sheetName val="Quarry"/>
      <sheetName val="NS Processing"/>
      <sheetName val="Ornamental "/>
      <sheetName val="Terazzo tiles"/>
      <sheetName val="BS"/>
      <sheetName val="Cluster NS"/>
      <sheetName val="HH Looms"/>
      <sheetName val="Mechanical Loom"/>
      <sheetName val="New SME Hand Looms"/>
      <sheetName val="HL upgrade"/>
      <sheetName val="Existing Jasmin Drip irr."/>
      <sheetName val="New Jasmin Jasmin Plantation"/>
      <sheetName val="Jasmine selling to coop"/>
      <sheetName val="Jasmin Cold storagegarland Pro "/>
      <sheetName val="Jasmine cluster"/>
      <sheetName val="Essential Oil "/>
      <sheetName val="Nigella"/>
      <sheetName val="Nigella oil processing"/>
      <sheetName val="Nigella cluster"/>
      <sheetName val="Artesanal funiture-baskets"/>
      <sheetName val="Open window"/>
      <sheetName val="Summary financial analysis"/>
      <sheetName val="Summary job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1 Financial Prices"/>
      <sheetName val="App 2-Table 1 Tomato "/>
      <sheetName val="App 2 table 2 Plum Crop Model"/>
      <sheetName val="App 2 table 3 Table Grape Model"/>
      <sheetName val="APP 3-table 1 Greenhouse tomato"/>
      <sheetName val="App 2-Table 5 Cows (2-10)"/>
      <sheetName val="App 2-Table 6-Dairy"/>
      <sheetName val="APP 3 Table 2 Apple Orchard "/>
      <sheetName val="APP 3-Table 3 Warehouse"/>
      <sheetName val="APP 4-table 1 Irrigation scheme"/>
      <sheetName val="App 4-Table 2-Road Rehab"/>
      <sheetName val="App 4-Table3 Natural Gas Supply"/>
      <sheetName val="SummaryFinancial Results ($)"/>
      <sheetName val="Summary ($US)"/>
      <sheetName val="Crop Budget Summary"/>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ÉchéancierInterventions"/>
      <sheetName val="2. animationTT-Likouala"/>
      <sheetName val="3. animationTT-Sangha"/>
      <sheetName val="4. animationTT-Pool"/>
      <sheetName val="5.animation-couts"/>
      <sheetName val="5-12 formationCU"/>
      <sheetName val="13.IEC"/>
      <sheetName val="14a formationEch"/>
      <sheetName val="14b formationEch"/>
      <sheetName val="15. formationcout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ypothèses"/>
      <sheetName val="2. Coûts"/>
      <sheetName val="3-9 C.U."/>
      <sheetName val="10-11 Recap"/>
      <sheetName val="liste tableaux"/>
      <sheetName val="page garde"/>
    </sheetNames>
    <sheetDataSet>
      <sheetData sheetId="0"/>
      <sheetData sheetId="1"/>
      <sheetData sheetId="2"/>
      <sheetData sheetId="3"/>
      <sheetData sheetId="4"/>
      <sheetData sheetId="5"/>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Start"/>
      <sheetName val="1.Description"/>
      <sheetName val="2.LUC"/>
      <sheetName val="3.Cropland"/>
      <sheetName val="A-R"/>
      <sheetName val="non Forest LUC"/>
      <sheetName val="Deforestation"/>
      <sheetName val="Annual"/>
      <sheetName val="Perennial"/>
      <sheetName val="Irrigated Rice"/>
      <sheetName val="Matrix"/>
      <sheetName val="Grass"/>
      <sheetName val="4.Grassland"/>
      <sheetName val="Forest Degradation"/>
      <sheetName val="Organic Soils NEW"/>
      <sheetName val="Organic Soils"/>
      <sheetName val="Livestock"/>
      <sheetName val="5. Management"/>
      <sheetName val="Inputs"/>
      <sheetName val="Other investments"/>
      <sheetName val="6. Coastal"/>
      <sheetName val="Wetlands"/>
      <sheetName val="7. Inputs"/>
      <sheetName val="8. Fish"/>
      <sheetName val="Fishery"/>
      <sheetName val="9. Results"/>
      <sheetName val="Gross Results"/>
      <sheetName val="BALANCE"/>
      <sheetName val="Help"/>
      <sheetName val="Yield"/>
      <sheetName val="Calculations"/>
      <sheetName val="Stats_yield"/>
      <sheetName val="List_Yield"/>
      <sheetName val="List"/>
      <sheetName val=" IPCC"/>
      <sheetName val="Elec_EF"/>
      <sheetName val="translations"/>
      <sheetName val="Name translation"/>
      <sheetName val="Other Translations"/>
      <sheetName val="Other translations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Preços e fatores conversão"/>
      <sheetName val="Banana irrigadas"/>
      <sheetName val="Beneficiamento de fruta"/>
      <sheetName val="Frango Caipira"/>
      <sheetName val="Abatedouro de aves"/>
      <sheetName val="Criação ovinos"/>
      <sheetName val="Pastos e forragem"/>
      <sheetName val="Artesanato"/>
      <sheetName val="Banana irrigadas (EC)"/>
      <sheetName val="Beneficiamento de fruta (EC)"/>
      <sheetName val="Frango Caipira (EC)"/>
      <sheetName val="Abatedouro de aves (EC)"/>
      <sheetName val="Criação ovinos (EC)"/>
      <sheetName val="Pastos y forragem (EC)"/>
      <sheetName val="Artesanato (EC)"/>
      <sheetName val="Custos projeto"/>
      <sheetName val="Aggregação"/>
      <sheetName val="Taxa de câmbio sombra"/>
      <sheetName val="Preços paridad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tt 2-Table 2.1 Tomato Budg (2)"/>
      <sheetName val="WP-2-Ap 1-Prices"/>
      <sheetName val="WP2-Ap 1-Inputs"/>
      <sheetName val="WP2-Ap 1-Outputs"/>
      <sheetName val="WP2-Ap 2-Tab2.1-Orange1ha"/>
      <sheetName val="WP2-Ap 2-Tab2.2-Rubber1ha"/>
      <sheetName val="WP2-Ap 2-Tab2.3-WRice1ha"/>
      <sheetName val="WP2-Ap 2-Tab2.4-SRice1ha"/>
      <sheetName val="Summary Prod Models"/>
      <sheetName val="WP2-Ap 3-Tab3.1-Orange SPM"/>
      <sheetName val="WP2-Ap 3-Tab3.2-Rubber SPM"/>
      <sheetName val="WP2-Ap 3-Tab3.3-Rice SPM"/>
      <sheetName val="WP2-Ap 3-Tab 3.4-Pig"/>
      <sheetName val="WP2-Ap 3-Tab3.5-PigFattening"/>
      <sheetName val="WP2-Ap 3-Tab 3.6-OrangeProces"/>
      <sheetName val="WP2-Ap 3-Tab 3.6.1-FarmContr"/>
      <sheetName val="WP2-Ap 3Tab 3.6.2-5-Market&amp;Tr"/>
      <sheetName val="WP2 Ap3 Tab3.7 RiceProcess"/>
      <sheetName val="WP2 Ap 3 Tab3.8 Slaughter"/>
      <sheetName val="WP2- Ap 3-Table 3.9-Irrigation"/>
      <sheetName val="WP2-Ap3-Table 3.10-Road"/>
      <sheetName val="Summary"/>
      <sheetName val="Summary ($)"/>
      <sheetName val="SummaryFinancial Results ($)"/>
      <sheetName val="Att 3-Table 3.3-Milk Proces (2)"/>
      <sheetName val="WP2-Ap 4-Tab4.1-VCM-Orange"/>
      <sheetName val="WP2-Ap 4-Tab4.2-VCM-Rubber"/>
      <sheetName val="WP2-Ap 4-Tab4.3-VCM-Rice"/>
      <sheetName val="WP2-Ap 4-Tab4.4-VCM-Pig"/>
      <sheetName val="Summary VCPM"/>
      <sheetName val="Summary VCPM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 1 Fin and Economic Prices"/>
      <sheetName val="Annex 1 Wheat Price"/>
      <sheetName val="Annex 1 Urea Price"/>
      <sheetName val="Annex 1 TSP Price"/>
      <sheetName val="Annex 2-Crop Budgets-Fin"/>
      <sheetName val="Annex 3-Table 3.1-Machinery"/>
      <sheetName val="Att 2-Table 2.1 Tomato Budg (2)"/>
      <sheetName val="Annex 3-Table 3.2 Apple grower"/>
      <sheetName val="Annex 3-Table 3.3-Dairy"/>
      <sheetName val="Annex 4-irrigation scheme"/>
      <sheetName val="Att 3-Table 3.3-Milk Proces (2)"/>
      <sheetName val="Annex 4-Drinking Water Supply"/>
      <sheetName val="Annex 4-Table 4.3-Road Rehab"/>
      <sheetName val="Summary"/>
      <sheetName val="Summary ($)"/>
      <sheetName val="SummaryFinancial Results ($)"/>
      <sheetName val="Yields Assumptions"/>
      <sheetName val="Crop Budgets Summary-F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V nov 08"/>
      <sheetName val="Taxes CEAC"/>
      <sheetName val="parité urée"/>
      <sheetName val="parité riz"/>
      <sheetName val="parité riz TVA"/>
      <sheetName val="parité riz TVA &amp; DD"/>
      <sheetName val="parité oignon"/>
      <sheetName val="Bud cul Riz"/>
      <sheetName val="val moe"/>
      <sheetName val="décorticage"/>
      <sheetName val="Bud cult oig"/>
      <sheetName val="Phasage cult+super"/>
      <sheetName val="prod av-ss proj"/>
      <sheetName val="revenusprod"/>
      <sheetName val="revpostprod"/>
      <sheetName val="Analyse eco"/>
      <sheetName val="Sensibilité"/>
      <sheetName val="ne plus imprimer la suite"/>
      <sheetName val="3. conv prix fin en éco"/>
      <sheetName val="4. proj.prix real prices"/>
      <sheetName val="6. Pink Sheet nov 08"/>
      <sheetName val="nominal prices"/>
      <sheetName val="parité riz rés"/>
      <sheetName val="COMYR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sheetData sheetId="16"/>
      <sheetData sheetId="17" refreshError="1"/>
      <sheetData sheetId="18" refreshError="1"/>
      <sheetData sheetId="19" refreshError="1"/>
      <sheetData sheetId="20"/>
      <sheetData sheetId="21" refreshError="1"/>
      <sheetData sheetId="22" refreshError="1"/>
      <sheetData sheetId="2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Start"/>
      <sheetName val="1.Description"/>
      <sheetName val="2.LUC"/>
      <sheetName val="defo"/>
      <sheetName val="affo"/>
      <sheetName val="luc"/>
      <sheetName val="Inl. wetlands"/>
      <sheetName val="3.Cropland"/>
      <sheetName val="crop H2O"/>
      <sheetName val="annual"/>
      <sheetName val="perennial"/>
      <sheetName val="rice"/>
      <sheetName val="4.Grassland"/>
      <sheetName val="grass"/>
      <sheetName val="Livestock"/>
      <sheetName val="5.Management"/>
      <sheetName val="degradation"/>
      <sheetName val="6.Inland wetlands"/>
      <sheetName val="7.Coastal wetlands"/>
      <sheetName val="Database fish"/>
      <sheetName val="Coastal"/>
      <sheetName val="Atwood"/>
      <sheetName val="List countries GLEAM"/>
      <sheetName val="8.Inputs"/>
      <sheetName val="Inputs"/>
      <sheetName val="Energy DB"/>
      <sheetName val="BALANCE"/>
      <sheetName val="Gross results"/>
      <sheetName val="Graph"/>
      <sheetName val="9.Results"/>
      <sheetName val="Matrix"/>
      <sheetName val="IPCC"/>
      <sheetName val="Calculations"/>
      <sheetName val="Earth Map"/>
      <sheetName val="list"/>
      <sheetName val="Definition"/>
      <sheetName val="HELP"/>
      <sheetName val="Languages"/>
      <sheetName val="Stats_yield_ton_per_ha"/>
      <sheetName val="list_region_country"/>
      <sheetName val="Elec"/>
      <sheetName val="EX-ACT_V9.0_nepal_CBA_16-3-21"/>
    </sheetNames>
    <sheetDataSet>
      <sheetData sheetId="0"/>
      <sheetData sheetId="1">
        <row r="10">
          <cell r="Q10" t="str">
            <v>Cool Temperate</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21">
          <cell r="F21" t="str">
            <v>Boreal</v>
          </cell>
        </row>
      </sheetData>
      <sheetData sheetId="35"/>
      <sheetData sheetId="36"/>
      <sheetData sheetId="37"/>
      <sheetData sheetId="38"/>
      <sheetData sheetId="39"/>
      <sheetData sheetId="40"/>
      <sheetData sheetId="4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on Data"/>
      <sheetName val="Quarry"/>
      <sheetName val="NS Processing"/>
      <sheetName val="Ornamental "/>
      <sheetName val="Terazzo tiles"/>
      <sheetName val="BS"/>
      <sheetName val="Cluster NS"/>
      <sheetName val="HH Looms"/>
      <sheetName val="Mechanical Loom"/>
      <sheetName val="New SME Hand Looms"/>
      <sheetName val="HL upgrade"/>
      <sheetName val="Existing Jasmin Drip irr."/>
      <sheetName val="New Jasmin Jasmin Plantation"/>
      <sheetName val="Jasmine selling to coop"/>
      <sheetName val="Jasmin Cold storagegarland Pro "/>
      <sheetName val="Jasmine cluster"/>
      <sheetName val="Essential Oil "/>
      <sheetName val="Nigella"/>
      <sheetName val="Nigella oil processing"/>
      <sheetName val="Nigella cluster"/>
      <sheetName val="Artesanal funiture-baskets"/>
      <sheetName val="Open window"/>
      <sheetName val="Summary financial analysis"/>
      <sheetName val="Summary jobs"/>
    </sheetNames>
    <sheetDataSet>
      <sheetData sheetId="0"/>
      <sheetData sheetId="1"/>
      <sheetData sheetId="2"/>
      <sheetData sheetId="3"/>
      <sheetData sheetId="4"/>
      <sheetData sheetId="5"/>
      <sheetData sheetId="6" refreshError="1"/>
      <sheetData sheetId="7"/>
      <sheetData sheetId="8"/>
      <sheetData sheetId="9"/>
      <sheetData sheetId="10"/>
      <sheetData sheetId="11"/>
      <sheetData sheetId="12"/>
      <sheetData sheetId="13"/>
      <sheetData sheetId="14"/>
      <sheetData sheetId="15" refreshError="1"/>
      <sheetData sheetId="16"/>
      <sheetData sheetId="17"/>
      <sheetData sheetId="18"/>
      <sheetData sheetId="19" refreshError="1"/>
      <sheetData sheetId="20"/>
      <sheetData sheetId="21" refreshError="1"/>
      <sheetData sheetId="22" refreshError="1"/>
      <sheetData sheetId="2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efreshError="1">
        <row r="5">
          <cell r="D5">
            <v>858876</v>
          </cell>
        </row>
        <row r="6">
          <cell r="D6">
            <v>0.155</v>
          </cell>
        </row>
        <row r="7">
          <cell r="D7">
            <v>5</v>
          </cell>
        </row>
        <row r="9">
          <cell r="D9">
            <v>39814</v>
          </cell>
        </row>
        <row r="17">
          <cell r="A17">
            <v>0</v>
          </cell>
          <cell r="B17">
            <v>0</v>
          </cell>
          <cell r="C17">
            <v>0</v>
          </cell>
          <cell r="D17">
            <v>0</v>
          </cell>
          <cell r="E17">
            <v>0</v>
          </cell>
          <cell r="F17">
            <v>0</v>
          </cell>
          <cell r="G17">
            <v>0</v>
          </cell>
          <cell r="H17">
            <v>0</v>
          </cell>
          <cell r="I17">
            <v>0</v>
          </cell>
          <cell r="J17">
            <v>0</v>
          </cell>
        </row>
        <row r="18">
          <cell r="I18">
            <v>732745.92607087619</v>
          </cell>
        </row>
        <row r="19">
          <cell r="I19">
            <v>587065.6906827382</v>
          </cell>
        </row>
        <row r="20">
          <cell r="I20">
            <v>418805.01880943886</v>
          </cell>
        </row>
        <row r="21">
          <cell r="I21">
            <v>224463.9427957781</v>
          </cell>
        </row>
        <row r="22">
          <cell r="I22">
            <v>0</v>
          </cell>
        </row>
        <row r="23">
          <cell r="I23">
            <v>0</v>
          </cell>
        </row>
        <row r="24">
          <cell r="I24">
            <v>0</v>
          </cell>
        </row>
        <row r="25">
          <cell r="I25">
            <v>0</v>
          </cell>
        </row>
        <row r="26">
          <cell r="I26">
            <v>0</v>
          </cell>
        </row>
        <row r="27">
          <cell r="I27">
            <v>0</v>
          </cell>
        </row>
        <row r="28">
          <cell r="I28">
            <v>0</v>
          </cell>
        </row>
        <row r="29">
          <cell r="I29">
            <v>0</v>
          </cell>
        </row>
        <row r="30">
          <cell r="I30">
            <v>0</v>
          </cell>
        </row>
        <row r="31">
          <cell r="I31">
            <v>0</v>
          </cell>
        </row>
        <row r="32">
          <cell r="I32">
            <v>0</v>
          </cell>
        </row>
        <row r="33">
          <cell r="I33">
            <v>0</v>
          </cell>
        </row>
        <row r="34">
          <cell r="I34">
            <v>0</v>
          </cell>
        </row>
        <row r="35">
          <cell r="I35">
            <v>0</v>
          </cell>
        </row>
        <row r="36">
          <cell r="I36">
            <v>0</v>
          </cell>
        </row>
        <row r="37">
          <cell r="I37">
            <v>0</v>
          </cell>
        </row>
        <row r="38">
          <cell r="I38">
            <v>0</v>
          </cell>
        </row>
        <row r="39">
          <cell r="I39">
            <v>0</v>
          </cell>
        </row>
        <row r="40">
          <cell r="I40">
            <v>0</v>
          </cell>
        </row>
        <row r="41">
          <cell r="I41">
            <v>0</v>
          </cell>
        </row>
        <row r="42">
          <cell r="I42">
            <v>0</v>
          </cell>
        </row>
        <row r="43">
          <cell r="I43">
            <v>0</v>
          </cell>
        </row>
        <row r="44">
          <cell r="I44">
            <v>0</v>
          </cell>
        </row>
        <row r="45">
          <cell r="I45">
            <v>0</v>
          </cell>
        </row>
        <row r="46">
          <cell r="I46">
            <v>0</v>
          </cell>
        </row>
        <row r="47">
          <cell r="I47">
            <v>0</v>
          </cell>
        </row>
        <row r="48">
          <cell r="I48">
            <v>0</v>
          </cell>
        </row>
        <row r="49">
          <cell r="I49">
            <v>0</v>
          </cell>
        </row>
        <row r="50">
          <cell r="I50">
            <v>0</v>
          </cell>
        </row>
        <row r="51">
          <cell r="I51">
            <v>0</v>
          </cell>
        </row>
        <row r="52">
          <cell r="I52">
            <v>0</v>
          </cell>
        </row>
        <row r="53">
          <cell r="I53">
            <v>0</v>
          </cell>
        </row>
        <row r="54">
          <cell r="I54">
            <v>0</v>
          </cell>
        </row>
        <row r="55">
          <cell r="I55">
            <v>0</v>
          </cell>
        </row>
        <row r="56">
          <cell r="I56">
            <v>0</v>
          </cell>
        </row>
        <row r="57">
          <cell r="I57">
            <v>0</v>
          </cell>
        </row>
        <row r="58">
          <cell r="I58">
            <v>0</v>
          </cell>
        </row>
        <row r="59">
          <cell r="I59">
            <v>0</v>
          </cell>
        </row>
        <row r="60">
          <cell r="I60">
            <v>0</v>
          </cell>
        </row>
        <row r="61">
          <cell r="I61">
            <v>0</v>
          </cell>
        </row>
        <row r="62">
          <cell r="I62">
            <v>0</v>
          </cell>
        </row>
        <row r="63">
          <cell r="I63">
            <v>0</v>
          </cell>
        </row>
        <row r="64">
          <cell r="I64">
            <v>0</v>
          </cell>
        </row>
        <row r="65">
          <cell r="I65">
            <v>0</v>
          </cell>
        </row>
        <row r="66">
          <cell r="I66">
            <v>0</v>
          </cell>
        </row>
        <row r="67">
          <cell r="I67">
            <v>0</v>
          </cell>
        </row>
        <row r="68">
          <cell r="I68">
            <v>0</v>
          </cell>
        </row>
        <row r="69">
          <cell r="I69">
            <v>0</v>
          </cell>
        </row>
        <row r="70">
          <cell r="I70">
            <v>0</v>
          </cell>
        </row>
        <row r="71">
          <cell r="I71">
            <v>0</v>
          </cell>
        </row>
        <row r="72">
          <cell r="I72">
            <v>0</v>
          </cell>
        </row>
        <row r="73">
          <cell r="I73">
            <v>0</v>
          </cell>
        </row>
        <row r="74">
          <cell r="I74">
            <v>0</v>
          </cell>
        </row>
        <row r="75">
          <cell r="I75">
            <v>0</v>
          </cell>
        </row>
        <row r="76">
          <cell r="I76">
            <v>0</v>
          </cell>
        </row>
        <row r="77">
          <cell r="I77">
            <v>0</v>
          </cell>
        </row>
        <row r="78">
          <cell r="I78">
            <v>0</v>
          </cell>
        </row>
        <row r="79">
          <cell r="I79">
            <v>0</v>
          </cell>
        </row>
        <row r="80">
          <cell r="I80">
            <v>0</v>
          </cell>
        </row>
        <row r="81">
          <cell r="I81">
            <v>0</v>
          </cell>
        </row>
        <row r="82">
          <cell r="I82">
            <v>0</v>
          </cell>
        </row>
        <row r="83">
          <cell r="I83">
            <v>0</v>
          </cell>
        </row>
        <row r="84">
          <cell r="I84">
            <v>0</v>
          </cell>
        </row>
        <row r="85">
          <cell r="I85">
            <v>0</v>
          </cell>
        </row>
        <row r="86">
          <cell r="I86">
            <v>0</v>
          </cell>
        </row>
        <row r="87">
          <cell r="I87">
            <v>0</v>
          </cell>
        </row>
        <row r="88">
          <cell r="I88">
            <v>0</v>
          </cell>
        </row>
        <row r="89">
          <cell r="I89">
            <v>0</v>
          </cell>
        </row>
        <row r="90">
          <cell r="I90">
            <v>0</v>
          </cell>
        </row>
        <row r="91">
          <cell r="I91">
            <v>0</v>
          </cell>
        </row>
        <row r="92">
          <cell r="I92">
            <v>0</v>
          </cell>
        </row>
        <row r="93">
          <cell r="I93">
            <v>0</v>
          </cell>
        </row>
        <row r="94">
          <cell r="I94">
            <v>0</v>
          </cell>
        </row>
        <row r="95">
          <cell r="I95">
            <v>0</v>
          </cell>
        </row>
        <row r="96">
          <cell r="I96">
            <v>0</v>
          </cell>
        </row>
        <row r="97">
          <cell r="I97">
            <v>0</v>
          </cell>
        </row>
        <row r="98">
          <cell r="I98">
            <v>0</v>
          </cell>
        </row>
        <row r="99">
          <cell r="I99">
            <v>0</v>
          </cell>
        </row>
        <row r="100">
          <cell r="I100">
            <v>0</v>
          </cell>
        </row>
        <row r="101">
          <cell r="I101">
            <v>0</v>
          </cell>
        </row>
        <row r="102">
          <cell r="I102">
            <v>0</v>
          </cell>
        </row>
        <row r="103">
          <cell r="I103">
            <v>0</v>
          </cell>
        </row>
        <row r="104">
          <cell r="I104">
            <v>0</v>
          </cell>
        </row>
        <row r="105">
          <cell r="I105">
            <v>0</v>
          </cell>
        </row>
        <row r="106">
          <cell r="I106">
            <v>0</v>
          </cell>
        </row>
        <row r="107">
          <cell r="I107">
            <v>0</v>
          </cell>
        </row>
        <row r="108">
          <cell r="I108">
            <v>0</v>
          </cell>
        </row>
        <row r="109">
          <cell r="I109">
            <v>0</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36">
          <cell r="I136">
            <v>0</v>
          </cell>
        </row>
        <row r="137">
          <cell r="I137">
            <v>0</v>
          </cell>
        </row>
        <row r="138">
          <cell r="I138">
            <v>0</v>
          </cell>
        </row>
        <row r="139">
          <cell r="I139">
            <v>0</v>
          </cell>
        </row>
        <row r="140">
          <cell r="I140">
            <v>0</v>
          </cell>
        </row>
        <row r="141">
          <cell r="I141">
            <v>0</v>
          </cell>
        </row>
        <row r="142">
          <cell r="I142">
            <v>0</v>
          </cell>
        </row>
        <row r="143">
          <cell r="I143">
            <v>0</v>
          </cell>
        </row>
        <row r="144">
          <cell r="I144">
            <v>0</v>
          </cell>
        </row>
        <row r="145">
          <cell r="I145">
            <v>0</v>
          </cell>
        </row>
        <row r="146">
          <cell r="I146">
            <v>0</v>
          </cell>
        </row>
        <row r="147">
          <cell r="I147">
            <v>0</v>
          </cell>
        </row>
        <row r="148">
          <cell r="I148">
            <v>0</v>
          </cell>
        </row>
        <row r="149">
          <cell r="I149">
            <v>0</v>
          </cell>
        </row>
        <row r="150">
          <cell r="I150">
            <v>0</v>
          </cell>
        </row>
        <row r="151">
          <cell r="I151">
            <v>0</v>
          </cell>
        </row>
        <row r="152">
          <cell r="I152">
            <v>0</v>
          </cell>
        </row>
        <row r="153">
          <cell r="I153">
            <v>0</v>
          </cell>
        </row>
        <row r="154">
          <cell r="I154">
            <v>0</v>
          </cell>
        </row>
        <row r="155">
          <cell r="I155">
            <v>0</v>
          </cell>
        </row>
        <row r="156">
          <cell r="I156">
            <v>0</v>
          </cell>
        </row>
        <row r="157">
          <cell r="I157">
            <v>0</v>
          </cell>
        </row>
        <row r="158">
          <cell r="I158">
            <v>0</v>
          </cell>
        </row>
        <row r="159">
          <cell r="I159">
            <v>0</v>
          </cell>
        </row>
        <row r="160">
          <cell r="I160">
            <v>0</v>
          </cell>
        </row>
        <row r="161">
          <cell r="I161">
            <v>0</v>
          </cell>
        </row>
        <row r="162">
          <cell r="I162">
            <v>0</v>
          </cell>
        </row>
        <row r="163">
          <cell r="I163">
            <v>0</v>
          </cell>
        </row>
        <row r="164">
          <cell r="I164">
            <v>0</v>
          </cell>
        </row>
        <row r="165">
          <cell r="I165">
            <v>0</v>
          </cell>
        </row>
        <row r="166">
          <cell r="I166">
            <v>0</v>
          </cell>
        </row>
        <row r="167">
          <cell r="I167">
            <v>0</v>
          </cell>
        </row>
        <row r="168">
          <cell r="I168">
            <v>0</v>
          </cell>
        </row>
        <row r="169">
          <cell r="I169">
            <v>0</v>
          </cell>
        </row>
        <row r="170">
          <cell r="I170">
            <v>0</v>
          </cell>
        </row>
        <row r="171">
          <cell r="I171">
            <v>0</v>
          </cell>
        </row>
        <row r="172">
          <cell r="I172">
            <v>0</v>
          </cell>
        </row>
        <row r="173">
          <cell r="I173">
            <v>0</v>
          </cell>
        </row>
        <row r="174">
          <cell r="I174">
            <v>0</v>
          </cell>
        </row>
        <row r="175">
          <cell r="I175">
            <v>0</v>
          </cell>
        </row>
        <row r="176">
          <cell r="I176">
            <v>0</v>
          </cell>
        </row>
        <row r="177">
          <cell r="I177">
            <v>0</v>
          </cell>
        </row>
        <row r="178">
          <cell r="I178">
            <v>0</v>
          </cell>
        </row>
        <row r="179">
          <cell r="I179">
            <v>0</v>
          </cell>
        </row>
        <row r="180">
          <cell r="I180">
            <v>0</v>
          </cell>
        </row>
        <row r="181">
          <cell r="I181">
            <v>0</v>
          </cell>
        </row>
        <row r="182">
          <cell r="I182">
            <v>0</v>
          </cell>
        </row>
        <row r="183">
          <cell r="I183">
            <v>0</v>
          </cell>
        </row>
        <row r="184">
          <cell r="I184">
            <v>0</v>
          </cell>
        </row>
        <row r="185">
          <cell r="I185">
            <v>0</v>
          </cell>
        </row>
        <row r="186">
          <cell r="I186">
            <v>0</v>
          </cell>
        </row>
        <row r="187">
          <cell r="I187">
            <v>0</v>
          </cell>
        </row>
        <row r="188">
          <cell r="I188">
            <v>0</v>
          </cell>
        </row>
        <row r="189">
          <cell r="I189">
            <v>0</v>
          </cell>
        </row>
        <row r="190">
          <cell r="I190">
            <v>0</v>
          </cell>
        </row>
        <row r="191">
          <cell r="I191">
            <v>0</v>
          </cell>
        </row>
        <row r="192">
          <cell r="I192">
            <v>0</v>
          </cell>
        </row>
        <row r="193">
          <cell r="I193">
            <v>0</v>
          </cell>
        </row>
        <row r="194">
          <cell r="I194">
            <v>0</v>
          </cell>
        </row>
        <row r="195">
          <cell r="I195">
            <v>0</v>
          </cell>
        </row>
        <row r="196">
          <cell r="I196">
            <v>0</v>
          </cell>
        </row>
        <row r="197">
          <cell r="I197">
            <v>0</v>
          </cell>
        </row>
        <row r="198">
          <cell r="I198">
            <v>0</v>
          </cell>
        </row>
        <row r="199">
          <cell r="I199">
            <v>0</v>
          </cell>
        </row>
        <row r="200">
          <cell r="I200">
            <v>0</v>
          </cell>
        </row>
        <row r="201">
          <cell r="I201">
            <v>0</v>
          </cell>
        </row>
        <row r="202">
          <cell r="I202">
            <v>0</v>
          </cell>
        </row>
        <row r="203">
          <cell r="I203">
            <v>0</v>
          </cell>
        </row>
        <row r="204">
          <cell r="I204">
            <v>0</v>
          </cell>
        </row>
        <row r="205">
          <cell r="I205">
            <v>0</v>
          </cell>
        </row>
        <row r="206">
          <cell r="I206">
            <v>0</v>
          </cell>
        </row>
        <row r="207">
          <cell r="I207">
            <v>0</v>
          </cell>
        </row>
        <row r="208">
          <cell r="I208">
            <v>0</v>
          </cell>
        </row>
        <row r="209">
          <cell r="I209">
            <v>0</v>
          </cell>
        </row>
        <row r="210">
          <cell r="I210">
            <v>0</v>
          </cell>
        </row>
        <row r="211">
          <cell r="I211">
            <v>0</v>
          </cell>
        </row>
        <row r="212">
          <cell r="I212">
            <v>0</v>
          </cell>
        </row>
        <row r="213">
          <cell r="I213">
            <v>0</v>
          </cell>
        </row>
        <row r="214">
          <cell r="I214">
            <v>0</v>
          </cell>
        </row>
        <row r="215">
          <cell r="I215">
            <v>0</v>
          </cell>
        </row>
        <row r="216">
          <cell r="I216">
            <v>0</v>
          </cell>
        </row>
        <row r="217">
          <cell r="I217">
            <v>0</v>
          </cell>
        </row>
        <row r="218">
          <cell r="I218">
            <v>0</v>
          </cell>
        </row>
        <row r="219">
          <cell r="I219">
            <v>0</v>
          </cell>
        </row>
        <row r="220">
          <cell r="I220">
            <v>0</v>
          </cell>
        </row>
        <row r="221">
          <cell r="I221">
            <v>0</v>
          </cell>
        </row>
        <row r="222">
          <cell r="I222">
            <v>0</v>
          </cell>
        </row>
        <row r="223">
          <cell r="I223">
            <v>0</v>
          </cell>
        </row>
        <row r="224">
          <cell r="I224">
            <v>0</v>
          </cell>
        </row>
        <row r="225">
          <cell r="I225">
            <v>0</v>
          </cell>
        </row>
        <row r="226">
          <cell r="I226">
            <v>0</v>
          </cell>
        </row>
        <row r="227">
          <cell r="I227">
            <v>0</v>
          </cell>
        </row>
        <row r="228">
          <cell r="I228">
            <v>0</v>
          </cell>
        </row>
        <row r="229">
          <cell r="I229">
            <v>0</v>
          </cell>
        </row>
        <row r="230">
          <cell r="I230">
            <v>0</v>
          </cell>
        </row>
        <row r="231">
          <cell r="I231">
            <v>0</v>
          </cell>
        </row>
        <row r="232">
          <cell r="I232">
            <v>0</v>
          </cell>
        </row>
        <row r="233">
          <cell r="I233">
            <v>0</v>
          </cell>
        </row>
        <row r="234">
          <cell r="I234">
            <v>0</v>
          </cell>
        </row>
        <row r="235">
          <cell r="I235">
            <v>0</v>
          </cell>
        </row>
        <row r="236">
          <cell r="I236">
            <v>0</v>
          </cell>
        </row>
        <row r="237">
          <cell r="I237">
            <v>0</v>
          </cell>
        </row>
        <row r="238">
          <cell r="I238">
            <v>0</v>
          </cell>
        </row>
        <row r="239">
          <cell r="I239">
            <v>0</v>
          </cell>
        </row>
        <row r="240">
          <cell r="I240">
            <v>0</v>
          </cell>
        </row>
        <row r="241">
          <cell r="I241">
            <v>0</v>
          </cell>
        </row>
        <row r="242">
          <cell r="I242">
            <v>0</v>
          </cell>
        </row>
        <row r="243">
          <cell r="I243">
            <v>0</v>
          </cell>
        </row>
        <row r="244">
          <cell r="I244">
            <v>0</v>
          </cell>
        </row>
        <row r="245">
          <cell r="I245">
            <v>0</v>
          </cell>
        </row>
        <row r="246">
          <cell r="I246">
            <v>0</v>
          </cell>
        </row>
        <row r="247">
          <cell r="I247">
            <v>0</v>
          </cell>
        </row>
        <row r="248">
          <cell r="I248">
            <v>0</v>
          </cell>
        </row>
        <row r="249">
          <cell r="I249">
            <v>0</v>
          </cell>
        </row>
        <row r="250">
          <cell r="I250">
            <v>0</v>
          </cell>
        </row>
        <row r="251">
          <cell r="I251">
            <v>0</v>
          </cell>
        </row>
        <row r="252">
          <cell r="I252">
            <v>0</v>
          </cell>
        </row>
        <row r="253">
          <cell r="I253">
            <v>0</v>
          </cell>
        </row>
        <row r="254">
          <cell r="I254">
            <v>0</v>
          </cell>
        </row>
        <row r="255">
          <cell r="I255">
            <v>0</v>
          </cell>
        </row>
        <row r="256">
          <cell r="I256">
            <v>0</v>
          </cell>
        </row>
        <row r="257">
          <cell r="I257">
            <v>0</v>
          </cell>
        </row>
        <row r="258">
          <cell r="I258">
            <v>0</v>
          </cell>
        </row>
        <row r="259">
          <cell r="I259">
            <v>0</v>
          </cell>
        </row>
        <row r="260">
          <cell r="I260">
            <v>0</v>
          </cell>
        </row>
        <row r="261">
          <cell r="I261">
            <v>0</v>
          </cell>
        </row>
        <row r="262">
          <cell r="I262">
            <v>0</v>
          </cell>
        </row>
        <row r="263">
          <cell r="I263">
            <v>0</v>
          </cell>
        </row>
        <row r="264">
          <cell r="I264">
            <v>0</v>
          </cell>
        </row>
        <row r="265">
          <cell r="I265">
            <v>0</v>
          </cell>
        </row>
        <row r="266">
          <cell r="I266">
            <v>0</v>
          </cell>
        </row>
        <row r="267">
          <cell r="I267">
            <v>0</v>
          </cell>
        </row>
        <row r="268">
          <cell r="I268">
            <v>0</v>
          </cell>
        </row>
        <row r="269">
          <cell r="I269">
            <v>0</v>
          </cell>
        </row>
        <row r="270">
          <cell r="I270">
            <v>0</v>
          </cell>
        </row>
        <row r="271">
          <cell r="I271">
            <v>0</v>
          </cell>
        </row>
        <row r="272">
          <cell r="I272">
            <v>0</v>
          </cell>
        </row>
        <row r="273">
          <cell r="I273">
            <v>0</v>
          </cell>
        </row>
        <row r="274">
          <cell r="I274">
            <v>0</v>
          </cell>
        </row>
        <row r="275">
          <cell r="I275">
            <v>0</v>
          </cell>
        </row>
        <row r="276">
          <cell r="I276">
            <v>0</v>
          </cell>
        </row>
        <row r="277">
          <cell r="I277">
            <v>0</v>
          </cell>
        </row>
        <row r="278">
          <cell r="I278">
            <v>0</v>
          </cell>
        </row>
        <row r="279">
          <cell r="I279">
            <v>0</v>
          </cell>
        </row>
        <row r="280">
          <cell r="I280">
            <v>0</v>
          </cell>
        </row>
        <row r="281">
          <cell r="I281">
            <v>0</v>
          </cell>
        </row>
        <row r="282">
          <cell r="I282">
            <v>0</v>
          </cell>
        </row>
        <row r="283">
          <cell r="I283">
            <v>0</v>
          </cell>
        </row>
        <row r="284">
          <cell r="I284">
            <v>0</v>
          </cell>
        </row>
        <row r="285">
          <cell r="I285">
            <v>0</v>
          </cell>
        </row>
        <row r="286">
          <cell r="I286">
            <v>0</v>
          </cell>
        </row>
        <row r="287">
          <cell r="I287">
            <v>0</v>
          </cell>
        </row>
        <row r="288">
          <cell r="I288">
            <v>0</v>
          </cell>
        </row>
        <row r="289">
          <cell r="I289">
            <v>0</v>
          </cell>
        </row>
        <row r="290">
          <cell r="I290">
            <v>0</v>
          </cell>
        </row>
        <row r="291">
          <cell r="I291">
            <v>0</v>
          </cell>
        </row>
        <row r="292">
          <cell r="I292">
            <v>0</v>
          </cell>
        </row>
        <row r="293">
          <cell r="I293">
            <v>0</v>
          </cell>
        </row>
        <row r="294">
          <cell r="I294">
            <v>0</v>
          </cell>
        </row>
        <row r="295">
          <cell r="I295">
            <v>0</v>
          </cell>
        </row>
        <row r="296">
          <cell r="I296">
            <v>0</v>
          </cell>
        </row>
        <row r="297">
          <cell r="I297">
            <v>0</v>
          </cell>
        </row>
        <row r="298">
          <cell r="I298">
            <v>0</v>
          </cell>
        </row>
        <row r="299">
          <cell r="I299">
            <v>0</v>
          </cell>
        </row>
        <row r="300">
          <cell r="I300">
            <v>0</v>
          </cell>
        </row>
        <row r="301">
          <cell r="I301">
            <v>0</v>
          </cell>
        </row>
        <row r="302">
          <cell r="I302">
            <v>0</v>
          </cell>
        </row>
        <row r="303">
          <cell r="I303">
            <v>0</v>
          </cell>
        </row>
        <row r="304">
          <cell r="I304">
            <v>0</v>
          </cell>
        </row>
        <row r="305">
          <cell r="I305">
            <v>0</v>
          </cell>
        </row>
        <row r="306">
          <cell r="I306">
            <v>0</v>
          </cell>
        </row>
        <row r="307">
          <cell r="I307">
            <v>0</v>
          </cell>
        </row>
        <row r="308">
          <cell r="I308">
            <v>0</v>
          </cell>
        </row>
        <row r="309">
          <cell r="I309">
            <v>0</v>
          </cell>
        </row>
        <row r="310">
          <cell r="I310">
            <v>0</v>
          </cell>
        </row>
        <row r="311">
          <cell r="I311">
            <v>0</v>
          </cell>
        </row>
        <row r="312">
          <cell r="I312">
            <v>0</v>
          </cell>
        </row>
        <row r="313">
          <cell r="I313">
            <v>0</v>
          </cell>
        </row>
        <row r="314">
          <cell r="I314">
            <v>0</v>
          </cell>
        </row>
        <row r="315">
          <cell r="I315">
            <v>0</v>
          </cell>
        </row>
        <row r="316">
          <cell r="I316">
            <v>0</v>
          </cell>
        </row>
        <row r="317">
          <cell r="I317">
            <v>0</v>
          </cell>
        </row>
        <row r="318">
          <cell r="I318">
            <v>0</v>
          </cell>
        </row>
        <row r="319">
          <cell r="I319">
            <v>0</v>
          </cell>
        </row>
        <row r="320">
          <cell r="I320">
            <v>0</v>
          </cell>
        </row>
        <row r="321">
          <cell r="I321">
            <v>0</v>
          </cell>
        </row>
        <row r="322">
          <cell r="I322">
            <v>0</v>
          </cell>
        </row>
        <row r="323">
          <cell r="I323">
            <v>0</v>
          </cell>
        </row>
        <row r="324">
          <cell r="I324">
            <v>0</v>
          </cell>
        </row>
        <row r="325">
          <cell r="I325">
            <v>0</v>
          </cell>
        </row>
        <row r="326">
          <cell r="I326">
            <v>0</v>
          </cell>
        </row>
        <row r="327">
          <cell r="I327">
            <v>0</v>
          </cell>
        </row>
        <row r="328">
          <cell r="I328">
            <v>0</v>
          </cell>
        </row>
        <row r="329">
          <cell r="I329">
            <v>0</v>
          </cell>
        </row>
        <row r="330">
          <cell r="I330">
            <v>0</v>
          </cell>
        </row>
        <row r="331">
          <cell r="I331">
            <v>0</v>
          </cell>
        </row>
        <row r="332">
          <cell r="I332">
            <v>0</v>
          </cell>
        </row>
        <row r="333">
          <cell r="I333">
            <v>0</v>
          </cell>
        </row>
        <row r="334">
          <cell r="I334">
            <v>0</v>
          </cell>
        </row>
        <row r="335">
          <cell r="I335">
            <v>0</v>
          </cell>
        </row>
        <row r="336">
          <cell r="I336">
            <v>0</v>
          </cell>
        </row>
        <row r="337">
          <cell r="I337">
            <v>0</v>
          </cell>
        </row>
        <row r="338">
          <cell r="I338">
            <v>0</v>
          </cell>
        </row>
        <row r="339">
          <cell r="I339">
            <v>0</v>
          </cell>
        </row>
        <row r="340">
          <cell r="I340">
            <v>0</v>
          </cell>
        </row>
        <row r="341">
          <cell r="I341">
            <v>0</v>
          </cell>
        </row>
        <row r="342">
          <cell r="I342">
            <v>0</v>
          </cell>
        </row>
        <row r="343">
          <cell r="I343">
            <v>0</v>
          </cell>
        </row>
        <row r="344">
          <cell r="I344">
            <v>0</v>
          </cell>
        </row>
        <row r="345">
          <cell r="I345">
            <v>0</v>
          </cell>
        </row>
        <row r="346">
          <cell r="I346">
            <v>0</v>
          </cell>
        </row>
        <row r="347">
          <cell r="I347">
            <v>0</v>
          </cell>
        </row>
        <row r="348">
          <cell r="I348">
            <v>0</v>
          </cell>
        </row>
        <row r="349">
          <cell r="I349">
            <v>0</v>
          </cell>
        </row>
        <row r="350">
          <cell r="I350">
            <v>0</v>
          </cell>
        </row>
        <row r="351">
          <cell r="I351">
            <v>0</v>
          </cell>
        </row>
        <row r="352">
          <cell r="I352">
            <v>0</v>
          </cell>
        </row>
        <row r="353">
          <cell r="I353">
            <v>0</v>
          </cell>
        </row>
        <row r="354">
          <cell r="I354">
            <v>0</v>
          </cell>
        </row>
        <row r="355">
          <cell r="I355">
            <v>0</v>
          </cell>
        </row>
        <row r="356">
          <cell r="I356">
            <v>0</v>
          </cell>
        </row>
        <row r="357">
          <cell r="I357">
            <v>0</v>
          </cell>
        </row>
        <row r="358">
          <cell r="I358">
            <v>0</v>
          </cell>
        </row>
        <row r="359">
          <cell r="I359">
            <v>0</v>
          </cell>
        </row>
        <row r="360">
          <cell r="I360">
            <v>0</v>
          </cell>
        </row>
        <row r="361">
          <cell r="I361">
            <v>0</v>
          </cell>
        </row>
        <row r="362">
          <cell r="I362">
            <v>0</v>
          </cell>
        </row>
        <row r="363">
          <cell r="I363">
            <v>0</v>
          </cell>
        </row>
        <row r="364">
          <cell r="I364">
            <v>0</v>
          </cell>
        </row>
        <row r="365">
          <cell r="I365">
            <v>0</v>
          </cell>
        </row>
        <row r="366">
          <cell r="I366">
            <v>0</v>
          </cell>
        </row>
        <row r="367">
          <cell r="I367">
            <v>0</v>
          </cell>
        </row>
        <row r="368">
          <cell r="I368">
            <v>0</v>
          </cell>
        </row>
        <row r="369">
          <cell r="I369">
            <v>0</v>
          </cell>
        </row>
        <row r="370">
          <cell r="I370">
            <v>0</v>
          </cell>
        </row>
        <row r="371">
          <cell r="I371">
            <v>0</v>
          </cell>
        </row>
        <row r="372">
          <cell r="I372">
            <v>0</v>
          </cell>
        </row>
        <row r="373">
          <cell r="I373">
            <v>0</v>
          </cell>
        </row>
        <row r="374">
          <cell r="I374">
            <v>0</v>
          </cell>
        </row>
        <row r="375">
          <cell r="I375">
            <v>0</v>
          </cell>
        </row>
        <row r="376">
          <cell r="I376">
            <v>0</v>
          </cell>
        </row>
        <row r="377">
          <cell r="I377">
            <v>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on Data"/>
      <sheetName val="Fruit Drying"/>
      <sheetName val="Milk Collection"/>
      <sheetName val="Carpentry"/>
      <sheetName val="Oil Mill - Improvement"/>
      <sheetName val="Oil Mill - New"/>
      <sheetName val="Apiculture"/>
      <sheetName val="Meat Processing"/>
      <sheetName val="Walnut Drying"/>
      <sheetName val="Unit Streams"/>
      <sheetName val="Analysis"/>
      <sheetName val="Sensitivity Analysis"/>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ASMP"/>
      <sheetName val="PRICES"/>
      <sheetName val="BSLN"/>
      <sheetName val="PAD"/>
      <sheetName val="CRPPTN"/>
      <sheetName val="YLD"/>
      <sheetName val="SUMTEXT"/>
      <sheetName val="COST"/>
      <sheetName val="SEED"/>
      <sheetName val="LBR"/>
      <sheetName val="CRA"/>
      <sheetName val="WUACF"/>
      <sheetName val="MOM"/>
      <sheetName val="CPBGT-F"/>
      <sheetName val="CPBGT-E"/>
      <sheetName val="CBSUM"/>
      <sheetName val="BNFLWF"/>
      <sheetName val="BNFLWE"/>
      <sheetName val="GHG"/>
      <sheetName val="FLOOD"/>
      <sheetName val="IRR-P1"/>
      <sheetName val="IRR-P2"/>
      <sheetName val="S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7CA4B-58F8-48E4-B323-13D2BE52D9C5}">
  <sheetPr>
    <tabColor rgb="FF0070C0"/>
  </sheetPr>
  <dimension ref="A1:R26"/>
  <sheetViews>
    <sheetView zoomScale="86" zoomScaleNormal="86" workbookViewId="0">
      <selection activeCell="E28" sqref="E28"/>
    </sheetView>
  </sheetViews>
  <sheetFormatPr defaultColWidth="8.7109375" defaultRowHeight="14.1"/>
  <cols>
    <col min="1" max="1" width="8.7109375" style="85"/>
    <col min="2" max="2" width="13.140625" style="85" customWidth="1"/>
    <col min="3" max="8" width="8.7109375" style="85"/>
    <col min="9" max="9" width="33.42578125" style="85" customWidth="1"/>
    <col min="10" max="16" width="8.7109375" style="85"/>
    <col min="17" max="17" width="44.5703125" style="85" customWidth="1"/>
    <col min="18" max="16384" width="8.7109375" style="85"/>
  </cols>
  <sheetData>
    <row r="1" spans="1:18">
      <c r="A1" s="383" t="s">
        <v>0</v>
      </c>
      <c r="B1" s="383"/>
      <c r="C1" s="383"/>
      <c r="D1" s="383"/>
      <c r="E1" s="383"/>
      <c r="F1" s="383"/>
      <c r="G1" s="383"/>
      <c r="H1" s="383"/>
      <c r="I1" s="383"/>
      <c r="J1" s="383"/>
      <c r="K1" s="383"/>
      <c r="L1" s="383"/>
      <c r="M1" s="383"/>
      <c r="N1" s="383"/>
      <c r="O1" s="383"/>
      <c r="P1" s="383"/>
      <c r="Q1" s="383"/>
    </row>
    <row r="2" spans="1:18">
      <c r="A2" s="383" t="s">
        <v>1</v>
      </c>
      <c r="B2" s="383"/>
      <c r="C2" s="383"/>
      <c r="D2" s="383"/>
      <c r="E2" s="383"/>
      <c r="F2" s="383"/>
      <c r="G2" s="383"/>
      <c r="H2" s="383"/>
      <c r="I2" s="383"/>
      <c r="J2" s="383"/>
      <c r="K2" s="383"/>
      <c r="L2" s="383"/>
      <c r="M2" s="383"/>
      <c r="N2" s="383"/>
      <c r="O2" s="383"/>
      <c r="P2" s="383"/>
      <c r="Q2" s="383"/>
    </row>
    <row r="3" spans="1:18">
      <c r="A3" s="85" t="s">
        <v>2</v>
      </c>
      <c r="B3" s="86">
        <v>44619</v>
      </c>
    </row>
    <row r="4" spans="1:18">
      <c r="A4" s="85" t="s">
        <v>3</v>
      </c>
      <c r="B4" s="86"/>
    </row>
    <row r="5" spans="1:18">
      <c r="H5" s="382"/>
      <c r="I5" s="382"/>
      <c r="J5" s="382"/>
      <c r="K5" s="382"/>
      <c r="L5" s="382"/>
      <c r="M5" s="382"/>
      <c r="N5" s="382"/>
      <c r="O5" s="382"/>
      <c r="P5" s="382"/>
      <c r="Q5" s="382"/>
      <c r="R5" s="382"/>
    </row>
    <row r="6" spans="1:18">
      <c r="C6" s="87"/>
      <c r="D6" s="87"/>
      <c r="E6" s="87"/>
      <c r="F6" s="87"/>
      <c r="G6" s="87"/>
      <c r="H6" s="87"/>
      <c r="I6" s="87"/>
      <c r="J6" s="87"/>
      <c r="K6" s="88"/>
      <c r="L6" s="88"/>
      <c r="M6" s="88"/>
    </row>
    <row r="7" spans="1:18">
      <c r="A7" s="386" t="s">
        <v>4</v>
      </c>
      <c r="B7" s="386"/>
      <c r="C7" s="386"/>
    </row>
    <row r="8" spans="1:18">
      <c r="B8" s="385" t="s">
        <v>5</v>
      </c>
      <c r="C8" s="385"/>
      <c r="D8" s="385"/>
      <c r="E8" s="385" t="s">
        <v>6</v>
      </c>
      <c r="F8" s="385"/>
      <c r="G8" s="385"/>
      <c r="H8" s="385"/>
      <c r="I8" s="385"/>
    </row>
    <row r="9" spans="1:18" ht="26.1" customHeight="1">
      <c r="B9" s="374" t="s">
        <v>7</v>
      </c>
      <c r="C9" s="374"/>
      <c r="D9" s="374"/>
      <c r="E9" s="375" t="s">
        <v>8</v>
      </c>
      <c r="F9" s="375"/>
      <c r="G9" s="375"/>
      <c r="H9" s="375"/>
      <c r="I9" s="375"/>
    </row>
    <row r="10" spans="1:18">
      <c r="B10" s="374" t="s">
        <v>9</v>
      </c>
      <c r="C10" s="374"/>
      <c r="D10" s="374"/>
      <c r="E10" s="375" t="s">
        <v>10</v>
      </c>
      <c r="F10" s="375"/>
      <c r="G10" s="375"/>
      <c r="H10" s="375"/>
      <c r="I10" s="375"/>
    </row>
    <row r="11" spans="1:18">
      <c r="B11" s="442" t="s">
        <v>11</v>
      </c>
      <c r="C11" s="442"/>
      <c r="D11" s="442"/>
      <c r="E11" s="443" t="s">
        <v>12</v>
      </c>
      <c r="F11" s="443"/>
      <c r="G11" s="443"/>
      <c r="H11" s="443"/>
      <c r="I11" s="443"/>
    </row>
    <row r="12" spans="1:18" ht="31.5" customHeight="1">
      <c r="B12" s="442" t="s">
        <v>13</v>
      </c>
      <c r="C12" s="442"/>
      <c r="D12" s="442"/>
      <c r="E12" s="384" t="s">
        <v>14</v>
      </c>
      <c r="F12" s="384"/>
      <c r="G12" s="384"/>
      <c r="H12" s="384"/>
      <c r="I12" s="384"/>
    </row>
    <row r="13" spans="1:18" ht="31.5" customHeight="1">
      <c r="B13" s="374" t="s">
        <v>15</v>
      </c>
      <c r="C13" s="374"/>
      <c r="D13" s="374"/>
      <c r="E13" s="376" t="s">
        <v>16</v>
      </c>
      <c r="F13" s="377"/>
      <c r="G13" s="377"/>
      <c r="H13" s="377"/>
      <c r="I13" s="378"/>
    </row>
    <row r="14" spans="1:18" ht="15" customHeight="1">
      <c r="B14" s="374" t="s">
        <v>17</v>
      </c>
      <c r="C14" s="374"/>
      <c r="D14" s="374"/>
      <c r="E14" s="379"/>
      <c r="F14" s="380"/>
      <c r="G14" s="380"/>
      <c r="H14" s="380"/>
      <c r="I14" s="381"/>
    </row>
    <row r="15" spans="1:18">
      <c r="B15" s="374" t="s">
        <v>18</v>
      </c>
      <c r="C15" s="374"/>
      <c r="D15" s="374"/>
      <c r="E15" s="379"/>
      <c r="F15" s="380"/>
      <c r="G15" s="380"/>
      <c r="H15" s="380"/>
      <c r="I15" s="381"/>
    </row>
    <row r="16" spans="1:18">
      <c r="B16" s="374" t="s">
        <v>19</v>
      </c>
      <c r="C16" s="374"/>
      <c r="D16" s="374"/>
      <c r="E16" s="379"/>
      <c r="F16" s="380"/>
      <c r="G16" s="380"/>
      <c r="H16" s="380"/>
      <c r="I16" s="381"/>
    </row>
    <row r="17" spans="2:9">
      <c r="B17" s="374" t="s">
        <v>20</v>
      </c>
      <c r="C17" s="374"/>
      <c r="D17" s="374"/>
      <c r="E17" s="379"/>
      <c r="F17" s="380"/>
      <c r="G17" s="380"/>
      <c r="H17" s="380"/>
      <c r="I17" s="381"/>
    </row>
    <row r="18" spans="2:9">
      <c r="B18" s="374" t="s">
        <v>21</v>
      </c>
      <c r="C18" s="374"/>
      <c r="D18" s="374"/>
      <c r="E18" s="379"/>
      <c r="F18" s="380"/>
      <c r="G18" s="380"/>
      <c r="H18" s="380"/>
      <c r="I18" s="381"/>
    </row>
    <row r="19" spans="2:9">
      <c r="B19" s="374" t="s">
        <v>22</v>
      </c>
      <c r="C19" s="374"/>
      <c r="D19" s="374"/>
      <c r="E19" s="379"/>
      <c r="F19" s="380"/>
      <c r="G19" s="380"/>
      <c r="H19" s="380"/>
      <c r="I19" s="381"/>
    </row>
    <row r="20" spans="2:9">
      <c r="B20" s="374" t="s">
        <v>23</v>
      </c>
      <c r="C20" s="374"/>
      <c r="D20" s="374"/>
      <c r="E20" s="379"/>
      <c r="F20" s="380"/>
      <c r="G20" s="380"/>
      <c r="H20" s="380"/>
      <c r="I20" s="381"/>
    </row>
    <row r="21" spans="2:9">
      <c r="B21" s="374" t="s">
        <v>24</v>
      </c>
      <c r="C21" s="374"/>
      <c r="D21" s="374"/>
      <c r="E21" s="379"/>
      <c r="F21" s="380"/>
      <c r="G21" s="380"/>
      <c r="H21" s="380"/>
      <c r="I21" s="381"/>
    </row>
    <row r="22" spans="2:9">
      <c r="B22" s="374" t="s">
        <v>25</v>
      </c>
      <c r="C22" s="374"/>
      <c r="D22" s="374"/>
      <c r="E22" s="379"/>
      <c r="F22" s="380"/>
      <c r="G22" s="380"/>
      <c r="H22" s="380"/>
      <c r="I22" s="381"/>
    </row>
    <row r="23" spans="2:9">
      <c r="B23" s="374" t="s">
        <v>26</v>
      </c>
      <c r="C23" s="374"/>
      <c r="D23" s="374"/>
      <c r="E23" s="379"/>
      <c r="F23" s="380"/>
      <c r="G23" s="380"/>
      <c r="H23" s="380"/>
      <c r="I23" s="381"/>
    </row>
    <row r="24" spans="2:9" ht="15" customHeight="1">
      <c r="B24" s="374" t="s">
        <v>27</v>
      </c>
      <c r="C24" s="374"/>
      <c r="D24" s="374"/>
      <c r="E24" s="379"/>
      <c r="F24" s="380"/>
      <c r="G24" s="380"/>
      <c r="H24" s="380"/>
      <c r="I24" s="381"/>
    </row>
    <row r="25" spans="2:9" ht="15" customHeight="1">
      <c r="B25" s="374" t="s">
        <v>28</v>
      </c>
      <c r="C25" s="374"/>
      <c r="D25" s="374"/>
      <c r="E25" s="379"/>
      <c r="F25" s="380"/>
      <c r="G25" s="380"/>
      <c r="H25" s="380"/>
      <c r="I25" s="381"/>
    </row>
    <row r="26" spans="2:9">
      <c r="B26" s="374" t="s">
        <v>29</v>
      </c>
      <c r="C26" s="374"/>
      <c r="D26" s="374"/>
      <c r="E26" s="375" t="s">
        <v>30</v>
      </c>
      <c r="F26" s="375"/>
      <c r="G26" s="375"/>
      <c r="H26" s="375"/>
      <c r="I26" s="375"/>
    </row>
  </sheetData>
  <mergeCells count="30">
    <mergeCell ref="B11:D11"/>
    <mergeCell ref="E11:I11"/>
    <mergeCell ref="H5:R5"/>
    <mergeCell ref="A1:Q1"/>
    <mergeCell ref="B24:D24"/>
    <mergeCell ref="E12:I12"/>
    <mergeCell ref="B8:D8"/>
    <mergeCell ref="E8:I8"/>
    <mergeCell ref="B9:D9"/>
    <mergeCell ref="A2:Q2"/>
    <mergeCell ref="A7:C7"/>
    <mergeCell ref="B10:D10"/>
    <mergeCell ref="E10:I10"/>
    <mergeCell ref="E9:I9"/>
    <mergeCell ref="B26:D26"/>
    <mergeCell ref="E26:I26"/>
    <mergeCell ref="B25:D25"/>
    <mergeCell ref="B23:D23"/>
    <mergeCell ref="B12:D12"/>
    <mergeCell ref="B22:D22"/>
    <mergeCell ref="E13:I25"/>
    <mergeCell ref="B21:D21"/>
    <mergeCell ref="B13:D13"/>
    <mergeCell ref="B14:D14"/>
    <mergeCell ref="B15:D15"/>
    <mergeCell ref="B16:D16"/>
    <mergeCell ref="B17:D17"/>
    <mergeCell ref="B18:D18"/>
    <mergeCell ref="B19:D19"/>
    <mergeCell ref="B20:D20"/>
  </mergeCells>
  <hyperlinks>
    <hyperlink ref="B9:D9" location="' EIRR-NPV'!A1" display="Forecasts" xr:uid="{163C1773-B50F-4DDF-A0BB-8DCA406FABCB}"/>
    <hyperlink ref="B12:D12" location="Summary_models!A1" display="Summary_models" xr:uid="{22F76DD2-9D57-4169-A37E-93EF477529CD}"/>
    <hyperlink ref="B10:D10" location="COSTS!A1" display="Costs" xr:uid="{687678AC-CBED-4596-A719-B2F1727722F7}"/>
    <hyperlink ref="B11:D11" location="BENEFITS!A1" display="Benefits" xr:uid="{EFE5DB96-9BA6-4635-BB4A-976A4F42D560}"/>
    <hyperlink ref="B13:D13" location="RiceAromatic!A1" display="Maize" xr:uid="{B885405B-E629-4C22-8081-9A3D29896669}"/>
    <hyperlink ref="B14:D14" location="'Rice-non aromatic'!A1" display="Wheat" xr:uid="{F11B443F-DF63-4F1F-B661-B424065DF155}"/>
    <hyperlink ref="B15:D15" location="Mango!A1" display="Paddy" xr:uid="{222F6737-6FD7-4129-B12E-B9DEB1636DE1}"/>
    <hyperlink ref="B16:D16" location="Cashewnut!A1" display="Millet" xr:uid="{8661116B-4142-4751-9F82-F02B9ECEE42A}"/>
    <hyperlink ref="B17:D17" location="WaterConvolvulus!A1" display="Pulses" xr:uid="{EBE0649B-5D54-4B64-B760-4104E0877330}"/>
    <hyperlink ref="B18:D18" location="Longbean!A1" display="Upland rice" xr:uid="{3479B628-5AFC-4C6E-804F-C920A2A01B16}"/>
    <hyperlink ref="B19:D19" location="'Snake gourd'!A1" display="Tomato  " xr:uid="{EB909C1D-3A0D-49C6-BF68-5B62208EAC3C}"/>
    <hyperlink ref="B20:D20" location="Mungbean!A1" display="Potato" xr:uid="{3B5669B4-9A1F-4076-B968-B893530EBC29}"/>
    <hyperlink ref="B21:D21" location="Maize!A1" display="Maize" xr:uid="{73071A0A-5686-4555-8E6D-D2EECD9DD1BF}"/>
    <hyperlink ref="B22:D22" location="Soybeans!A1" display="Soybeans" xr:uid="{94A612C6-AB39-4795-9410-A4BCB7B06E3F}"/>
    <hyperlink ref="B23:D23" location="SweetPotato!A1" display="Sweet potato" xr:uid="{AB87F93D-881F-4819-9791-EEA1D8E515A5}"/>
    <hyperlink ref="B24:D24" location="Cassava!A1" display="Cassava" xr:uid="{8C0DE9EB-29DF-45CB-8A9C-75834F6CD0CE}"/>
    <hyperlink ref="B25:D25" location="Peanut!A1" display="Peanut" xr:uid="{0C46DE86-A5F1-4A98-9B87-8178E29AD757}"/>
    <hyperlink ref="B26:D26" location="CF!A1" display="CF" xr:uid="{634EF546-306E-41B8-9668-1C4F28B5320F}"/>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CBCC7-C22F-4BE4-8F6F-7168617AFB1B}">
  <dimension ref="A1:I100"/>
  <sheetViews>
    <sheetView topLeftCell="A10" zoomScale="53" zoomScaleNormal="53" workbookViewId="0">
      <selection activeCell="D45" sqref="D45"/>
    </sheetView>
  </sheetViews>
  <sheetFormatPr defaultColWidth="8.7109375" defaultRowHeight="14.1"/>
  <cols>
    <col min="1" max="1" width="27.5703125" style="65" customWidth="1"/>
    <col min="2" max="2" width="36.85546875" style="65" bestFit="1" customWidth="1"/>
    <col min="3" max="3" width="13.140625" style="65" bestFit="1" customWidth="1"/>
    <col min="4" max="4" width="14.7109375" style="65" bestFit="1" customWidth="1"/>
    <col min="5" max="7" width="8.7109375" style="65"/>
    <col min="8" max="8" width="37.85546875" style="65" customWidth="1"/>
    <col min="9" max="16384" width="8.7109375" style="65"/>
  </cols>
  <sheetData>
    <row r="1" spans="1:5" s="30" customFormat="1" ht="12.95">
      <c r="A1" s="29" t="s">
        <v>31</v>
      </c>
    </row>
    <row r="3" spans="1:5" s="95" customFormat="1">
      <c r="A3" s="97" t="s">
        <v>75</v>
      </c>
      <c r="E3" s="65"/>
    </row>
    <row r="4" spans="1:5" s="70" customFormat="1">
      <c r="A4" s="62" t="s">
        <v>19</v>
      </c>
      <c r="B4" s="62"/>
      <c r="C4" s="62"/>
      <c r="D4" s="69"/>
    </row>
    <row r="5" spans="1:5">
      <c r="A5" s="41" t="s">
        <v>306</v>
      </c>
      <c r="B5" s="42"/>
      <c r="C5" s="43" t="s">
        <v>71</v>
      </c>
      <c r="D5" s="44"/>
      <c r="E5" s="65" t="s">
        <v>368</v>
      </c>
    </row>
    <row r="6" spans="1:5">
      <c r="A6" s="45" t="s">
        <v>309</v>
      </c>
      <c r="B6" s="45" t="s">
        <v>310</v>
      </c>
      <c r="C6" s="46" t="s">
        <v>360</v>
      </c>
      <c r="D6" s="47">
        <v>156</v>
      </c>
    </row>
    <row r="7" spans="1:5">
      <c r="A7" s="45"/>
      <c r="B7" s="48" t="s">
        <v>312</v>
      </c>
      <c r="C7" s="48" t="s">
        <v>361</v>
      </c>
      <c r="D7" s="49">
        <v>2</v>
      </c>
    </row>
    <row r="8" spans="1:5">
      <c r="A8" s="45"/>
      <c r="B8" s="50" t="s">
        <v>313</v>
      </c>
      <c r="C8" s="50" t="s">
        <v>314</v>
      </c>
      <c r="D8" s="49">
        <v>6</v>
      </c>
    </row>
    <row r="9" spans="1:5">
      <c r="A9" s="45"/>
      <c r="B9" s="50" t="s">
        <v>315</v>
      </c>
      <c r="C9" s="50" t="s">
        <v>314</v>
      </c>
      <c r="D9" s="49">
        <v>0</v>
      </c>
    </row>
    <row r="10" spans="1:5">
      <c r="A10" s="45"/>
      <c r="B10" s="48" t="s">
        <v>316</v>
      </c>
      <c r="C10" s="50" t="s">
        <v>317</v>
      </c>
      <c r="D10" s="49">
        <v>0</v>
      </c>
    </row>
    <row r="11" spans="1:5">
      <c r="A11" s="45"/>
      <c r="B11" s="48" t="s">
        <v>318</v>
      </c>
      <c r="C11" s="50" t="s">
        <v>319</v>
      </c>
      <c r="D11" s="49">
        <v>0</v>
      </c>
    </row>
    <row r="12" spans="1:5">
      <c r="A12" s="66"/>
      <c r="B12" s="66"/>
      <c r="C12" s="66"/>
      <c r="D12" s="49"/>
    </row>
    <row r="13" spans="1:5">
      <c r="A13" s="45" t="s">
        <v>320</v>
      </c>
      <c r="B13" s="50" t="s">
        <v>321</v>
      </c>
      <c r="C13" s="48" t="str">
        <f>'Rice-non aromatic'!C13</f>
        <v>person-days/ha</v>
      </c>
      <c r="D13" s="71">
        <v>0</v>
      </c>
    </row>
    <row r="14" spans="1:5">
      <c r="A14" s="48"/>
      <c r="B14" s="50" t="s">
        <v>323</v>
      </c>
      <c r="C14" s="48" t="str">
        <f>'Rice-non aromatic'!C14</f>
        <v>person-days/ha</v>
      </c>
      <c r="D14" s="71">
        <v>0</v>
      </c>
    </row>
    <row r="15" spans="1:5">
      <c r="A15" s="50"/>
      <c r="B15" s="45" t="s">
        <v>324</v>
      </c>
      <c r="C15" s="48" t="str">
        <f>'Rice-non aromatic'!C15</f>
        <v>person-days/ha</v>
      </c>
      <c r="D15" s="71">
        <v>0</v>
      </c>
    </row>
    <row r="16" spans="1:5">
      <c r="A16" s="53"/>
      <c r="B16" s="45" t="s">
        <v>325</v>
      </c>
      <c r="C16" s="48" t="str">
        <f>'Rice-non aromatic'!C16</f>
        <v>person-days/ha</v>
      </c>
      <c r="D16" s="71">
        <v>10</v>
      </c>
    </row>
    <row r="17" spans="1:4">
      <c r="A17" s="53"/>
      <c r="B17" s="45" t="s">
        <v>326</v>
      </c>
      <c r="C17" s="48" t="str">
        <f>'Rice-non aromatic'!C17</f>
        <v>person-days/ha</v>
      </c>
      <c r="D17" s="71">
        <v>1.8366316176132973</v>
      </c>
    </row>
    <row r="18" spans="1:4">
      <c r="A18" s="53"/>
      <c r="B18" s="45" t="s">
        <v>327</v>
      </c>
      <c r="C18" s="48" t="str">
        <f>'Rice-non aromatic'!C18</f>
        <v>person-days/ha</v>
      </c>
      <c r="D18" s="71">
        <v>20</v>
      </c>
    </row>
    <row r="19" spans="1:4">
      <c r="A19" s="53"/>
      <c r="B19" s="66"/>
      <c r="C19" s="66"/>
      <c r="D19" s="49"/>
    </row>
    <row r="20" spans="1:4">
      <c r="A20" s="45" t="s">
        <v>328</v>
      </c>
      <c r="B20" s="45" t="s">
        <v>363</v>
      </c>
      <c r="C20" s="46" t="s">
        <v>364</v>
      </c>
      <c r="D20" s="49">
        <v>0</v>
      </c>
    </row>
    <row r="21" spans="1:4">
      <c r="A21" s="45"/>
      <c r="B21" s="48" t="s">
        <v>312</v>
      </c>
      <c r="C21" s="46" t="s">
        <v>365</v>
      </c>
      <c r="D21" s="49">
        <v>120000</v>
      </c>
    </row>
    <row r="22" spans="1:4">
      <c r="A22" s="45"/>
      <c r="B22" s="50" t="s">
        <v>313</v>
      </c>
      <c r="C22" s="46" t="s">
        <v>330</v>
      </c>
      <c r="D22" s="49">
        <v>16000</v>
      </c>
    </row>
    <row r="23" spans="1:4">
      <c r="A23" s="45"/>
      <c r="B23" s="50" t="s">
        <v>315</v>
      </c>
      <c r="C23" s="46" t="s">
        <v>330</v>
      </c>
      <c r="D23" s="49">
        <v>0</v>
      </c>
    </row>
    <row r="24" spans="1:4">
      <c r="A24" s="66"/>
      <c r="B24" s="48" t="s">
        <v>316</v>
      </c>
      <c r="C24" s="50" t="s">
        <v>332</v>
      </c>
      <c r="D24" s="49">
        <v>0</v>
      </c>
    </row>
    <row r="25" spans="1:4">
      <c r="A25" s="66"/>
      <c r="B25" s="66" t="s">
        <v>333</v>
      </c>
      <c r="C25" s="66" t="s">
        <v>334</v>
      </c>
      <c r="D25" s="73">
        <v>0</v>
      </c>
    </row>
    <row r="26" spans="1:4" ht="27.95">
      <c r="A26" s="66"/>
      <c r="B26" s="66" t="s">
        <v>335</v>
      </c>
      <c r="C26" s="46" t="s">
        <v>336</v>
      </c>
      <c r="D26" s="49">
        <v>21779</v>
      </c>
    </row>
    <row r="27" spans="1:4">
      <c r="A27" s="66" t="s">
        <v>337</v>
      </c>
      <c r="B27" s="66" t="s">
        <v>338</v>
      </c>
      <c r="C27" s="66" t="s">
        <v>339</v>
      </c>
      <c r="D27" s="49">
        <f>+D6*D20</f>
        <v>0</v>
      </c>
    </row>
    <row r="28" spans="1:4">
      <c r="A28" s="66"/>
      <c r="B28" s="48" t="s">
        <v>312</v>
      </c>
      <c r="C28" s="66" t="s">
        <v>339</v>
      </c>
      <c r="D28" s="49">
        <f>+D7*D21</f>
        <v>240000</v>
      </c>
    </row>
    <row r="29" spans="1:4">
      <c r="A29" s="45"/>
      <c r="B29" s="50" t="s">
        <v>313</v>
      </c>
      <c r="C29" s="66" t="s">
        <v>339</v>
      </c>
      <c r="D29" s="49">
        <f>+D8*D22</f>
        <v>96000</v>
      </c>
    </row>
    <row r="30" spans="1:4">
      <c r="A30" s="45"/>
      <c r="B30" s="50" t="s">
        <v>315</v>
      </c>
      <c r="C30" s="66" t="s">
        <v>339</v>
      </c>
      <c r="D30" s="49">
        <f>+D9*D23</f>
        <v>0</v>
      </c>
    </row>
    <row r="31" spans="1:4">
      <c r="A31" s="45"/>
      <c r="B31" s="48" t="s">
        <v>316</v>
      </c>
      <c r="C31" s="66" t="s">
        <v>339</v>
      </c>
      <c r="D31" s="49">
        <v>0</v>
      </c>
    </row>
    <row r="32" spans="1:4">
      <c r="A32" s="66"/>
      <c r="B32" s="50" t="s">
        <v>321</v>
      </c>
      <c r="C32" s="66" t="s">
        <v>339</v>
      </c>
      <c r="D32" s="49">
        <f>++D13*D$26</f>
        <v>0</v>
      </c>
    </row>
    <row r="33" spans="1:4">
      <c r="A33" s="66"/>
      <c r="B33" s="50" t="s">
        <v>323</v>
      </c>
      <c r="C33" s="66" t="s">
        <v>339</v>
      </c>
      <c r="D33" s="49">
        <f t="shared" ref="D33:D37" si="0">++D14*D$26</f>
        <v>0</v>
      </c>
    </row>
    <row r="34" spans="1:4">
      <c r="A34" s="66"/>
      <c r="B34" s="45" t="s">
        <v>324</v>
      </c>
      <c r="C34" s="66" t="s">
        <v>339</v>
      </c>
      <c r="D34" s="49">
        <f t="shared" si="0"/>
        <v>0</v>
      </c>
    </row>
    <row r="35" spans="1:4">
      <c r="A35" s="66"/>
      <c r="B35" s="45" t="s">
        <v>325</v>
      </c>
      <c r="C35" s="66" t="s">
        <v>339</v>
      </c>
      <c r="D35" s="49">
        <f t="shared" si="0"/>
        <v>217790</v>
      </c>
    </row>
    <row r="36" spans="1:4">
      <c r="A36" s="66"/>
      <c r="B36" s="45" t="s">
        <v>326</v>
      </c>
      <c r="C36" s="66" t="s">
        <v>339</v>
      </c>
      <c r="D36" s="49">
        <f t="shared" si="0"/>
        <v>40000</v>
      </c>
    </row>
    <row r="37" spans="1:4">
      <c r="A37" s="66"/>
      <c r="B37" s="45" t="s">
        <v>327</v>
      </c>
      <c r="C37" s="66" t="s">
        <v>339</v>
      </c>
      <c r="D37" s="49">
        <f t="shared" si="0"/>
        <v>435580</v>
      </c>
    </row>
    <row r="38" spans="1:4">
      <c r="A38" s="45"/>
      <c r="B38" s="45"/>
      <c r="C38" s="45"/>
      <c r="D38" s="49"/>
    </row>
    <row r="39" spans="1:4">
      <c r="A39" s="45" t="s">
        <v>340</v>
      </c>
      <c r="B39" s="45" t="s">
        <v>341</v>
      </c>
      <c r="C39" s="45" t="s">
        <v>339</v>
      </c>
      <c r="D39" s="49">
        <v>0</v>
      </c>
    </row>
    <row r="40" spans="1:4">
      <c r="A40" s="45"/>
      <c r="B40" s="45" t="s">
        <v>342</v>
      </c>
      <c r="C40" s="45" t="s">
        <v>339</v>
      </c>
      <c r="D40" s="49">
        <f>SUM(D27:D31)</f>
        <v>336000</v>
      </c>
    </row>
    <row r="41" spans="1:4">
      <c r="A41" s="56"/>
      <c r="B41" s="56" t="s">
        <v>343</v>
      </c>
      <c r="C41" s="45" t="s">
        <v>339</v>
      </c>
      <c r="D41" s="49">
        <f>SUM(D32:D37)</f>
        <v>693370</v>
      </c>
    </row>
    <row r="42" spans="1:4">
      <c r="A42" s="66"/>
      <c r="B42" s="66" t="s">
        <v>358</v>
      </c>
      <c r="C42" s="66" t="s">
        <v>339</v>
      </c>
      <c r="D42" s="49">
        <f>+SUM(D39:D40)*D25*D11*50%</f>
        <v>0</v>
      </c>
    </row>
    <row r="43" spans="1:4">
      <c r="A43" s="66"/>
      <c r="B43" s="66"/>
      <c r="C43" s="66"/>
      <c r="D43" s="49"/>
    </row>
    <row r="44" spans="1:4">
      <c r="A44" s="48" t="s">
        <v>345</v>
      </c>
      <c r="B44" s="50" t="s">
        <v>346</v>
      </c>
      <c r="C44" s="48" t="s">
        <v>366</v>
      </c>
      <c r="D44" s="49">
        <f>1500*0.7</f>
        <v>1050</v>
      </c>
    </row>
    <row r="45" spans="1:4">
      <c r="A45" s="48"/>
      <c r="B45" s="56" t="s">
        <v>348</v>
      </c>
      <c r="C45" s="45" t="s">
        <v>369</v>
      </c>
      <c r="D45" s="49">
        <v>3400</v>
      </c>
    </row>
    <row r="46" spans="1:4">
      <c r="A46" s="66"/>
      <c r="B46" s="66" t="s">
        <v>350</v>
      </c>
      <c r="C46" s="66" t="s">
        <v>339</v>
      </c>
      <c r="D46" s="49">
        <f>+D45*D44</f>
        <v>3570000</v>
      </c>
    </row>
    <row r="47" spans="1:4">
      <c r="A47" s="56"/>
      <c r="B47" s="56"/>
      <c r="C47" s="45"/>
      <c r="D47" s="49"/>
    </row>
    <row r="48" spans="1:4">
      <c r="A48" s="66" t="str">
        <f>RiceAromatic!A48</f>
        <v>Performance</v>
      </c>
      <c r="B48" s="66" t="str">
        <f>RiceAromatic!B48</f>
        <v>Gross margin (before family labour) [cash flow]</v>
      </c>
      <c r="C48" s="66" t="str">
        <f>RiceAromatic!C48</f>
        <v>Riel/ha</v>
      </c>
      <c r="D48" s="58">
        <f>D46-D39-D40-D42</f>
        <v>3234000</v>
      </c>
    </row>
    <row r="49" spans="1:5">
      <c r="B49" s="66" t="str">
        <f>RiceAromatic!B49</f>
        <v>Net margin (after family labour)</v>
      </c>
      <c r="C49" s="66" t="str">
        <f>RiceAromatic!C49</f>
        <v>Riel/ha</v>
      </c>
      <c r="D49" s="60">
        <f>D48-D41</f>
        <v>2540630</v>
      </c>
    </row>
    <row r="50" spans="1:5">
      <c r="B50" s="66" t="str">
        <f>RiceAromatic!B50</f>
        <v>Net margin (after family labour)</v>
      </c>
      <c r="C50" s="66" t="str">
        <f>RiceAromatic!C50</f>
        <v>$/ha</v>
      </c>
      <c r="D50" s="61">
        <f>D49/CF!I6</f>
        <v>624.84751598622722</v>
      </c>
    </row>
    <row r="51" spans="1:5">
      <c r="B51" s="66" t="str">
        <f>RiceAromatic!B51</f>
        <v>Returns to family labour</v>
      </c>
      <c r="C51" s="66" t="str">
        <f>RiceAromatic!C51</f>
        <v>Riel/person day</v>
      </c>
      <c r="D51" s="58">
        <f>D48/SUM(D13:D18)</f>
        <v>101581.09811500352</v>
      </c>
    </row>
    <row r="52" spans="1:5">
      <c r="B52" s="66" t="s">
        <v>356</v>
      </c>
      <c r="C52" s="66" t="str">
        <f>RiceAromatic!C52</f>
        <v>$/ha</v>
      </c>
      <c r="D52" s="58">
        <f>NPV(CF!$F$5,D50)</f>
        <v>590.11901212280043</v>
      </c>
    </row>
    <row r="53" spans="1:5">
      <c r="B53" s="66"/>
      <c r="C53" s="66"/>
    </row>
    <row r="54" spans="1:5" s="104" customFormat="1">
      <c r="A54" s="104" t="s">
        <v>76</v>
      </c>
      <c r="E54" s="204"/>
    </row>
    <row r="55" spans="1:5">
      <c r="A55" s="45" t="s">
        <v>309</v>
      </c>
      <c r="B55" s="45" t="str">
        <f>B6</f>
        <v>Seed rate</v>
      </c>
      <c r="C55" s="46" t="str">
        <f>C6</f>
        <v>tree/ha</v>
      </c>
      <c r="D55" s="209">
        <f>D6</f>
        <v>156</v>
      </c>
    </row>
    <row r="56" spans="1:5">
      <c r="A56" s="45"/>
      <c r="B56" s="45" t="str">
        <f t="shared" ref="B56:C60" si="1">B7</f>
        <v>Fertilizer</v>
      </c>
      <c r="C56" s="46" t="str">
        <f t="shared" si="1"/>
        <v>Bag/ha</v>
      </c>
      <c r="D56" s="209">
        <f t="shared" ref="D56:D66" si="2">D7</f>
        <v>2</v>
      </c>
    </row>
    <row r="57" spans="1:5">
      <c r="A57" s="45"/>
      <c r="B57" s="45" t="str">
        <f t="shared" si="1"/>
        <v>Insecticides and weedicides</v>
      </c>
      <c r="C57" s="46" t="str">
        <f t="shared" si="1"/>
        <v>bottle/ha</v>
      </c>
      <c r="D57" s="209">
        <f t="shared" si="2"/>
        <v>6</v>
      </c>
    </row>
    <row r="58" spans="1:5">
      <c r="A58" s="45"/>
      <c r="B58" s="45" t="str">
        <f t="shared" si="1"/>
        <v>Crop suplement</v>
      </c>
      <c r="C58" s="46" t="str">
        <f t="shared" si="1"/>
        <v>bottle/ha</v>
      </c>
      <c r="D58" s="209">
        <f t="shared" si="2"/>
        <v>0</v>
      </c>
    </row>
    <row r="59" spans="1:5">
      <c r="A59" s="45"/>
      <c r="B59" s="45" t="str">
        <f t="shared" si="1"/>
        <v>Water pumping</v>
      </c>
      <c r="C59" s="46" t="str">
        <f t="shared" si="1"/>
        <v>time/ha</v>
      </c>
      <c r="D59" s="209">
        <f t="shared" si="2"/>
        <v>0</v>
      </c>
    </row>
    <row r="60" spans="1:5">
      <c r="A60" s="45"/>
      <c r="B60" s="45" t="str">
        <f t="shared" si="1"/>
        <v>Interest period</v>
      </c>
      <c r="C60" s="46" t="str">
        <f t="shared" si="1"/>
        <v>month</v>
      </c>
      <c r="D60" s="209">
        <f t="shared" si="2"/>
        <v>0</v>
      </c>
    </row>
    <row r="61" spans="1:5">
      <c r="A61" s="66"/>
      <c r="B61" s="45"/>
      <c r="C61" s="46"/>
      <c r="D61" s="209"/>
    </row>
    <row r="62" spans="1:5">
      <c r="A62" s="45" t="s">
        <v>320</v>
      </c>
      <c r="B62" s="45" t="str">
        <f t="shared" ref="B62:C67" si="3">B13</f>
        <v>Land preparation/ripping</v>
      </c>
      <c r="C62" s="46" t="str">
        <f t="shared" si="3"/>
        <v>person-days/ha</v>
      </c>
      <c r="D62" s="209">
        <f t="shared" si="2"/>
        <v>0</v>
      </c>
    </row>
    <row r="63" spans="1:5">
      <c r="A63" s="48"/>
      <c r="B63" s="45" t="str">
        <f t="shared" si="3"/>
        <v>Land preparation/ridging</v>
      </c>
      <c r="C63" s="46" t="str">
        <f t="shared" si="3"/>
        <v>person-days/ha</v>
      </c>
      <c r="D63" s="209">
        <f t="shared" si="2"/>
        <v>0</v>
      </c>
    </row>
    <row r="64" spans="1:5">
      <c r="A64" s="50"/>
      <c r="B64" s="45" t="str">
        <f t="shared" si="3"/>
        <v>Sowing/planting</v>
      </c>
      <c r="C64" s="46" t="str">
        <f t="shared" si="3"/>
        <v>person-days/ha</v>
      </c>
      <c r="D64" s="209">
        <f t="shared" si="2"/>
        <v>0</v>
      </c>
    </row>
    <row r="65" spans="1:9">
      <c r="A65" s="53"/>
      <c r="B65" s="45" t="str">
        <f t="shared" si="3"/>
        <v>Fertilizer application</v>
      </c>
      <c r="C65" s="46" t="str">
        <f t="shared" si="3"/>
        <v>person-days/ha</v>
      </c>
      <c r="D65" s="209">
        <f t="shared" si="2"/>
        <v>10</v>
      </c>
    </row>
    <row r="66" spans="1:9">
      <c r="A66" s="53"/>
      <c r="B66" s="45" t="str">
        <f t="shared" si="3"/>
        <v>Pesticides application</v>
      </c>
      <c r="C66" s="46" t="str">
        <f t="shared" si="3"/>
        <v>person-days/ha</v>
      </c>
      <c r="D66" s="209">
        <f t="shared" si="2"/>
        <v>1.8366316176132973</v>
      </c>
    </row>
    <row r="67" spans="1:9">
      <c r="A67" s="53"/>
      <c r="B67" s="45" t="str">
        <f t="shared" si="3"/>
        <v>Harvesting</v>
      </c>
      <c r="C67" s="46" t="str">
        <f t="shared" si="3"/>
        <v>person-days/ha</v>
      </c>
      <c r="D67" s="209">
        <f>D18</f>
        <v>20</v>
      </c>
    </row>
    <row r="68" spans="1:9">
      <c r="A68" s="53"/>
      <c r="B68" s="45"/>
      <c r="C68" s="46"/>
      <c r="D68" s="209"/>
    </row>
    <row r="69" spans="1:9">
      <c r="A69" s="45" t="s">
        <v>328</v>
      </c>
      <c r="B69" s="45" t="str">
        <f t="shared" ref="B69:C86" si="4">B20</f>
        <v>Seed, purchase price (rental fee per tree)</v>
      </c>
      <c r="C69" s="46" t="str">
        <f t="shared" si="4"/>
        <v>Riel/tree/cycle</v>
      </c>
      <c r="D69" s="209">
        <f t="shared" ref="D69" si="5">D20</f>
        <v>0</v>
      </c>
    </row>
    <row r="70" spans="1:9">
      <c r="A70" s="45"/>
      <c r="B70" s="45" t="str">
        <f t="shared" si="4"/>
        <v>Fertilizer</v>
      </c>
      <c r="C70" s="46" t="str">
        <f t="shared" si="4"/>
        <v>Riel/Bag</v>
      </c>
      <c r="D70" s="105">
        <f>D21*I$72</f>
        <v>104816.59547365224</v>
      </c>
      <c r="H70" s="65" t="str">
        <f>CF!A7</f>
        <v>Shadow exchange rate Factor (SERF)</v>
      </c>
      <c r="I70" s="202">
        <f>CF!B7</f>
        <v>1.1490704748349865</v>
      </c>
    </row>
    <row r="71" spans="1:9">
      <c r="A71" s="45"/>
      <c r="B71" s="45" t="str">
        <f t="shared" si="4"/>
        <v>Insecticides and weedicides</v>
      </c>
      <c r="C71" s="46" t="str">
        <f t="shared" si="4"/>
        <v>Riel/bottle</v>
      </c>
      <c r="D71" s="105">
        <f>D22*I$72</f>
        <v>13975.546063153632</v>
      </c>
      <c r="H71" s="65" t="str">
        <f>CF!A8</f>
        <v>Standard Conversion Factor (SCF)</v>
      </c>
      <c r="I71" s="202">
        <f>CF!B8</f>
        <v>0.87026864052320729</v>
      </c>
    </row>
    <row r="72" spans="1:9">
      <c r="A72" s="45"/>
      <c r="B72" s="45" t="str">
        <f t="shared" si="4"/>
        <v>Crop suplement</v>
      </c>
      <c r="C72" s="46" t="str">
        <f t="shared" si="4"/>
        <v>Riel/bottle</v>
      </c>
      <c r="D72" s="105">
        <f>D23*I$72</f>
        <v>0</v>
      </c>
      <c r="H72" s="65" t="str">
        <f>CF!A9</f>
        <v>Conversion Factor for imported chemicals</v>
      </c>
      <c r="I72" s="202">
        <f>CF!B9</f>
        <v>0.87347162894710195</v>
      </c>
    </row>
    <row r="73" spans="1:9">
      <c r="A73" s="66"/>
      <c r="B73" s="45" t="str">
        <f t="shared" si="4"/>
        <v>Water pumping</v>
      </c>
      <c r="C73" s="46" t="str">
        <f t="shared" si="4"/>
        <v>Riel/time/ha</v>
      </c>
      <c r="D73" s="105">
        <f>D24*I$71</f>
        <v>0</v>
      </c>
      <c r="H73" s="65" t="str">
        <f>CF!A10</f>
        <v>Conversion Factor for exported agric/ products</v>
      </c>
      <c r="I73" s="202">
        <f>CF!B10</f>
        <v>0.95557383066686152</v>
      </c>
    </row>
    <row r="74" spans="1:9">
      <c r="A74" s="66"/>
      <c r="B74" s="45" t="str">
        <f t="shared" si="4"/>
        <v>Interest rate</v>
      </c>
      <c r="C74" s="46" t="str">
        <f t="shared" si="4"/>
        <v>% per month</v>
      </c>
      <c r="D74" s="207">
        <v>0</v>
      </c>
      <c r="E74" s="208"/>
      <c r="H74" s="65" t="str">
        <f>CF!A11</f>
        <v>Shadow Wage Rate Factor (SWRF) a/</v>
      </c>
      <c r="I74" s="202">
        <f>CF!B11</f>
        <v>0.75</v>
      </c>
    </row>
    <row r="75" spans="1:9" ht="27.95">
      <c r="A75" s="66"/>
      <c r="B75" s="45" t="str">
        <f t="shared" si="4"/>
        <v>Labour</v>
      </c>
      <c r="C75" s="46" t="str">
        <f t="shared" si="4"/>
        <v>Riel/person day</v>
      </c>
      <c r="D75" s="105">
        <f>21779*I$74</f>
        <v>16334.25</v>
      </c>
    </row>
    <row r="76" spans="1:9">
      <c r="A76" s="66" t="s">
        <v>337</v>
      </c>
      <c r="B76" s="45" t="str">
        <f t="shared" si="4"/>
        <v>Seed</v>
      </c>
      <c r="C76" s="46" t="str">
        <f t="shared" si="4"/>
        <v>Riel/ha</v>
      </c>
      <c r="D76" s="49">
        <f>+D55*D69</f>
        <v>0</v>
      </c>
    </row>
    <row r="77" spans="1:9">
      <c r="A77" s="66"/>
      <c r="B77" s="45" t="str">
        <f t="shared" si="4"/>
        <v>Fertilizer</v>
      </c>
      <c r="C77" s="46" t="str">
        <f t="shared" si="4"/>
        <v>Riel/ha</v>
      </c>
      <c r="D77" s="49">
        <f>+D56*D70</f>
        <v>209633.19094730448</v>
      </c>
    </row>
    <row r="78" spans="1:9">
      <c r="A78" s="45"/>
      <c r="B78" s="45" t="str">
        <f t="shared" si="4"/>
        <v>Insecticides and weedicides</v>
      </c>
      <c r="C78" s="46" t="str">
        <f t="shared" si="4"/>
        <v>Riel/ha</v>
      </c>
      <c r="D78" s="49">
        <f>+D57*D71</f>
        <v>83853.276378921786</v>
      </c>
    </row>
    <row r="79" spans="1:9">
      <c r="A79" s="45"/>
      <c r="B79" s="45" t="str">
        <f t="shared" si="4"/>
        <v>Crop suplement</v>
      </c>
      <c r="C79" s="46" t="str">
        <f t="shared" si="4"/>
        <v>Riel/ha</v>
      </c>
      <c r="D79" s="49">
        <f>+D58*D72</f>
        <v>0</v>
      </c>
    </row>
    <row r="80" spans="1:9">
      <c r="A80" s="45"/>
      <c r="B80" s="45" t="str">
        <f t="shared" si="4"/>
        <v>Water pumping</v>
      </c>
      <c r="C80" s="46" t="str">
        <f t="shared" si="4"/>
        <v>Riel/ha</v>
      </c>
      <c r="D80" s="49">
        <v>0</v>
      </c>
    </row>
    <row r="81" spans="1:4">
      <c r="A81" s="66"/>
      <c r="B81" s="45" t="str">
        <f t="shared" si="4"/>
        <v>Land preparation/ripping</v>
      </c>
      <c r="C81" s="46" t="str">
        <f t="shared" si="4"/>
        <v>Riel/ha</v>
      </c>
      <c r="D81" s="49">
        <f>++D62*D$26</f>
        <v>0</v>
      </c>
    </row>
    <row r="82" spans="1:4">
      <c r="A82" s="66"/>
      <c r="B82" s="45" t="str">
        <f t="shared" si="4"/>
        <v>Land preparation/ridging</v>
      </c>
      <c r="C82" s="46" t="str">
        <f t="shared" si="4"/>
        <v>Riel/ha</v>
      </c>
      <c r="D82" s="49">
        <f t="shared" ref="D82:D86" si="6">++D63*D$26</f>
        <v>0</v>
      </c>
    </row>
    <row r="83" spans="1:4">
      <c r="A83" s="66"/>
      <c r="B83" s="45" t="str">
        <f t="shared" si="4"/>
        <v>Sowing/planting</v>
      </c>
      <c r="C83" s="46" t="str">
        <f t="shared" si="4"/>
        <v>Riel/ha</v>
      </c>
      <c r="D83" s="49">
        <f t="shared" si="6"/>
        <v>0</v>
      </c>
    </row>
    <row r="84" spans="1:4">
      <c r="A84" s="66"/>
      <c r="B84" s="45" t="str">
        <f t="shared" si="4"/>
        <v>Fertilizer application</v>
      </c>
      <c r="C84" s="46" t="str">
        <f t="shared" si="4"/>
        <v>Riel/ha</v>
      </c>
      <c r="D84" s="49">
        <f t="shared" si="6"/>
        <v>217790</v>
      </c>
    </row>
    <row r="85" spans="1:4">
      <c r="A85" s="66"/>
      <c r="B85" s="45" t="str">
        <f t="shared" si="4"/>
        <v>Pesticides application</v>
      </c>
      <c r="C85" s="46" t="str">
        <f t="shared" si="4"/>
        <v>Riel/ha</v>
      </c>
      <c r="D85" s="49">
        <f t="shared" si="6"/>
        <v>40000</v>
      </c>
    </row>
    <row r="86" spans="1:4">
      <c r="A86" s="66"/>
      <c r="B86" s="45" t="str">
        <f t="shared" si="4"/>
        <v>Harvesting</v>
      </c>
      <c r="C86" s="46" t="str">
        <f t="shared" si="4"/>
        <v>Riel/ha</v>
      </c>
      <c r="D86" s="49">
        <f t="shared" si="6"/>
        <v>435580</v>
      </c>
    </row>
    <row r="87" spans="1:4">
      <c r="A87" s="45"/>
      <c r="B87" s="45"/>
      <c r="C87" s="46"/>
      <c r="D87" s="49"/>
    </row>
    <row r="88" spans="1:4">
      <c r="A88" s="45" t="s">
        <v>340</v>
      </c>
      <c r="B88" s="45" t="str">
        <f t="shared" ref="B88:C91" si="7">B39</f>
        <v>Land cost</v>
      </c>
      <c r="C88" s="46" t="str">
        <f t="shared" si="7"/>
        <v>Riel/ha</v>
      </c>
      <c r="D88" s="49">
        <v>0</v>
      </c>
    </row>
    <row r="89" spans="1:4">
      <c r="A89" s="45"/>
      <c r="B89" s="45" t="str">
        <f t="shared" si="7"/>
        <v>Input cost</v>
      </c>
      <c r="C89" s="46" t="str">
        <f t="shared" si="7"/>
        <v>Riel/ha</v>
      </c>
      <c r="D89" s="49">
        <f>SUM(D76:D80)</f>
        <v>293486.46732622629</v>
      </c>
    </row>
    <row r="90" spans="1:4">
      <c r="A90" s="56"/>
      <c r="B90" s="45" t="str">
        <f t="shared" si="7"/>
        <v>Labour cost</v>
      </c>
      <c r="C90" s="46" t="str">
        <f t="shared" si="7"/>
        <v>Riel/ha</v>
      </c>
      <c r="D90" s="49">
        <f>SUM(D81:D86)</f>
        <v>693370</v>
      </c>
    </row>
    <row r="91" spans="1:4">
      <c r="A91" s="66"/>
      <c r="B91" s="45" t="str">
        <f t="shared" si="7"/>
        <v>Interest (50% of total costs)</v>
      </c>
      <c r="C91" s="46" t="str">
        <f t="shared" si="7"/>
        <v>Riel/ha</v>
      </c>
      <c r="D91" s="49">
        <f>+SUM(D88:D89)*D74*D60*50%</f>
        <v>0</v>
      </c>
    </row>
    <row r="92" spans="1:4">
      <c r="A92" s="66"/>
      <c r="B92" s="45"/>
      <c r="C92" s="46"/>
      <c r="D92" s="49"/>
    </row>
    <row r="93" spans="1:4">
      <c r="A93" s="48" t="s">
        <v>345</v>
      </c>
      <c r="B93" s="45" t="str">
        <f>B44</f>
        <v>Yield</v>
      </c>
      <c r="C93" s="46" t="str">
        <f>C44</f>
        <v>Kg/ha, fresh</v>
      </c>
      <c r="D93" s="49">
        <f>D44</f>
        <v>1050</v>
      </c>
    </row>
    <row r="94" spans="1:4">
      <c r="A94" s="48"/>
      <c r="B94" s="45" t="str">
        <f>B45</f>
        <v>Main product, selling price @ farm gate</v>
      </c>
      <c r="C94" s="46" t="str">
        <f>C45</f>
        <v>Riel/Kg, fresh</v>
      </c>
      <c r="D94" s="49">
        <f>3400*I$73</f>
        <v>3248.9510242673291</v>
      </c>
    </row>
    <row r="95" spans="1:4">
      <c r="A95" s="66"/>
      <c r="B95" s="45" t="str">
        <f>B46</f>
        <v>Revenue</v>
      </c>
      <c r="C95" s="46" t="str">
        <f>C46</f>
        <v>Riel/ha</v>
      </c>
      <c r="D95" s="49">
        <f>+D94*D93</f>
        <v>3411398.5754806953</v>
      </c>
    </row>
    <row r="96" spans="1:4">
      <c r="A96" s="56"/>
      <c r="B96" s="45"/>
      <c r="C96" s="46"/>
      <c r="D96" s="49"/>
    </row>
    <row r="97" spans="1:4">
      <c r="A97" s="66" t="str">
        <f>RiceAromatic!A97</f>
        <v>Performance</v>
      </c>
      <c r="B97" s="45" t="str">
        <f t="shared" ref="B97:C100" si="8">B48</f>
        <v>Gross margin (before family labour) [cash flow]</v>
      </c>
      <c r="C97" s="46" t="str">
        <f t="shared" si="8"/>
        <v>Riel/ha</v>
      </c>
      <c r="D97" s="58">
        <f>D95-D88-D89-D91</f>
        <v>3117912.1081544692</v>
      </c>
    </row>
    <row r="98" spans="1:4">
      <c r="B98" s="45" t="str">
        <f t="shared" si="8"/>
        <v>Net margin (after family labour)</v>
      </c>
      <c r="C98" s="46" t="str">
        <f t="shared" si="8"/>
        <v>Riel/ha</v>
      </c>
      <c r="D98" s="60">
        <f>D97-D90</f>
        <v>2424542.1081544692</v>
      </c>
    </row>
    <row r="99" spans="1:4">
      <c r="B99" s="45" t="str">
        <f t="shared" si="8"/>
        <v>Net margin (after family labour)</v>
      </c>
      <c r="C99" s="46" t="str">
        <f t="shared" si="8"/>
        <v>$/ha</v>
      </c>
      <c r="D99" s="61">
        <f>D98/CF!$I$6</f>
        <v>596.29663260070561</v>
      </c>
    </row>
    <row r="100" spans="1:4" ht="27.95">
      <c r="B100" s="45" t="str">
        <f t="shared" si="8"/>
        <v>Returns to family labour</v>
      </c>
      <c r="C100" s="46" t="str">
        <f t="shared" si="8"/>
        <v>Riel/person day</v>
      </c>
      <c r="D100" s="58">
        <f>D97/SUM(D62:D67)</f>
        <v>97934.735860357643</v>
      </c>
    </row>
  </sheetData>
  <hyperlinks>
    <hyperlink ref="A1" location="ToC!A1" display=" Back to TOC" xr:uid="{8E5C71E5-6764-4DDE-BA1B-749431D0A187}"/>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74A76-8E36-437B-99AC-ADB23ADB5855}">
  <dimension ref="A1:I100"/>
  <sheetViews>
    <sheetView topLeftCell="A61" zoomScale="57" zoomScaleNormal="57" workbookViewId="0">
      <selection activeCell="D94" sqref="D94"/>
    </sheetView>
  </sheetViews>
  <sheetFormatPr defaultColWidth="8.7109375" defaultRowHeight="14.1"/>
  <cols>
    <col min="1" max="1" width="34.28515625" style="65" customWidth="1"/>
    <col min="2" max="2" width="38.140625" style="65" bestFit="1" customWidth="1"/>
    <col min="3" max="3" width="23.5703125" style="65" customWidth="1"/>
    <col min="4" max="4" width="15.85546875" style="65" bestFit="1" customWidth="1"/>
    <col min="5" max="7" width="8.7109375" style="65"/>
    <col min="8" max="8" width="37.85546875" style="65" customWidth="1"/>
    <col min="9" max="16384" width="8.7109375" style="65"/>
  </cols>
  <sheetData>
    <row r="1" spans="1:5" s="30" customFormat="1" ht="12.95">
      <c r="A1" s="29" t="s">
        <v>31</v>
      </c>
    </row>
    <row r="3" spans="1:5" s="95" customFormat="1">
      <c r="A3" s="97" t="s">
        <v>75</v>
      </c>
      <c r="E3" s="65"/>
    </row>
    <row r="4" spans="1:5" s="70" customFormat="1">
      <c r="A4" s="62" t="s">
        <v>370</v>
      </c>
      <c r="B4" s="62"/>
      <c r="C4" s="62"/>
      <c r="D4" s="69"/>
    </row>
    <row r="5" spans="1:5">
      <c r="A5" s="41" t="s">
        <v>306</v>
      </c>
      <c r="B5" s="42"/>
      <c r="C5" s="43" t="s">
        <v>71</v>
      </c>
      <c r="D5" s="44"/>
      <c r="E5" s="205"/>
    </row>
    <row r="6" spans="1:5" ht="15.95">
      <c r="A6" s="45" t="s">
        <v>309</v>
      </c>
      <c r="B6" s="45" t="s">
        <v>310</v>
      </c>
      <c r="C6" s="46" t="s">
        <v>371</v>
      </c>
      <c r="D6" s="47">
        <v>2</v>
      </c>
    </row>
    <row r="7" spans="1:5" ht="15.95">
      <c r="A7" s="45"/>
      <c r="B7" s="48" t="s">
        <v>312</v>
      </c>
      <c r="C7" s="46" t="s">
        <v>372</v>
      </c>
      <c r="D7" s="49">
        <v>20</v>
      </c>
    </row>
    <row r="8" spans="1:5" ht="15.95">
      <c r="A8" s="45"/>
      <c r="B8" s="50" t="s">
        <v>313</v>
      </c>
      <c r="C8" s="46" t="s">
        <v>373</v>
      </c>
      <c r="D8" s="49">
        <v>3</v>
      </c>
    </row>
    <row r="9" spans="1:5" ht="15.95">
      <c r="A9" s="45"/>
      <c r="B9" s="50" t="s">
        <v>315</v>
      </c>
      <c r="C9" s="46" t="s">
        <v>374</v>
      </c>
      <c r="D9" s="49">
        <v>0</v>
      </c>
    </row>
    <row r="10" spans="1:5" ht="15.95">
      <c r="A10" s="45"/>
      <c r="B10" s="48" t="s">
        <v>316</v>
      </c>
      <c r="C10" s="46" t="s">
        <v>375</v>
      </c>
      <c r="D10" s="49">
        <v>10</v>
      </c>
    </row>
    <row r="11" spans="1:5">
      <c r="A11" s="45"/>
      <c r="B11" s="48" t="s">
        <v>318</v>
      </c>
      <c r="C11" s="50" t="s">
        <v>319</v>
      </c>
      <c r="D11" s="49">
        <v>1.5</v>
      </c>
    </row>
    <row r="12" spans="1:5">
      <c r="A12" s="66"/>
      <c r="B12" s="66"/>
      <c r="C12" s="66"/>
      <c r="D12" s="49"/>
    </row>
    <row r="13" spans="1:5" ht="15.95">
      <c r="A13" s="45" t="s">
        <v>320</v>
      </c>
      <c r="B13" s="50" t="s">
        <v>321</v>
      </c>
      <c r="C13" s="46" t="s">
        <v>376</v>
      </c>
      <c r="D13" s="74">
        <f>WaterConvolvulus!D13</f>
        <v>1</v>
      </c>
    </row>
    <row r="14" spans="1:5" ht="15.95">
      <c r="A14" s="48"/>
      <c r="B14" s="50" t="s">
        <v>323</v>
      </c>
      <c r="C14" s="46" t="s">
        <v>376</v>
      </c>
      <c r="D14" s="74">
        <f>WaterConvolvulus!D14</f>
        <v>0</v>
      </c>
    </row>
    <row r="15" spans="1:5" ht="15.95">
      <c r="A15" s="50"/>
      <c r="B15" s="45" t="s">
        <v>324</v>
      </c>
      <c r="C15" s="46" t="s">
        <v>376</v>
      </c>
      <c r="D15" s="74">
        <f>WaterConvolvulus!D15</f>
        <v>1.5</v>
      </c>
    </row>
    <row r="16" spans="1:5" ht="15.95">
      <c r="A16" s="53"/>
      <c r="B16" s="45" t="s">
        <v>325</v>
      </c>
      <c r="C16" s="46" t="s">
        <v>376</v>
      </c>
      <c r="D16" s="74">
        <f>WaterConvolvulus!D16</f>
        <v>1</v>
      </c>
    </row>
    <row r="17" spans="1:4" ht="15.95">
      <c r="A17" s="53"/>
      <c r="B17" s="45" t="s">
        <v>326</v>
      </c>
      <c r="C17" s="46" t="s">
        <v>376</v>
      </c>
      <c r="D17" s="74">
        <f>WaterConvolvulus!D17</f>
        <v>1</v>
      </c>
    </row>
    <row r="18" spans="1:4" ht="15.95">
      <c r="A18" s="53"/>
      <c r="B18" s="45" t="s">
        <v>327</v>
      </c>
      <c r="C18" s="46" t="s">
        <v>376</v>
      </c>
      <c r="D18" s="74">
        <f>WaterConvolvulus!D18</f>
        <v>2</v>
      </c>
    </row>
    <row r="19" spans="1:4">
      <c r="A19" s="53"/>
      <c r="B19" s="66"/>
      <c r="C19" s="66"/>
      <c r="D19" s="49"/>
    </row>
    <row r="20" spans="1:4">
      <c r="A20" s="45" t="s">
        <v>328</v>
      </c>
      <c r="B20" s="45" t="s">
        <v>329</v>
      </c>
      <c r="C20" s="46" t="s">
        <v>377</v>
      </c>
      <c r="D20" s="49">
        <v>10000</v>
      </c>
    </row>
    <row r="21" spans="1:4">
      <c r="A21" s="45"/>
      <c r="B21" s="48" t="s">
        <v>312</v>
      </c>
      <c r="C21" s="46" t="s">
        <v>118</v>
      </c>
      <c r="D21" s="49">
        <v>3000</v>
      </c>
    </row>
    <row r="22" spans="1:4">
      <c r="A22" s="45"/>
      <c r="B22" s="50" t="s">
        <v>313</v>
      </c>
      <c r="C22" s="46" t="s">
        <v>378</v>
      </c>
      <c r="D22" s="49">
        <v>2000</v>
      </c>
    </row>
    <row r="23" spans="1:4">
      <c r="A23" s="45"/>
      <c r="B23" s="50" t="s">
        <v>315</v>
      </c>
      <c r="C23" s="46" t="s">
        <v>330</v>
      </c>
      <c r="D23" s="49">
        <v>0</v>
      </c>
    </row>
    <row r="24" spans="1:4" ht="15.95">
      <c r="A24" s="66"/>
      <c r="B24" s="48" t="s">
        <v>316</v>
      </c>
      <c r="C24" s="50" t="s">
        <v>379</v>
      </c>
      <c r="D24" s="49">
        <v>6000</v>
      </c>
    </row>
    <row r="25" spans="1:4">
      <c r="A25" s="66"/>
      <c r="B25" s="66" t="s">
        <v>333</v>
      </c>
      <c r="C25" s="66" t="s">
        <v>334</v>
      </c>
      <c r="D25" s="73">
        <v>0</v>
      </c>
    </row>
    <row r="26" spans="1:4">
      <c r="A26" s="66"/>
      <c r="B26" s="66" t="s">
        <v>335</v>
      </c>
      <c r="C26" s="46" t="s">
        <v>336</v>
      </c>
      <c r="D26" s="49">
        <v>21779</v>
      </c>
    </row>
    <row r="27" spans="1:4" ht="15.95">
      <c r="A27" s="66" t="s">
        <v>337</v>
      </c>
      <c r="B27" s="66" t="s">
        <v>338</v>
      </c>
      <c r="C27" s="46" t="s">
        <v>380</v>
      </c>
      <c r="D27" s="49">
        <f>+D6*D20</f>
        <v>20000</v>
      </c>
    </row>
    <row r="28" spans="1:4" ht="15.95">
      <c r="A28" s="66"/>
      <c r="B28" s="48" t="s">
        <v>312</v>
      </c>
      <c r="C28" s="46" t="s">
        <v>380</v>
      </c>
      <c r="D28" s="49">
        <f>+D7*D21</f>
        <v>60000</v>
      </c>
    </row>
    <row r="29" spans="1:4" ht="15.95">
      <c r="A29" s="45"/>
      <c r="B29" s="50" t="s">
        <v>313</v>
      </c>
      <c r="C29" s="46" t="s">
        <v>380</v>
      </c>
      <c r="D29" s="49">
        <f>+D8*D22</f>
        <v>6000</v>
      </c>
    </row>
    <row r="30" spans="1:4" ht="15.95">
      <c r="A30" s="45"/>
      <c r="B30" s="50" t="s">
        <v>315</v>
      </c>
      <c r="C30" s="46" t="s">
        <v>380</v>
      </c>
      <c r="D30" s="49">
        <f>+D9*D23</f>
        <v>0</v>
      </c>
    </row>
    <row r="31" spans="1:4" ht="15.95">
      <c r="A31" s="45"/>
      <c r="B31" s="48" t="s">
        <v>316</v>
      </c>
      <c r="C31" s="46" t="s">
        <v>380</v>
      </c>
      <c r="D31" s="49">
        <f>+D10*D24</f>
        <v>60000</v>
      </c>
    </row>
    <row r="32" spans="1:4" ht="15.95">
      <c r="A32" s="66"/>
      <c r="B32" s="50" t="s">
        <v>321</v>
      </c>
      <c r="C32" s="46" t="s">
        <v>380</v>
      </c>
      <c r="D32" s="49">
        <f>++D13*D$26</f>
        <v>21779</v>
      </c>
    </row>
    <row r="33" spans="1:4" ht="15.95">
      <c r="A33" s="66"/>
      <c r="B33" s="50" t="s">
        <v>323</v>
      </c>
      <c r="C33" s="46" t="s">
        <v>380</v>
      </c>
      <c r="D33" s="49">
        <f t="shared" ref="D33:D37" si="0">++D14*D$26</f>
        <v>0</v>
      </c>
    </row>
    <row r="34" spans="1:4" ht="15.95">
      <c r="A34" s="66"/>
      <c r="B34" s="45" t="s">
        <v>324</v>
      </c>
      <c r="C34" s="46" t="s">
        <v>380</v>
      </c>
      <c r="D34" s="49">
        <f t="shared" si="0"/>
        <v>32668.5</v>
      </c>
    </row>
    <row r="35" spans="1:4" ht="15.95">
      <c r="A35" s="66"/>
      <c r="B35" s="45" t="s">
        <v>325</v>
      </c>
      <c r="C35" s="46" t="s">
        <v>380</v>
      </c>
      <c r="D35" s="49">
        <f t="shared" si="0"/>
        <v>21779</v>
      </c>
    </row>
    <row r="36" spans="1:4" ht="15.95">
      <c r="A36" s="66"/>
      <c r="B36" s="45" t="s">
        <v>326</v>
      </c>
      <c r="C36" s="46" t="s">
        <v>380</v>
      </c>
      <c r="D36" s="49">
        <f t="shared" si="0"/>
        <v>21779</v>
      </c>
    </row>
    <row r="37" spans="1:4" ht="15.95">
      <c r="A37" s="66"/>
      <c r="B37" s="45" t="s">
        <v>327</v>
      </c>
      <c r="C37" s="46" t="s">
        <v>380</v>
      </c>
      <c r="D37" s="49">
        <f t="shared" si="0"/>
        <v>43558</v>
      </c>
    </row>
    <row r="38" spans="1:4">
      <c r="A38" s="45"/>
      <c r="B38" s="45"/>
      <c r="C38" s="45"/>
      <c r="D38" s="49"/>
    </row>
    <row r="39" spans="1:4" ht="15.95">
      <c r="A39" s="45" t="s">
        <v>340</v>
      </c>
      <c r="B39" s="45" t="s">
        <v>341</v>
      </c>
      <c r="C39" s="46" t="s">
        <v>380</v>
      </c>
      <c r="D39" s="49">
        <v>0</v>
      </c>
    </row>
    <row r="40" spans="1:4" ht="15.95">
      <c r="A40" s="45"/>
      <c r="B40" s="45" t="s">
        <v>342</v>
      </c>
      <c r="C40" s="46" t="s">
        <v>380</v>
      </c>
      <c r="D40" s="49">
        <f>SUM(D27:D31)</f>
        <v>146000</v>
      </c>
    </row>
    <row r="41" spans="1:4" ht="15.95">
      <c r="A41" s="56"/>
      <c r="B41" s="56" t="s">
        <v>343</v>
      </c>
      <c r="C41" s="46" t="s">
        <v>380</v>
      </c>
      <c r="D41" s="49">
        <f>SUM(D32:D37)</f>
        <v>141563.5</v>
      </c>
    </row>
    <row r="42" spans="1:4" ht="15.95">
      <c r="A42" s="66"/>
      <c r="B42" s="66" t="s">
        <v>358</v>
      </c>
      <c r="C42" s="46" t="s">
        <v>380</v>
      </c>
      <c r="D42" s="49">
        <f>+SUM(D39:D40)*D25*D11*50%</f>
        <v>0</v>
      </c>
    </row>
    <row r="43" spans="1:4">
      <c r="A43" s="66"/>
      <c r="B43" s="66"/>
      <c r="C43" s="66"/>
      <c r="D43" s="49"/>
    </row>
    <row r="44" spans="1:4" ht="15.95">
      <c r="A44" s="48" t="s">
        <v>345</v>
      </c>
      <c r="B44" s="50" t="s">
        <v>346</v>
      </c>
      <c r="C44" s="46" t="s">
        <v>381</v>
      </c>
      <c r="D44" s="49">
        <v>150</v>
      </c>
    </row>
    <row r="45" spans="1:4">
      <c r="A45" s="48"/>
      <c r="B45" s="56" t="s">
        <v>348</v>
      </c>
      <c r="C45" s="45" t="s">
        <v>349</v>
      </c>
      <c r="D45" s="49">
        <v>1500</v>
      </c>
    </row>
    <row r="46" spans="1:4" ht="15.95">
      <c r="A46" s="66"/>
      <c r="B46" s="66" t="s">
        <v>350</v>
      </c>
      <c r="C46" s="46" t="s">
        <v>380</v>
      </c>
      <c r="D46" s="49">
        <f>+D45*D44</f>
        <v>225000</v>
      </c>
    </row>
    <row r="47" spans="1:4">
      <c r="A47" s="56"/>
      <c r="B47" s="56"/>
      <c r="C47" s="45"/>
      <c r="D47" s="49"/>
    </row>
    <row r="48" spans="1:4">
      <c r="A48" s="66" t="str">
        <f>RiceAromatic!A48</f>
        <v>Performance</v>
      </c>
      <c r="B48" s="66" t="str">
        <f>RiceAromatic!B48</f>
        <v>Gross margin (before family labour) [cash flow]</v>
      </c>
      <c r="C48" s="66" t="str">
        <f>RiceAromatic!C48</f>
        <v>Riel/ha</v>
      </c>
      <c r="D48" s="58">
        <f>(D46-D39-D40-D42)*10</f>
        <v>790000</v>
      </c>
    </row>
    <row r="49" spans="1:5">
      <c r="B49" s="66" t="str">
        <f>RiceAromatic!B49</f>
        <v>Net margin (after family labour)</v>
      </c>
      <c r="C49" s="66" t="str">
        <f>RiceAromatic!C49</f>
        <v>Riel/ha</v>
      </c>
      <c r="D49" s="60">
        <f>D48-D41</f>
        <v>648436.5</v>
      </c>
    </row>
    <row r="50" spans="1:5">
      <c r="B50" s="66" t="str">
        <f>RiceAromatic!B50</f>
        <v>Net margin (after family labour)</v>
      </c>
      <c r="C50" s="66" t="str">
        <f>RiceAromatic!C50</f>
        <v>$/ha</v>
      </c>
      <c r="D50" s="61">
        <f>D49/CF!I6</f>
        <v>159.47774225282834</v>
      </c>
    </row>
    <row r="51" spans="1:5">
      <c r="B51" s="66" t="str">
        <f>RiceAromatic!B51</f>
        <v>Returns to family labour</v>
      </c>
      <c r="C51" s="66" t="str">
        <f>RiceAromatic!C51</f>
        <v>Riel/person day</v>
      </c>
      <c r="D51" s="58">
        <f>D48/SUM(D13:D18)</f>
        <v>121538.46153846153</v>
      </c>
    </row>
    <row r="52" spans="1:5">
      <c r="B52" s="66" t="s">
        <v>356</v>
      </c>
      <c r="C52" s="66" t="str">
        <f>RiceAromatic!C52</f>
        <v>$/ha</v>
      </c>
      <c r="D52" s="58">
        <f>NPV(CF!$F$5,D50)</f>
        <v>150.61410233066849</v>
      </c>
    </row>
    <row r="53" spans="1:5">
      <c r="B53" s="66"/>
      <c r="C53" s="66"/>
    </row>
    <row r="54" spans="1:5" s="104" customFormat="1">
      <c r="A54" s="104" t="s">
        <v>76</v>
      </c>
      <c r="E54" s="204"/>
    </row>
    <row r="55" spans="1:5">
      <c r="A55" s="45" t="s">
        <v>309</v>
      </c>
      <c r="B55" s="45" t="str">
        <f>B6</f>
        <v>Seed rate</v>
      </c>
      <c r="C55" s="46" t="str">
        <f>C6</f>
        <v>can/1000m2</v>
      </c>
      <c r="D55" s="209">
        <f>D6</f>
        <v>2</v>
      </c>
    </row>
    <row r="56" spans="1:5">
      <c r="A56" s="45"/>
      <c r="B56" s="45" t="str">
        <f t="shared" ref="B56:C60" si="1">B7</f>
        <v>Fertilizer</v>
      </c>
      <c r="C56" s="46" t="str">
        <f t="shared" si="1"/>
        <v>Kg/1000m2</v>
      </c>
      <c r="D56" s="209">
        <f t="shared" ref="D56:D66" si="2">D7</f>
        <v>20</v>
      </c>
    </row>
    <row r="57" spans="1:5">
      <c r="A57" s="45"/>
      <c r="B57" s="45" t="str">
        <f t="shared" si="1"/>
        <v>Insecticides and weedicides</v>
      </c>
      <c r="C57" s="46" t="str">
        <f t="shared" si="1"/>
        <v>pack/1000m2</v>
      </c>
      <c r="D57" s="209">
        <f t="shared" si="2"/>
        <v>3</v>
      </c>
    </row>
    <row r="58" spans="1:5">
      <c r="A58" s="45"/>
      <c r="B58" s="45" t="str">
        <f t="shared" si="1"/>
        <v>Crop suplement</v>
      </c>
      <c r="C58" s="46" t="str">
        <f t="shared" si="1"/>
        <v>bottle/1000m2</v>
      </c>
      <c r="D58" s="209">
        <f t="shared" si="2"/>
        <v>0</v>
      </c>
    </row>
    <row r="59" spans="1:5">
      <c r="A59" s="45"/>
      <c r="B59" s="45" t="str">
        <f t="shared" si="1"/>
        <v>Water pumping</v>
      </c>
      <c r="C59" s="46" t="str">
        <f t="shared" si="1"/>
        <v>time/1000m2</v>
      </c>
      <c r="D59" s="209">
        <f t="shared" si="2"/>
        <v>10</v>
      </c>
    </row>
    <row r="60" spans="1:5">
      <c r="A60" s="45"/>
      <c r="B60" s="45" t="str">
        <f t="shared" si="1"/>
        <v>Interest period</v>
      </c>
      <c r="C60" s="46" t="str">
        <f t="shared" si="1"/>
        <v>month</v>
      </c>
      <c r="D60" s="209">
        <f t="shared" si="2"/>
        <v>1.5</v>
      </c>
    </row>
    <row r="61" spans="1:5">
      <c r="A61" s="66"/>
      <c r="B61" s="45"/>
      <c r="C61" s="46"/>
      <c r="D61" s="209"/>
    </row>
    <row r="62" spans="1:5">
      <c r="A62" s="45" t="s">
        <v>320</v>
      </c>
      <c r="B62" s="45" t="str">
        <f t="shared" ref="B62:C67" si="3">B13</f>
        <v>Land preparation/ripping</v>
      </c>
      <c r="C62" s="46" t="str">
        <f t="shared" si="3"/>
        <v>person-days/1000m2</v>
      </c>
      <c r="D62" s="209">
        <f t="shared" si="2"/>
        <v>1</v>
      </c>
    </row>
    <row r="63" spans="1:5">
      <c r="A63" s="48"/>
      <c r="B63" s="45" t="str">
        <f t="shared" si="3"/>
        <v>Land preparation/ridging</v>
      </c>
      <c r="C63" s="46" t="str">
        <f t="shared" si="3"/>
        <v>person-days/1000m2</v>
      </c>
      <c r="D63" s="209">
        <f t="shared" si="2"/>
        <v>0</v>
      </c>
    </row>
    <row r="64" spans="1:5">
      <c r="A64" s="50"/>
      <c r="B64" s="45" t="str">
        <f t="shared" si="3"/>
        <v>Sowing/planting</v>
      </c>
      <c r="C64" s="46" t="str">
        <f t="shared" si="3"/>
        <v>person-days/1000m2</v>
      </c>
      <c r="D64" s="209">
        <f t="shared" si="2"/>
        <v>1.5</v>
      </c>
    </row>
    <row r="65" spans="1:9">
      <c r="A65" s="53"/>
      <c r="B65" s="45" t="str">
        <f t="shared" si="3"/>
        <v>Fertilizer application</v>
      </c>
      <c r="C65" s="46" t="str">
        <f t="shared" si="3"/>
        <v>person-days/1000m2</v>
      </c>
      <c r="D65" s="209">
        <f t="shared" si="2"/>
        <v>1</v>
      </c>
    </row>
    <row r="66" spans="1:9">
      <c r="A66" s="53"/>
      <c r="B66" s="45" t="str">
        <f t="shared" si="3"/>
        <v>Pesticides application</v>
      </c>
      <c r="C66" s="46" t="str">
        <f t="shared" si="3"/>
        <v>person-days/1000m2</v>
      </c>
      <c r="D66" s="209">
        <f t="shared" si="2"/>
        <v>1</v>
      </c>
    </row>
    <row r="67" spans="1:9">
      <c r="A67" s="53"/>
      <c r="B67" s="45" t="str">
        <f t="shared" si="3"/>
        <v>Harvesting</v>
      </c>
      <c r="C67" s="46" t="str">
        <f t="shared" si="3"/>
        <v>person-days/1000m2</v>
      </c>
      <c r="D67" s="209">
        <f>D18</f>
        <v>2</v>
      </c>
    </row>
    <row r="68" spans="1:9">
      <c r="A68" s="53"/>
      <c r="B68" s="45"/>
      <c r="C68" s="46"/>
      <c r="D68" s="209"/>
    </row>
    <row r="69" spans="1:9">
      <c r="A69" s="45" t="s">
        <v>328</v>
      </c>
      <c r="B69" s="45" t="str">
        <f t="shared" ref="B69:C86" si="4">B20</f>
        <v>Seed, purchase price</v>
      </c>
      <c r="C69" s="46" t="str">
        <f t="shared" si="4"/>
        <v>Riel/can</v>
      </c>
      <c r="D69" s="209">
        <f t="shared" ref="D69" si="5">D20</f>
        <v>10000</v>
      </c>
    </row>
    <row r="70" spans="1:9">
      <c r="A70" s="45"/>
      <c r="B70" s="45" t="str">
        <f t="shared" si="4"/>
        <v>Fertilizer</v>
      </c>
      <c r="C70" s="46" t="str">
        <f t="shared" si="4"/>
        <v>Riel/Kg</v>
      </c>
      <c r="D70" s="105">
        <f>D21*I$72</f>
        <v>2620.4148868413058</v>
      </c>
      <c r="H70" s="65" t="str">
        <f>CF!A7</f>
        <v>Shadow exchange rate Factor (SERF)</v>
      </c>
      <c r="I70" s="202">
        <f>CF!B7</f>
        <v>1.1490704748349865</v>
      </c>
    </row>
    <row r="71" spans="1:9">
      <c r="A71" s="45"/>
      <c r="B71" s="45" t="str">
        <f t="shared" si="4"/>
        <v>Insecticides and weedicides</v>
      </c>
      <c r="C71" s="46" t="str">
        <f t="shared" si="4"/>
        <v>Riel/pack</v>
      </c>
      <c r="D71" s="105">
        <f>D22*I$72</f>
        <v>1746.943257894204</v>
      </c>
      <c r="H71" s="65" t="str">
        <f>CF!A8</f>
        <v>Standard Conversion Factor (SCF)</v>
      </c>
      <c r="I71" s="202">
        <f>CF!B8</f>
        <v>0.87026864052320729</v>
      </c>
    </row>
    <row r="72" spans="1:9">
      <c r="A72" s="45"/>
      <c r="B72" s="45" t="str">
        <f t="shared" si="4"/>
        <v>Crop suplement</v>
      </c>
      <c r="C72" s="46" t="str">
        <f t="shared" si="4"/>
        <v>Riel/bottle</v>
      </c>
      <c r="D72" s="105">
        <f>D23*I$72</f>
        <v>0</v>
      </c>
      <c r="H72" s="65" t="str">
        <f>CF!A9</f>
        <v>Conversion Factor for imported chemicals</v>
      </c>
      <c r="I72" s="202">
        <f>CF!B9</f>
        <v>0.87347162894710195</v>
      </c>
    </row>
    <row r="73" spans="1:9">
      <c r="A73" s="66"/>
      <c r="B73" s="45" t="str">
        <f t="shared" si="4"/>
        <v>Water pumping</v>
      </c>
      <c r="C73" s="46" t="str">
        <f t="shared" si="4"/>
        <v>Riel/time/1000m2</v>
      </c>
      <c r="D73" s="105">
        <f>D24*I$71</f>
        <v>5221.6118431392433</v>
      </c>
      <c r="H73" s="65" t="str">
        <f>CF!A10</f>
        <v>Conversion Factor for exported agric/ products</v>
      </c>
      <c r="I73" s="202">
        <f>CF!B10</f>
        <v>0.95557383066686152</v>
      </c>
    </row>
    <row r="74" spans="1:9">
      <c r="A74" s="66"/>
      <c r="B74" s="45" t="str">
        <f t="shared" si="4"/>
        <v>Interest rate</v>
      </c>
      <c r="C74" s="46" t="str">
        <f t="shared" si="4"/>
        <v>% per month</v>
      </c>
      <c r="D74" s="207">
        <v>0</v>
      </c>
      <c r="E74" s="208"/>
      <c r="H74" s="65" t="str">
        <f>CF!A11</f>
        <v>Shadow Wage Rate Factor (SWRF) a/</v>
      </c>
      <c r="I74" s="202">
        <f>CF!B11</f>
        <v>0.75</v>
      </c>
    </row>
    <row r="75" spans="1:9">
      <c r="A75" s="66"/>
      <c r="B75" s="45" t="str">
        <f t="shared" si="4"/>
        <v>Labour</v>
      </c>
      <c r="C75" s="46" t="str">
        <f t="shared" si="4"/>
        <v>Riel/person day</v>
      </c>
      <c r="D75" s="105">
        <f>21779*I$74</f>
        <v>16334.25</v>
      </c>
    </row>
    <row r="76" spans="1:9">
      <c r="A76" s="66" t="s">
        <v>337</v>
      </c>
      <c r="B76" s="45" t="str">
        <f t="shared" si="4"/>
        <v>Seed</v>
      </c>
      <c r="C76" s="46" t="str">
        <f t="shared" si="4"/>
        <v>Riel/1000m2</v>
      </c>
      <c r="D76" s="49">
        <f>+D55*D69</f>
        <v>20000</v>
      </c>
    </row>
    <row r="77" spans="1:9">
      <c r="A77" s="66"/>
      <c r="B77" s="45" t="str">
        <f t="shared" si="4"/>
        <v>Fertilizer</v>
      </c>
      <c r="C77" s="46" t="str">
        <f t="shared" si="4"/>
        <v>Riel/1000m2</v>
      </c>
      <c r="D77" s="49">
        <f>+D56*D70</f>
        <v>52408.29773682612</v>
      </c>
    </row>
    <row r="78" spans="1:9">
      <c r="A78" s="45"/>
      <c r="B78" s="45" t="str">
        <f t="shared" si="4"/>
        <v>Insecticides and weedicides</v>
      </c>
      <c r="C78" s="46" t="str">
        <f t="shared" si="4"/>
        <v>Riel/1000m2</v>
      </c>
      <c r="D78" s="49">
        <f>+D57*D71</f>
        <v>5240.8297736826116</v>
      </c>
    </row>
    <row r="79" spans="1:9">
      <c r="A79" s="45"/>
      <c r="B79" s="45" t="str">
        <f t="shared" si="4"/>
        <v>Crop suplement</v>
      </c>
      <c r="C79" s="46" t="str">
        <f t="shared" si="4"/>
        <v>Riel/1000m2</v>
      </c>
      <c r="D79" s="49">
        <f>+D58*D72</f>
        <v>0</v>
      </c>
    </row>
    <row r="80" spans="1:9">
      <c r="A80" s="45"/>
      <c r="B80" s="45" t="str">
        <f t="shared" si="4"/>
        <v>Water pumping</v>
      </c>
      <c r="C80" s="46" t="str">
        <f t="shared" si="4"/>
        <v>Riel/1000m2</v>
      </c>
      <c r="D80" s="49">
        <f>+D59*D73</f>
        <v>52216.118431392431</v>
      </c>
    </row>
    <row r="81" spans="1:4">
      <c r="A81" s="66"/>
      <c r="B81" s="45" t="str">
        <f t="shared" si="4"/>
        <v>Land preparation/ripping</v>
      </c>
      <c r="C81" s="46" t="str">
        <f t="shared" si="4"/>
        <v>Riel/1000m2</v>
      </c>
      <c r="D81" s="49">
        <f>++D62*D$26</f>
        <v>21779</v>
      </c>
    </row>
    <row r="82" spans="1:4">
      <c r="A82" s="66"/>
      <c r="B82" s="45" t="str">
        <f t="shared" si="4"/>
        <v>Land preparation/ridging</v>
      </c>
      <c r="C82" s="46" t="str">
        <f t="shared" si="4"/>
        <v>Riel/1000m2</v>
      </c>
      <c r="D82" s="49">
        <f t="shared" ref="D82:D86" si="6">++D63*D$26</f>
        <v>0</v>
      </c>
    </row>
    <row r="83" spans="1:4">
      <c r="A83" s="66"/>
      <c r="B83" s="45" t="str">
        <f t="shared" si="4"/>
        <v>Sowing/planting</v>
      </c>
      <c r="C83" s="46" t="str">
        <f t="shared" si="4"/>
        <v>Riel/1000m2</v>
      </c>
      <c r="D83" s="49">
        <f t="shared" si="6"/>
        <v>32668.5</v>
      </c>
    </row>
    <row r="84" spans="1:4">
      <c r="A84" s="66"/>
      <c r="B84" s="45" t="str">
        <f t="shared" si="4"/>
        <v>Fertilizer application</v>
      </c>
      <c r="C84" s="46" t="str">
        <f t="shared" si="4"/>
        <v>Riel/1000m2</v>
      </c>
      <c r="D84" s="49">
        <f t="shared" si="6"/>
        <v>21779</v>
      </c>
    </row>
    <row r="85" spans="1:4">
      <c r="A85" s="66"/>
      <c r="B85" s="45" t="str">
        <f t="shared" si="4"/>
        <v>Pesticides application</v>
      </c>
      <c r="C85" s="46" t="str">
        <f t="shared" si="4"/>
        <v>Riel/1000m2</v>
      </c>
      <c r="D85" s="49">
        <f t="shared" si="6"/>
        <v>21779</v>
      </c>
    </row>
    <row r="86" spans="1:4">
      <c r="A86" s="66"/>
      <c r="B86" s="45" t="str">
        <f t="shared" si="4"/>
        <v>Harvesting</v>
      </c>
      <c r="C86" s="46" t="str">
        <f t="shared" si="4"/>
        <v>Riel/1000m2</v>
      </c>
      <c r="D86" s="49">
        <f t="shared" si="6"/>
        <v>43558</v>
      </c>
    </row>
    <row r="87" spans="1:4">
      <c r="A87" s="45"/>
      <c r="B87" s="45"/>
      <c r="C87" s="46"/>
      <c r="D87" s="49"/>
    </row>
    <row r="88" spans="1:4">
      <c r="A88" s="45" t="s">
        <v>340</v>
      </c>
      <c r="B88" s="45" t="str">
        <f t="shared" ref="B88:C91" si="7">B39</f>
        <v>Land cost</v>
      </c>
      <c r="C88" s="46" t="str">
        <f t="shared" si="7"/>
        <v>Riel/1000m2</v>
      </c>
      <c r="D88" s="49">
        <v>0</v>
      </c>
    </row>
    <row r="89" spans="1:4">
      <c r="A89" s="45"/>
      <c r="B89" s="45" t="str">
        <f t="shared" si="7"/>
        <v>Input cost</v>
      </c>
      <c r="C89" s="46" t="str">
        <f t="shared" si="7"/>
        <v>Riel/1000m2</v>
      </c>
      <c r="D89" s="49">
        <f>SUM(D76:D80)</f>
        <v>129865.24594190116</v>
      </c>
    </row>
    <row r="90" spans="1:4">
      <c r="A90" s="56"/>
      <c r="B90" s="45" t="str">
        <f t="shared" si="7"/>
        <v>Labour cost</v>
      </c>
      <c r="C90" s="46" t="str">
        <f t="shared" si="7"/>
        <v>Riel/1000m2</v>
      </c>
      <c r="D90" s="49">
        <f>SUM(D81:D86)</f>
        <v>141563.5</v>
      </c>
    </row>
    <row r="91" spans="1:4">
      <c r="A91" s="66"/>
      <c r="B91" s="45" t="str">
        <f t="shared" si="7"/>
        <v>Interest (50% of total costs)</v>
      </c>
      <c r="C91" s="46" t="str">
        <f t="shared" si="7"/>
        <v>Riel/1000m2</v>
      </c>
      <c r="D91" s="49">
        <f>+SUM(D88:D89)*D74*D60*50%</f>
        <v>0</v>
      </c>
    </row>
    <row r="92" spans="1:4">
      <c r="A92" s="66"/>
      <c r="B92" s="45"/>
      <c r="C92" s="46"/>
      <c r="D92" s="49"/>
    </row>
    <row r="93" spans="1:4">
      <c r="A93" s="48" t="s">
        <v>345</v>
      </c>
      <c r="B93" s="45" t="str">
        <f>B44</f>
        <v>Yield</v>
      </c>
      <c r="C93" s="46" t="str">
        <f>C44</f>
        <v>Kg/1000m2, wet</v>
      </c>
      <c r="D93" s="49">
        <f>D44</f>
        <v>150</v>
      </c>
    </row>
    <row r="94" spans="1:4">
      <c r="A94" s="48"/>
      <c r="B94" s="45" t="str">
        <f>B45</f>
        <v>Main product, selling price @ farm gate</v>
      </c>
      <c r="C94" s="46" t="str">
        <f>C45</f>
        <v>Riel/Kg, wet</v>
      </c>
      <c r="D94" s="203">
        <f>1500*I$73</f>
        <v>1433.3607460002922</v>
      </c>
    </row>
    <row r="95" spans="1:4">
      <c r="A95" s="66"/>
      <c r="B95" s="45" t="str">
        <f>B46</f>
        <v>Revenue</v>
      </c>
      <c r="C95" s="46" t="str">
        <f>C46</f>
        <v>Riel/1000m2</v>
      </c>
      <c r="D95" s="49">
        <f>+D94*D93</f>
        <v>215004.11190004385</v>
      </c>
    </row>
    <row r="96" spans="1:4">
      <c r="A96" s="56"/>
      <c r="B96" s="45"/>
      <c r="C96" s="46"/>
      <c r="D96" s="49"/>
    </row>
    <row r="97" spans="1:4">
      <c r="A97" s="66" t="str">
        <f>RiceAromatic!A97</f>
        <v>Performance</v>
      </c>
      <c r="B97" s="45" t="str">
        <f t="shared" ref="B97:C100" si="8">B48</f>
        <v>Gross margin (before family labour) [cash flow]</v>
      </c>
      <c r="C97" s="46" t="str">
        <f t="shared" si="8"/>
        <v>Riel/ha</v>
      </c>
      <c r="D97" s="58">
        <f>(D95-D88-D89-D91)*10</f>
        <v>851388.65958142688</v>
      </c>
    </row>
    <row r="98" spans="1:4">
      <c r="B98" s="45" t="str">
        <f t="shared" si="8"/>
        <v>Net margin (after family labour)</v>
      </c>
      <c r="C98" s="46" t="str">
        <f t="shared" si="8"/>
        <v>Riel/ha</v>
      </c>
      <c r="D98" s="60">
        <f>D97-D90</f>
        <v>709825.15958142688</v>
      </c>
    </row>
    <row r="99" spans="1:4">
      <c r="B99" s="45" t="str">
        <f t="shared" si="8"/>
        <v>Net margin (after family labour)</v>
      </c>
      <c r="C99" s="46" t="str">
        <f t="shared" si="8"/>
        <v>$/ha</v>
      </c>
      <c r="D99" s="61">
        <f>D98/CF!$I$6</f>
        <v>174.57578937073953</v>
      </c>
    </row>
    <row r="100" spans="1:4">
      <c r="B100" s="45" t="str">
        <f t="shared" si="8"/>
        <v>Returns to family labour</v>
      </c>
      <c r="C100" s="46" t="str">
        <f t="shared" si="8"/>
        <v>Riel/person day</v>
      </c>
      <c r="D100" s="58">
        <f>D97/SUM(D62:D67)</f>
        <v>130982.8707048349</v>
      </c>
    </row>
  </sheetData>
  <hyperlinks>
    <hyperlink ref="A1" location="ToC!A1" display=" Back to TOC" xr:uid="{76009FB4-6E8D-4DF1-A231-89F868A51F6F}"/>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007ED-A056-47E2-8C5F-A9017E591BCE}">
  <dimension ref="A1:I100"/>
  <sheetViews>
    <sheetView zoomScale="60" zoomScaleNormal="60" workbookViewId="0">
      <selection activeCell="D94" sqref="D94"/>
    </sheetView>
  </sheetViews>
  <sheetFormatPr defaultColWidth="8.7109375" defaultRowHeight="14.1"/>
  <cols>
    <col min="1" max="1" width="21.140625" style="65" customWidth="1"/>
    <col min="2" max="2" width="36.5703125" style="65" bestFit="1" customWidth="1"/>
    <col min="3" max="3" width="38.5703125" style="65" customWidth="1"/>
    <col min="4" max="4" width="14.85546875" style="65" bestFit="1" customWidth="1"/>
    <col min="5" max="7" width="8.7109375" style="65"/>
    <col min="8" max="8" width="37.85546875" style="65" customWidth="1"/>
    <col min="9" max="16384" width="8.7109375" style="65"/>
  </cols>
  <sheetData>
    <row r="1" spans="1:5" s="30" customFormat="1" ht="12.95">
      <c r="A1" s="29" t="s">
        <v>31</v>
      </c>
    </row>
    <row r="3" spans="1:5" s="95" customFormat="1">
      <c r="A3" s="97" t="s">
        <v>75</v>
      </c>
      <c r="E3" s="65"/>
    </row>
    <row r="4" spans="1:5">
      <c r="A4" s="62" t="s">
        <v>382</v>
      </c>
      <c r="B4" s="63"/>
      <c r="C4" s="63"/>
      <c r="D4" s="64"/>
    </row>
    <row r="5" spans="1:5">
      <c r="A5" s="41" t="s">
        <v>306</v>
      </c>
      <c r="B5" s="42"/>
      <c r="C5" s="43" t="s">
        <v>71</v>
      </c>
      <c r="D5" s="44"/>
      <c r="E5" s="205"/>
    </row>
    <row r="6" spans="1:5" ht="15.95">
      <c r="A6" s="45" t="s">
        <v>309</v>
      </c>
      <c r="B6" s="45" t="s">
        <v>310</v>
      </c>
      <c r="C6" s="46" t="s">
        <v>372</v>
      </c>
      <c r="D6" s="47">
        <v>160</v>
      </c>
      <c r="E6" s="205" t="s">
        <v>383</v>
      </c>
    </row>
    <row r="7" spans="1:5" ht="15.95">
      <c r="A7" s="45"/>
      <c r="B7" s="48" t="s">
        <v>312</v>
      </c>
      <c r="C7" s="46" t="s">
        <v>372</v>
      </c>
      <c r="D7" s="49">
        <v>450</v>
      </c>
    </row>
    <row r="8" spans="1:5">
      <c r="A8" s="45"/>
      <c r="B8" s="50" t="s">
        <v>313</v>
      </c>
      <c r="C8" s="50" t="s">
        <v>314</v>
      </c>
      <c r="D8" s="49">
        <v>0</v>
      </c>
    </row>
    <row r="9" spans="1:5">
      <c r="A9" s="45"/>
      <c r="B9" s="50" t="s">
        <v>315</v>
      </c>
      <c r="C9" s="50" t="s">
        <v>314</v>
      </c>
      <c r="D9" s="49">
        <v>0</v>
      </c>
    </row>
    <row r="10" spans="1:5">
      <c r="A10" s="45"/>
      <c r="B10" s="48" t="s">
        <v>316</v>
      </c>
      <c r="C10" s="50" t="s">
        <v>317</v>
      </c>
      <c r="D10" s="49">
        <v>0</v>
      </c>
    </row>
    <row r="11" spans="1:5">
      <c r="A11" s="45"/>
      <c r="B11" s="48" t="s">
        <v>318</v>
      </c>
      <c r="C11" s="50" t="s">
        <v>319</v>
      </c>
      <c r="D11" s="49">
        <v>0</v>
      </c>
    </row>
    <row r="12" spans="1:5">
      <c r="A12" s="66"/>
      <c r="B12" s="66"/>
      <c r="C12" s="66"/>
      <c r="D12" s="49"/>
    </row>
    <row r="13" spans="1:5" ht="15.95">
      <c r="A13" s="45" t="s">
        <v>320</v>
      </c>
      <c r="B13" s="50" t="s">
        <v>321</v>
      </c>
      <c r="C13" s="46" t="s">
        <v>376</v>
      </c>
      <c r="D13" s="74">
        <v>1</v>
      </c>
    </row>
    <row r="14" spans="1:5" ht="15.95">
      <c r="A14" s="48"/>
      <c r="B14" s="50" t="s">
        <v>323</v>
      </c>
      <c r="C14" s="46" t="s">
        <v>376</v>
      </c>
      <c r="D14" s="74">
        <v>0</v>
      </c>
    </row>
    <row r="15" spans="1:5" ht="15.95">
      <c r="A15" s="50"/>
      <c r="B15" s="45" t="s">
        <v>324</v>
      </c>
      <c r="C15" s="46" t="s">
        <v>376</v>
      </c>
      <c r="D15" s="74">
        <v>1.5</v>
      </c>
    </row>
    <row r="16" spans="1:5" ht="15.95">
      <c r="A16" s="53"/>
      <c r="B16" s="45" t="s">
        <v>325</v>
      </c>
      <c r="C16" s="46" t="s">
        <v>376</v>
      </c>
      <c r="D16" s="74">
        <v>1</v>
      </c>
    </row>
    <row r="17" spans="1:4" ht="15.95">
      <c r="A17" s="53"/>
      <c r="B17" s="45" t="s">
        <v>326</v>
      </c>
      <c r="C17" s="46" t="s">
        <v>376</v>
      </c>
      <c r="D17" s="74">
        <v>1</v>
      </c>
    </row>
    <row r="18" spans="1:4" ht="15.95">
      <c r="A18" s="53"/>
      <c r="B18" s="45" t="s">
        <v>327</v>
      </c>
      <c r="C18" s="46" t="s">
        <v>376</v>
      </c>
      <c r="D18" s="74">
        <v>2</v>
      </c>
    </row>
    <row r="19" spans="1:4">
      <c r="A19" s="53"/>
      <c r="B19" s="66"/>
      <c r="C19" s="66"/>
      <c r="D19" s="49"/>
    </row>
    <row r="20" spans="1:4">
      <c r="A20" s="45" t="s">
        <v>328</v>
      </c>
      <c r="B20" s="45" t="s">
        <v>329</v>
      </c>
      <c r="C20" s="46" t="s">
        <v>118</v>
      </c>
      <c r="D20" s="49">
        <v>10000</v>
      </c>
    </row>
    <row r="21" spans="1:4">
      <c r="A21" s="45"/>
      <c r="B21" s="48" t="s">
        <v>312</v>
      </c>
      <c r="C21" s="46" t="s">
        <v>118</v>
      </c>
      <c r="D21" s="49">
        <v>2700</v>
      </c>
    </row>
    <row r="22" spans="1:4">
      <c r="A22" s="45"/>
      <c r="B22" s="50" t="s">
        <v>313</v>
      </c>
      <c r="C22" s="46" t="s">
        <v>330</v>
      </c>
      <c r="D22" s="49">
        <v>0</v>
      </c>
    </row>
    <row r="23" spans="1:4">
      <c r="A23" s="45"/>
      <c r="B23" s="50" t="s">
        <v>315</v>
      </c>
      <c r="C23" s="46" t="s">
        <v>330</v>
      </c>
      <c r="D23" s="49">
        <v>0</v>
      </c>
    </row>
    <row r="24" spans="1:4">
      <c r="A24" s="66"/>
      <c r="B24" s="48" t="s">
        <v>316</v>
      </c>
      <c r="C24" s="50" t="s">
        <v>332</v>
      </c>
      <c r="D24" s="49">
        <v>0</v>
      </c>
    </row>
    <row r="25" spans="1:4">
      <c r="A25" s="66"/>
      <c r="B25" s="66" t="s">
        <v>333</v>
      </c>
      <c r="C25" s="66" t="s">
        <v>334</v>
      </c>
      <c r="D25" s="73">
        <v>0</v>
      </c>
    </row>
    <row r="26" spans="1:4">
      <c r="A26" s="66"/>
      <c r="B26" s="66" t="s">
        <v>335</v>
      </c>
      <c r="C26" s="46" t="s">
        <v>336</v>
      </c>
      <c r="D26" s="49">
        <v>21779</v>
      </c>
    </row>
    <row r="27" spans="1:4" ht="15.95">
      <c r="A27" s="66" t="s">
        <v>337</v>
      </c>
      <c r="B27" s="66" t="s">
        <v>338</v>
      </c>
      <c r="C27" s="46" t="s">
        <v>380</v>
      </c>
      <c r="D27" s="49">
        <f>+D6*D20</f>
        <v>1600000</v>
      </c>
    </row>
    <row r="28" spans="1:4" ht="15.95">
      <c r="A28" s="66"/>
      <c r="B28" s="48" t="s">
        <v>312</v>
      </c>
      <c r="C28" s="46" t="s">
        <v>380</v>
      </c>
      <c r="D28" s="49">
        <f>+D7*D21</f>
        <v>1215000</v>
      </c>
    </row>
    <row r="29" spans="1:4" ht="15.95">
      <c r="A29" s="45"/>
      <c r="B29" s="50" t="s">
        <v>313</v>
      </c>
      <c r="C29" s="46" t="s">
        <v>380</v>
      </c>
      <c r="D29" s="49">
        <f>+D8*D22</f>
        <v>0</v>
      </c>
    </row>
    <row r="30" spans="1:4" ht="15.95">
      <c r="A30" s="45"/>
      <c r="B30" s="50" t="s">
        <v>315</v>
      </c>
      <c r="C30" s="46" t="s">
        <v>380</v>
      </c>
      <c r="D30" s="49">
        <f>+D9*D23</f>
        <v>0</v>
      </c>
    </row>
    <row r="31" spans="1:4" ht="15.95">
      <c r="A31" s="45"/>
      <c r="B31" s="48" t="s">
        <v>316</v>
      </c>
      <c r="C31" s="46" t="s">
        <v>380</v>
      </c>
      <c r="D31" s="49">
        <f>+D10*D24</f>
        <v>0</v>
      </c>
    </row>
    <row r="32" spans="1:4" ht="15.95">
      <c r="A32" s="66"/>
      <c r="B32" s="50" t="s">
        <v>321</v>
      </c>
      <c r="C32" s="46" t="s">
        <v>380</v>
      </c>
      <c r="D32" s="49">
        <f>++D13*D$26</f>
        <v>21779</v>
      </c>
    </row>
    <row r="33" spans="1:4" ht="15.95">
      <c r="A33" s="66"/>
      <c r="B33" s="50" t="s">
        <v>323</v>
      </c>
      <c r="C33" s="46" t="s">
        <v>380</v>
      </c>
      <c r="D33" s="49">
        <f t="shared" ref="D33:D37" si="0">++D14*D$26</f>
        <v>0</v>
      </c>
    </row>
    <row r="34" spans="1:4" ht="15.95">
      <c r="A34" s="66"/>
      <c r="B34" s="45" t="s">
        <v>324</v>
      </c>
      <c r="C34" s="46" t="s">
        <v>380</v>
      </c>
      <c r="D34" s="49">
        <f t="shared" si="0"/>
        <v>32668.5</v>
      </c>
    </row>
    <row r="35" spans="1:4" ht="15.95">
      <c r="A35" s="66"/>
      <c r="B35" s="45" t="s">
        <v>325</v>
      </c>
      <c r="C35" s="46" t="s">
        <v>380</v>
      </c>
      <c r="D35" s="49">
        <f t="shared" si="0"/>
        <v>21779</v>
      </c>
    </row>
    <row r="36" spans="1:4" ht="15.95">
      <c r="A36" s="66"/>
      <c r="B36" s="45" t="s">
        <v>326</v>
      </c>
      <c r="C36" s="46" t="s">
        <v>380</v>
      </c>
      <c r="D36" s="49">
        <f t="shared" si="0"/>
        <v>21779</v>
      </c>
    </row>
    <row r="37" spans="1:4" ht="15.95">
      <c r="A37" s="66"/>
      <c r="B37" s="45" t="s">
        <v>327</v>
      </c>
      <c r="C37" s="46" t="s">
        <v>380</v>
      </c>
      <c r="D37" s="49">
        <f t="shared" si="0"/>
        <v>43558</v>
      </c>
    </row>
    <row r="38" spans="1:4">
      <c r="A38" s="45"/>
      <c r="B38" s="45"/>
      <c r="C38" s="45"/>
      <c r="D38" s="49"/>
    </row>
    <row r="39" spans="1:4" ht="15.95">
      <c r="A39" s="45" t="s">
        <v>340</v>
      </c>
      <c r="B39" s="45" t="s">
        <v>341</v>
      </c>
      <c r="C39" s="46" t="s">
        <v>380</v>
      </c>
      <c r="D39" s="49">
        <v>0</v>
      </c>
    </row>
    <row r="40" spans="1:4" ht="15.95">
      <c r="A40" s="45"/>
      <c r="B40" s="45" t="s">
        <v>342</v>
      </c>
      <c r="C40" s="46" t="s">
        <v>380</v>
      </c>
      <c r="D40" s="49">
        <f>SUM(D27:D31)</f>
        <v>2815000</v>
      </c>
    </row>
    <row r="41" spans="1:4" ht="15.95">
      <c r="A41" s="56"/>
      <c r="B41" s="56" t="s">
        <v>343</v>
      </c>
      <c r="C41" s="46" t="s">
        <v>380</v>
      </c>
      <c r="D41" s="49">
        <f>SUM(D32:D37)</f>
        <v>141563.5</v>
      </c>
    </row>
    <row r="42" spans="1:4" ht="15.95">
      <c r="A42" s="66"/>
      <c r="B42" s="66" t="s">
        <v>358</v>
      </c>
      <c r="C42" s="46" t="s">
        <v>380</v>
      </c>
      <c r="D42" s="49">
        <f>+SUM(D39:D40)*D25*D11*50%</f>
        <v>0</v>
      </c>
    </row>
    <row r="43" spans="1:4">
      <c r="A43" s="66"/>
      <c r="B43" s="66"/>
      <c r="C43" s="66"/>
      <c r="D43" s="49"/>
    </row>
    <row r="44" spans="1:4" ht="15.95">
      <c r="A44" s="48" t="s">
        <v>345</v>
      </c>
      <c r="B44" s="50" t="s">
        <v>346</v>
      </c>
      <c r="C44" s="46" t="s">
        <v>372</v>
      </c>
      <c r="D44" s="49">
        <v>2000</v>
      </c>
    </row>
    <row r="45" spans="1:4">
      <c r="A45" s="48"/>
      <c r="B45" s="56" t="s">
        <v>348</v>
      </c>
      <c r="C45" s="45" t="s">
        <v>118</v>
      </c>
      <c r="D45" s="49">
        <v>1500</v>
      </c>
    </row>
    <row r="46" spans="1:4" ht="15.95">
      <c r="A46" s="66"/>
      <c r="B46" s="66" t="s">
        <v>350</v>
      </c>
      <c r="C46" s="46" t="s">
        <v>380</v>
      </c>
      <c r="D46" s="49">
        <f>+D45*D44</f>
        <v>3000000</v>
      </c>
    </row>
    <row r="47" spans="1:4">
      <c r="A47" s="56"/>
      <c r="B47" s="56"/>
      <c r="C47" s="45"/>
      <c r="D47" s="49"/>
    </row>
    <row r="48" spans="1:4">
      <c r="A48" s="66" t="str">
        <f>RiceAromatic!A48</f>
        <v>Performance</v>
      </c>
      <c r="B48" s="66" t="str">
        <f>RiceAromatic!B48</f>
        <v>Gross margin (before family labour) [cash flow]</v>
      </c>
      <c r="C48" s="66" t="str">
        <f>RiceAromatic!C48</f>
        <v>Riel/ha</v>
      </c>
      <c r="D48" s="58">
        <f>(D46-D39-D40-D42)*10</f>
        <v>1850000</v>
      </c>
    </row>
    <row r="49" spans="1:5">
      <c r="B49" s="66" t="str">
        <f>RiceAromatic!B49</f>
        <v>Net margin (after family labour)</v>
      </c>
      <c r="C49" s="66" t="str">
        <f>RiceAromatic!C49</f>
        <v>Riel/ha</v>
      </c>
      <c r="D49" s="60">
        <f>D48-D41</f>
        <v>1708436.5</v>
      </c>
    </row>
    <row r="50" spans="1:5">
      <c r="B50" s="66" t="str">
        <f>RiceAromatic!B50</f>
        <v>Net margin (after family labour)</v>
      </c>
      <c r="C50" s="66" t="str">
        <f>RiceAromatic!C50</f>
        <v>$/ha</v>
      </c>
      <c r="D50" s="61">
        <f>D49/CF!I6</f>
        <v>420.17621741269062</v>
      </c>
    </row>
    <row r="51" spans="1:5">
      <c r="B51" s="66" t="str">
        <f>RiceAromatic!B51</f>
        <v>Returns to family labour</v>
      </c>
      <c r="C51" s="66" t="str">
        <f>RiceAromatic!C51</f>
        <v>Riel/person day</v>
      </c>
      <c r="D51" s="58">
        <f>D48/SUM(D13:D18)</f>
        <v>284615.38461538462</v>
      </c>
    </row>
    <row r="52" spans="1:5">
      <c r="B52" s="66" t="s">
        <v>356</v>
      </c>
      <c r="C52" s="66" t="str">
        <f>RiceAromatic!C52</f>
        <v>$/ha</v>
      </c>
      <c r="D52" s="58">
        <f>NPV(CF!$F$5,D50)</f>
        <v>396.82317364375558</v>
      </c>
    </row>
    <row r="53" spans="1:5">
      <c r="B53" s="66"/>
      <c r="C53" s="66"/>
    </row>
    <row r="54" spans="1:5" s="104" customFormat="1">
      <c r="A54" s="104" t="s">
        <v>76</v>
      </c>
      <c r="E54" s="204"/>
    </row>
    <row r="55" spans="1:5">
      <c r="A55" s="45" t="s">
        <v>309</v>
      </c>
      <c r="B55" s="45" t="str">
        <f>B6</f>
        <v>Seed rate</v>
      </c>
      <c r="C55" s="46" t="str">
        <f>C6</f>
        <v>Kg/1000m2</v>
      </c>
      <c r="D55" s="209">
        <f>D6</f>
        <v>160</v>
      </c>
      <c r="E55" s="205" t="s">
        <v>383</v>
      </c>
    </row>
    <row r="56" spans="1:5">
      <c r="A56" s="45"/>
      <c r="B56" s="45" t="str">
        <f t="shared" ref="B56:C60" si="1">B7</f>
        <v>Fertilizer</v>
      </c>
      <c r="C56" s="46" t="str">
        <f t="shared" si="1"/>
        <v>Kg/1000m2</v>
      </c>
      <c r="D56" s="209">
        <f t="shared" ref="D56:D66" si="2">D7</f>
        <v>450</v>
      </c>
    </row>
    <row r="57" spans="1:5">
      <c r="A57" s="45"/>
      <c r="B57" s="45" t="str">
        <f t="shared" si="1"/>
        <v>Insecticides and weedicides</v>
      </c>
      <c r="C57" s="46" t="str">
        <f t="shared" si="1"/>
        <v>bottle/ha</v>
      </c>
      <c r="D57" s="209">
        <f t="shared" si="2"/>
        <v>0</v>
      </c>
    </row>
    <row r="58" spans="1:5">
      <c r="A58" s="45"/>
      <c r="B58" s="45" t="str">
        <f t="shared" si="1"/>
        <v>Crop suplement</v>
      </c>
      <c r="C58" s="46" t="str">
        <f t="shared" si="1"/>
        <v>bottle/ha</v>
      </c>
      <c r="D58" s="209">
        <f t="shared" si="2"/>
        <v>0</v>
      </c>
    </row>
    <row r="59" spans="1:5">
      <c r="A59" s="45"/>
      <c r="B59" s="45" t="str">
        <f t="shared" si="1"/>
        <v>Water pumping</v>
      </c>
      <c r="C59" s="46" t="str">
        <f t="shared" si="1"/>
        <v>time/ha</v>
      </c>
      <c r="D59" s="209">
        <f t="shared" si="2"/>
        <v>0</v>
      </c>
    </row>
    <row r="60" spans="1:5">
      <c r="A60" s="45"/>
      <c r="B60" s="45" t="str">
        <f t="shared" si="1"/>
        <v>Interest period</v>
      </c>
      <c r="C60" s="46" t="str">
        <f t="shared" si="1"/>
        <v>month</v>
      </c>
      <c r="D60" s="209">
        <f t="shared" si="2"/>
        <v>0</v>
      </c>
    </row>
    <row r="61" spans="1:5">
      <c r="A61" s="66"/>
      <c r="B61" s="45"/>
      <c r="C61" s="46"/>
      <c r="D61" s="209"/>
    </row>
    <row r="62" spans="1:5">
      <c r="A62" s="45" t="s">
        <v>320</v>
      </c>
      <c r="B62" s="45" t="str">
        <f t="shared" ref="B62:C67" si="3">B13</f>
        <v>Land preparation/ripping</v>
      </c>
      <c r="C62" s="46" t="str">
        <f t="shared" si="3"/>
        <v>person-days/1000m2</v>
      </c>
      <c r="D62" s="209">
        <f t="shared" si="2"/>
        <v>1</v>
      </c>
    </row>
    <row r="63" spans="1:5">
      <c r="A63" s="48"/>
      <c r="B63" s="45" t="str">
        <f t="shared" si="3"/>
        <v>Land preparation/ridging</v>
      </c>
      <c r="C63" s="46" t="str">
        <f t="shared" si="3"/>
        <v>person-days/1000m2</v>
      </c>
      <c r="D63" s="209">
        <f t="shared" si="2"/>
        <v>0</v>
      </c>
    </row>
    <row r="64" spans="1:5">
      <c r="A64" s="50"/>
      <c r="B64" s="45" t="str">
        <f t="shared" si="3"/>
        <v>Sowing/planting</v>
      </c>
      <c r="C64" s="46" t="str">
        <f t="shared" si="3"/>
        <v>person-days/1000m2</v>
      </c>
      <c r="D64" s="209">
        <f t="shared" si="2"/>
        <v>1.5</v>
      </c>
    </row>
    <row r="65" spans="1:9">
      <c r="A65" s="53"/>
      <c r="B65" s="45" t="str">
        <f t="shared" si="3"/>
        <v>Fertilizer application</v>
      </c>
      <c r="C65" s="46" t="str">
        <f t="shared" si="3"/>
        <v>person-days/1000m2</v>
      </c>
      <c r="D65" s="209">
        <f t="shared" si="2"/>
        <v>1</v>
      </c>
    </row>
    <row r="66" spans="1:9">
      <c r="A66" s="53"/>
      <c r="B66" s="45" t="str">
        <f t="shared" si="3"/>
        <v>Pesticides application</v>
      </c>
      <c r="C66" s="46" t="str">
        <f t="shared" si="3"/>
        <v>person-days/1000m2</v>
      </c>
      <c r="D66" s="209">
        <f t="shared" si="2"/>
        <v>1</v>
      </c>
    </row>
    <row r="67" spans="1:9">
      <c r="A67" s="53"/>
      <c r="B67" s="45" t="str">
        <f t="shared" si="3"/>
        <v>Harvesting</v>
      </c>
      <c r="C67" s="46" t="str">
        <f t="shared" si="3"/>
        <v>person-days/1000m2</v>
      </c>
      <c r="D67" s="209">
        <f>D18</f>
        <v>2</v>
      </c>
    </row>
    <row r="68" spans="1:9">
      <c r="A68" s="53"/>
      <c r="B68" s="45"/>
      <c r="C68" s="46"/>
      <c r="D68" s="209"/>
    </row>
    <row r="69" spans="1:9">
      <c r="A69" s="45" t="s">
        <v>328</v>
      </c>
      <c r="B69" s="45" t="str">
        <f t="shared" ref="B69:C86" si="4">B20</f>
        <v>Seed, purchase price</v>
      </c>
      <c r="C69" s="46" t="str">
        <f t="shared" si="4"/>
        <v>Riel/Kg</v>
      </c>
      <c r="D69" s="209">
        <f t="shared" ref="D69" si="5">D20</f>
        <v>10000</v>
      </c>
    </row>
    <row r="70" spans="1:9">
      <c r="A70" s="45"/>
      <c r="B70" s="45" t="str">
        <f t="shared" si="4"/>
        <v>Fertilizer</v>
      </c>
      <c r="C70" s="46" t="str">
        <f t="shared" si="4"/>
        <v>Riel/Kg</v>
      </c>
      <c r="D70" s="105">
        <f>D21*I$72</f>
        <v>2358.3733981571754</v>
      </c>
      <c r="H70" s="65" t="str">
        <f>CF!A7</f>
        <v>Shadow exchange rate Factor (SERF)</v>
      </c>
      <c r="I70" s="202">
        <f>CF!B7</f>
        <v>1.1490704748349865</v>
      </c>
    </row>
    <row r="71" spans="1:9">
      <c r="A71" s="45"/>
      <c r="B71" s="45" t="str">
        <f t="shared" si="4"/>
        <v>Insecticides and weedicides</v>
      </c>
      <c r="C71" s="46" t="str">
        <f t="shared" si="4"/>
        <v>Riel/bottle</v>
      </c>
      <c r="D71" s="105">
        <f>D22*I$72</f>
        <v>0</v>
      </c>
      <c r="H71" s="65" t="str">
        <f>CF!A8</f>
        <v>Standard Conversion Factor (SCF)</v>
      </c>
      <c r="I71" s="202">
        <f>CF!B8</f>
        <v>0.87026864052320729</v>
      </c>
    </row>
    <row r="72" spans="1:9">
      <c r="A72" s="45"/>
      <c r="B72" s="45" t="str">
        <f t="shared" si="4"/>
        <v>Crop suplement</v>
      </c>
      <c r="C72" s="46" t="str">
        <f t="shared" si="4"/>
        <v>Riel/bottle</v>
      </c>
      <c r="D72" s="105">
        <f>D23*I$72</f>
        <v>0</v>
      </c>
      <c r="H72" s="65" t="str">
        <f>CF!A9</f>
        <v>Conversion Factor for imported chemicals</v>
      </c>
      <c r="I72" s="202">
        <f>CF!B9</f>
        <v>0.87347162894710195</v>
      </c>
    </row>
    <row r="73" spans="1:9">
      <c r="A73" s="66"/>
      <c r="B73" s="45" t="str">
        <f t="shared" si="4"/>
        <v>Water pumping</v>
      </c>
      <c r="C73" s="46" t="str">
        <f t="shared" si="4"/>
        <v>Riel/time/ha</v>
      </c>
      <c r="D73" s="105">
        <f>D24*I$71</f>
        <v>0</v>
      </c>
      <c r="H73" s="65" t="str">
        <f>CF!A10</f>
        <v>Conversion Factor for exported agric/ products</v>
      </c>
      <c r="I73" s="202">
        <f>CF!B10</f>
        <v>0.95557383066686152</v>
      </c>
    </row>
    <row r="74" spans="1:9">
      <c r="A74" s="66"/>
      <c r="B74" s="45" t="str">
        <f t="shared" si="4"/>
        <v>Interest rate</v>
      </c>
      <c r="C74" s="46" t="str">
        <f t="shared" si="4"/>
        <v>% per month</v>
      </c>
      <c r="D74" s="207">
        <v>0</v>
      </c>
      <c r="E74" s="208"/>
      <c r="H74" s="65" t="str">
        <f>CF!A11</f>
        <v>Shadow Wage Rate Factor (SWRF) a/</v>
      </c>
      <c r="I74" s="202">
        <f>CF!B11</f>
        <v>0.75</v>
      </c>
    </row>
    <row r="75" spans="1:9">
      <c r="A75" s="66"/>
      <c r="B75" s="45" t="str">
        <f t="shared" si="4"/>
        <v>Labour</v>
      </c>
      <c r="C75" s="46" t="str">
        <f t="shared" si="4"/>
        <v>Riel/person day</v>
      </c>
      <c r="D75" s="105">
        <f>21779*I$74</f>
        <v>16334.25</v>
      </c>
    </row>
    <row r="76" spans="1:9">
      <c r="A76" s="66" t="s">
        <v>337</v>
      </c>
      <c r="B76" s="45" t="str">
        <f t="shared" si="4"/>
        <v>Seed</v>
      </c>
      <c r="C76" s="46" t="str">
        <f t="shared" si="4"/>
        <v>Riel/1000m2</v>
      </c>
      <c r="D76" s="49">
        <f>+D55*D69</f>
        <v>1600000</v>
      </c>
    </row>
    <row r="77" spans="1:9">
      <c r="A77" s="66"/>
      <c r="B77" s="45" t="str">
        <f t="shared" si="4"/>
        <v>Fertilizer</v>
      </c>
      <c r="C77" s="46" t="str">
        <f t="shared" si="4"/>
        <v>Riel/1000m2</v>
      </c>
      <c r="D77" s="49">
        <f>+D56*D70</f>
        <v>1061268.029170729</v>
      </c>
    </row>
    <row r="78" spans="1:9">
      <c r="A78" s="45"/>
      <c r="B78" s="45" t="str">
        <f t="shared" si="4"/>
        <v>Insecticides and weedicides</v>
      </c>
      <c r="C78" s="46" t="str">
        <f t="shared" si="4"/>
        <v>Riel/1000m2</v>
      </c>
      <c r="D78" s="49">
        <f>+D57*D71</f>
        <v>0</v>
      </c>
    </row>
    <row r="79" spans="1:9">
      <c r="A79" s="45"/>
      <c r="B79" s="45" t="str">
        <f t="shared" si="4"/>
        <v>Crop suplement</v>
      </c>
      <c r="C79" s="46" t="str">
        <f t="shared" si="4"/>
        <v>Riel/1000m2</v>
      </c>
      <c r="D79" s="49">
        <f>+D58*D72</f>
        <v>0</v>
      </c>
    </row>
    <row r="80" spans="1:9">
      <c r="A80" s="45"/>
      <c r="B80" s="45" t="str">
        <f t="shared" si="4"/>
        <v>Water pumping</v>
      </c>
      <c r="C80" s="46" t="str">
        <f t="shared" si="4"/>
        <v>Riel/1000m2</v>
      </c>
      <c r="D80" s="49">
        <f>+D59*D73</f>
        <v>0</v>
      </c>
    </row>
    <row r="81" spans="1:4">
      <c r="A81" s="66"/>
      <c r="B81" s="45" t="str">
        <f t="shared" si="4"/>
        <v>Land preparation/ripping</v>
      </c>
      <c r="C81" s="46" t="str">
        <f t="shared" si="4"/>
        <v>Riel/1000m2</v>
      </c>
      <c r="D81" s="49">
        <f>++D62*D$26</f>
        <v>21779</v>
      </c>
    </row>
    <row r="82" spans="1:4">
      <c r="A82" s="66"/>
      <c r="B82" s="45" t="str">
        <f t="shared" si="4"/>
        <v>Land preparation/ridging</v>
      </c>
      <c r="C82" s="46" t="str">
        <f t="shared" si="4"/>
        <v>Riel/1000m2</v>
      </c>
      <c r="D82" s="49">
        <f t="shared" ref="D82:D86" si="6">++D63*D$26</f>
        <v>0</v>
      </c>
    </row>
    <row r="83" spans="1:4">
      <c r="A83" s="66"/>
      <c r="B83" s="45" t="str">
        <f t="shared" si="4"/>
        <v>Sowing/planting</v>
      </c>
      <c r="C83" s="46" t="str">
        <f t="shared" si="4"/>
        <v>Riel/1000m2</v>
      </c>
      <c r="D83" s="49">
        <f t="shared" si="6"/>
        <v>32668.5</v>
      </c>
    </row>
    <row r="84" spans="1:4">
      <c r="A84" s="66"/>
      <c r="B84" s="45" t="str">
        <f t="shared" si="4"/>
        <v>Fertilizer application</v>
      </c>
      <c r="C84" s="46" t="str">
        <f t="shared" si="4"/>
        <v>Riel/1000m2</v>
      </c>
      <c r="D84" s="49">
        <f t="shared" si="6"/>
        <v>21779</v>
      </c>
    </row>
    <row r="85" spans="1:4">
      <c r="A85" s="66"/>
      <c r="B85" s="45" t="str">
        <f t="shared" si="4"/>
        <v>Pesticides application</v>
      </c>
      <c r="C85" s="46" t="str">
        <f t="shared" si="4"/>
        <v>Riel/1000m2</v>
      </c>
      <c r="D85" s="49">
        <f t="shared" si="6"/>
        <v>21779</v>
      </c>
    </row>
    <row r="86" spans="1:4">
      <c r="A86" s="66"/>
      <c r="B86" s="45" t="str">
        <f t="shared" si="4"/>
        <v>Harvesting</v>
      </c>
      <c r="C86" s="46" t="str">
        <f t="shared" si="4"/>
        <v>Riel/1000m2</v>
      </c>
      <c r="D86" s="49">
        <f t="shared" si="6"/>
        <v>43558</v>
      </c>
    </row>
    <row r="87" spans="1:4">
      <c r="A87" s="45"/>
      <c r="B87" s="45"/>
      <c r="C87" s="46"/>
      <c r="D87" s="49"/>
    </row>
    <row r="88" spans="1:4">
      <c r="A88" s="45" t="s">
        <v>340</v>
      </c>
      <c r="B88" s="45" t="str">
        <f t="shared" ref="B88:C91" si="7">B39</f>
        <v>Land cost</v>
      </c>
      <c r="C88" s="46" t="str">
        <f t="shared" si="7"/>
        <v>Riel/1000m2</v>
      </c>
      <c r="D88" s="49">
        <v>0</v>
      </c>
    </row>
    <row r="89" spans="1:4">
      <c r="A89" s="45"/>
      <c r="B89" s="45" t="str">
        <f t="shared" si="7"/>
        <v>Input cost</v>
      </c>
      <c r="C89" s="46" t="str">
        <f t="shared" si="7"/>
        <v>Riel/1000m2</v>
      </c>
      <c r="D89" s="49">
        <f>SUM(D76:D80)</f>
        <v>2661268.0291707292</v>
      </c>
    </row>
    <row r="90" spans="1:4">
      <c r="A90" s="56"/>
      <c r="B90" s="45" t="str">
        <f t="shared" si="7"/>
        <v>Labour cost</v>
      </c>
      <c r="C90" s="46" t="str">
        <f t="shared" si="7"/>
        <v>Riel/1000m2</v>
      </c>
      <c r="D90" s="49">
        <f>SUM(D81:D86)</f>
        <v>141563.5</v>
      </c>
    </row>
    <row r="91" spans="1:4">
      <c r="A91" s="66"/>
      <c r="B91" s="45" t="str">
        <f t="shared" si="7"/>
        <v>Interest (50% of total costs)</v>
      </c>
      <c r="C91" s="46" t="str">
        <f t="shared" si="7"/>
        <v>Riel/1000m2</v>
      </c>
      <c r="D91" s="49">
        <f>+SUM(D88:D89)*D74*D60*50%</f>
        <v>0</v>
      </c>
    </row>
    <row r="92" spans="1:4">
      <c r="A92" s="66"/>
      <c r="B92" s="45"/>
      <c r="C92" s="46"/>
      <c r="D92" s="49"/>
    </row>
    <row r="93" spans="1:4">
      <c r="A93" s="48" t="s">
        <v>345</v>
      </c>
      <c r="B93" s="45" t="str">
        <f>B44</f>
        <v>Yield</v>
      </c>
      <c r="C93" s="46" t="str">
        <f>C44</f>
        <v>Kg/1000m2</v>
      </c>
      <c r="D93" s="49">
        <f>D44</f>
        <v>2000</v>
      </c>
    </row>
    <row r="94" spans="1:4">
      <c r="A94" s="48"/>
      <c r="B94" s="45" t="str">
        <f>B45</f>
        <v>Main product, selling price @ farm gate</v>
      </c>
      <c r="C94" s="46" t="str">
        <f>C45</f>
        <v>Riel/Kg</v>
      </c>
      <c r="D94" s="203">
        <f>1500*I$73</f>
        <v>1433.3607460002922</v>
      </c>
    </row>
    <row r="95" spans="1:4">
      <c r="A95" s="66"/>
      <c r="B95" s="45" t="str">
        <f>B46</f>
        <v>Revenue</v>
      </c>
      <c r="C95" s="46" t="str">
        <f>C46</f>
        <v>Riel/1000m2</v>
      </c>
      <c r="D95" s="49">
        <f>+D94*D93</f>
        <v>2866721.4920005845</v>
      </c>
    </row>
    <row r="96" spans="1:4">
      <c r="A96" s="56"/>
      <c r="B96" s="45"/>
      <c r="C96" s="46"/>
      <c r="D96" s="49"/>
    </row>
    <row r="97" spans="1:4">
      <c r="A97" s="66" t="str">
        <f>RiceAromatic!A97</f>
        <v>Performance</v>
      </c>
      <c r="B97" s="45" t="str">
        <f t="shared" ref="B97:C100" si="8">B48</f>
        <v>Gross margin (before family labour) [cash flow]</v>
      </c>
      <c r="C97" s="46" t="str">
        <f t="shared" si="8"/>
        <v>Riel/ha</v>
      </c>
      <c r="D97" s="58">
        <f>(D95-D88-D89-D91)*10</f>
        <v>2054534.6282985527</v>
      </c>
    </row>
    <row r="98" spans="1:4">
      <c r="B98" s="45" t="str">
        <f t="shared" si="8"/>
        <v>Net margin (after family labour)</v>
      </c>
      <c r="C98" s="46" t="str">
        <f t="shared" si="8"/>
        <v>Riel/ha</v>
      </c>
      <c r="D98" s="60">
        <f>D97-D90</f>
        <v>1912971.1282985527</v>
      </c>
    </row>
    <row r="99" spans="1:4">
      <c r="B99" s="45" t="str">
        <f t="shared" si="8"/>
        <v>Net margin (after family labour)</v>
      </c>
      <c r="C99" s="46" t="str">
        <f t="shared" si="8"/>
        <v>$/ha</v>
      </c>
      <c r="D99" s="61">
        <f>D98/CF!$I$6</f>
        <v>470.47986431346601</v>
      </c>
    </row>
    <row r="100" spans="1:4">
      <c r="B100" s="45" t="str">
        <f t="shared" si="8"/>
        <v>Returns to family labour</v>
      </c>
      <c r="C100" s="46" t="str">
        <f t="shared" si="8"/>
        <v>Riel/person day</v>
      </c>
      <c r="D100" s="58">
        <f>D97/SUM(D62:D67)</f>
        <v>316082.25050746964</v>
      </c>
    </row>
  </sheetData>
  <hyperlinks>
    <hyperlink ref="A1" location="ToC!A1" display=" Back to TOC" xr:uid="{DBF7C3ED-B6AE-4894-978C-457D55C1351B}"/>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74155-0C5C-46E3-BE6F-09513212619B}">
  <dimension ref="A1:I100"/>
  <sheetViews>
    <sheetView topLeftCell="A38" zoomScale="80" zoomScaleNormal="80" workbookViewId="0">
      <selection activeCell="D94" sqref="D94"/>
    </sheetView>
  </sheetViews>
  <sheetFormatPr defaultColWidth="8.7109375" defaultRowHeight="14.1"/>
  <cols>
    <col min="1" max="1" width="34.85546875" style="65" customWidth="1"/>
    <col min="2" max="2" width="36.140625" style="65" bestFit="1" customWidth="1"/>
    <col min="3" max="3" width="13.7109375" style="65" bestFit="1" customWidth="1"/>
    <col min="4" max="4" width="14.85546875" style="65" bestFit="1" customWidth="1"/>
    <col min="5" max="7" width="8.7109375" style="65"/>
    <col min="8" max="8" width="37.85546875" style="65" customWidth="1"/>
    <col min="9" max="16384" width="8.7109375" style="65"/>
  </cols>
  <sheetData>
    <row r="1" spans="1:5" s="30" customFormat="1" ht="12.95">
      <c r="A1" s="29" t="s">
        <v>31</v>
      </c>
    </row>
    <row r="3" spans="1:5" s="95" customFormat="1">
      <c r="A3" s="97" t="s">
        <v>75</v>
      </c>
      <c r="E3" s="65"/>
    </row>
    <row r="4" spans="1:5" s="70" customFormat="1">
      <c r="A4" s="62" t="s">
        <v>22</v>
      </c>
      <c r="B4" s="62"/>
      <c r="C4" s="62"/>
      <c r="D4" s="69"/>
    </row>
    <row r="5" spans="1:5">
      <c r="A5" s="41" t="s">
        <v>306</v>
      </c>
      <c r="B5" s="42"/>
      <c r="C5" s="43" t="s">
        <v>71</v>
      </c>
      <c r="D5" s="44"/>
      <c r="E5" s="205"/>
    </row>
    <row r="6" spans="1:5">
      <c r="A6" s="45" t="s">
        <v>309</v>
      </c>
      <c r="B6" s="45" t="s">
        <v>310</v>
      </c>
      <c r="C6" s="46" t="s">
        <v>384</v>
      </c>
      <c r="D6" s="47">
        <v>75</v>
      </c>
    </row>
    <row r="7" spans="1:5">
      <c r="A7" s="45"/>
      <c r="B7" s="48" t="s">
        <v>312</v>
      </c>
      <c r="C7" s="48" t="s">
        <v>361</v>
      </c>
      <c r="D7" s="49">
        <v>6</v>
      </c>
    </row>
    <row r="8" spans="1:5">
      <c r="A8" s="45"/>
      <c r="B8" s="50" t="s">
        <v>313</v>
      </c>
      <c r="C8" s="50" t="s">
        <v>362</v>
      </c>
      <c r="D8" s="49">
        <v>1</v>
      </c>
    </row>
    <row r="9" spans="1:5">
      <c r="A9" s="45"/>
      <c r="B9" s="50" t="s">
        <v>315</v>
      </c>
      <c r="C9" s="50" t="s">
        <v>314</v>
      </c>
      <c r="D9" s="49">
        <v>0</v>
      </c>
    </row>
    <row r="10" spans="1:5">
      <c r="A10" s="45"/>
      <c r="B10" s="48" t="s">
        <v>316</v>
      </c>
      <c r="C10" s="50" t="s">
        <v>317</v>
      </c>
      <c r="D10" s="49">
        <v>315</v>
      </c>
    </row>
    <row r="11" spans="1:5">
      <c r="A11" s="45"/>
      <c r="B11" s="48" t="s">
        <v>318</v>
      </c>
      <c r="C11" s="50" t="s">
        <v>319</v>
      </c>
      <c r="D11" s="49">
        <v>3.5</v>
      </c>
    </row>
    <row r="12" spans="1:5">
      <c r="A12" s="66"/>
      <c r="B12" s="66"/>
      <c r="C12" s="66"/>
      <c r="D12" s="49"/>
    </row>
    <row r="13" spans="1:5">
      <c r="A13" s="45" t="s">
        <v>320</v>
      </c>
      <c r="B13" s="50" t="s">
        <v>321</v>
      </c>
      <c r="C13" s="48" t="str">
        <f>'Rice-non aromatic'!C13</f>
        <v>person-days/ha</v>
      </c>
      <c r="D13" s="74">
        <f>WaterConvolvulus!D13*10</f>
        <v>10</v>
      </c>
    </row>
    <row r="14" spans="1:5">
      <c r="A14" s="48"/>
      <c r="B14" s="50" t="s">
        <v>323</v>
      </c>
      <c r="C14" s="48" t="str">
        <f>'Rice-non aromatic'!C14</f>
        <v>person-days/ha</v>
      </c>
      <c r="D14" s="74">
        <f>WaterConvolvulus!D14*10</f>
        <v>0</v>
      </c>
    </row>
    <row r="15" spans="1:5">
      <c r="A15" s="50"/>
      <c r="B15" s="45" t="s">
        <v>324</v>
      </c>
      <c r="C15" s="48" t="str">
        <f>'Rice-non aromatic'!C15</f>
        <v>person-days/ha</v>
      </c>
      <c r="D15" s="74">
        <f>WaterConvolvulus!D15*10</f>
        <v>15</v>
      </c>
    </row>
    <row r="16" spans="1:5">
      <c r="A16" s="53"/>
      <c r="B16" s="45" t="s">
        <v>325</v>
      </c>
      <c r="C16" s="48" t="str">
        <f>'Rice-non aromatic'!C16</f>
        <v>person-days/ha</v>
      </c>
      <c r="D16" s="74">
        <f>WaterConvolvulus!D16*10</f>
        <v>10</v>
      </c>
    </row>
    <row r="17" spans="1:4">
      <c r="A17" s="53"/>
      <c r="B17" s="45" t="s">
        <v>326</v>
      </c>
      <c r="C17" s="48" t="str">
        <f>'Rice-non aromatic'!C17</f>
        <v>person-days/ha</v>
      </c>
      <c r="D17" s="74">
        <f>WaterConvolvulus!D17*10</f>
        <v>10</v>
      </c>
    </row>
    <row r="18" spans="1:4">
      <c r="A18" s="53"/>
      <c r="B18" s="45" t="s">
        <v>327</v>
      </c>
      <c r="C18" s="48" t="str">
        <f>'Rice-non aromatic'!C18</f>
        <v>person-days/ha</v>
      </c>
      <c r="D18" s="74">
        <f>WaterConvolvulus!D18*10</f>
        <v>20</v>
      </c>
    </row>
    <row r="19" spans="1:4">
      <c r="A19" s="53"/>
      <c r="B19" s="66"/>
      <c r="C19" s="66"/>
      <c r="D19" s="49"/>
    </row>
    <row r="20" spans="1:4">
      <c r="A20" s="45" t="s">
        <v>328</v>
      </c>
      <c r="B20" s="45" t="s">
        <v>329</v>
      </c>
      <c r="C20" s="46" t="s">
        <v>378</v>
      </c>
      <c r="D20" s="49">
        <v>8000</v>
      </c>
    </row>
    <row r="21" spans="1:4">
      <c r="A21" s="45"/>
      <c r="B21" s="48" t="s">
        <v>312</v>
      </c>
      <c r="C21" s="46" t="s">
        <v>365</v>
      </c>
      <c r="D21" s="49">
        <v>100000</v>
      </c>
    </row>
    <row r="22" spans="1:4">
      <c r="A22" s="45"/>
      <c r="B22" s="50" t="s">
        <v>313</v>
      </c>
      <c r="C22" s="46" t="s">
        <v>385</v>
      </c>
      <c r="D22" s="49">
        <v>1530000</v>
      </c>
    </row>
    <row r="23" spans="1:4">
      <c r="A23" s="45"/>
      <c r="B23" s="50" t="s">
        <v>315</v>
      </c>
      <c r="C23" s="46" t="s">
        <v>330</v>
      </c>
      <c r="D23" s="49">
        <v>0</v>
      </c>
    </row>
    <row r="24" spans="1:4">
      <c r="A24" s="66"/>
      <c r="B24" s="48" t="s">
        <v>316</v>
      </c>
      <c r="C24" s="50" t="s">
        <v>332</v>
      </c>
      <c r="D24" s="49">
        <v>22800</v>
      </c>
    </row>
    <row r="25" spans="1:4">
      <c r="A25" s="66"/>
      <c r="B25" s="66" t="s">
        <v>333</v>
      </c>
      <c r="C25" s="66" t="s">
        <v>334</v>
      </c>
      <c r="D25" s="73">
        <v>0</v>
      </c>
    </row>
    <row r="26" spans="1:4">
      <c r="A26" s="66"/>
      <c r="B26" s="66" t="s">
        <v>335</v>
      </c>
      <c r="C26" s="46" t="s">
        <v>336</v>
      </c>
      <c r="D26" s="49">
        <v>21779</v>
      </c>
    </row>
    <row r="27" spans="1:4">
      <c r="A27" s="66" t="s">
        <v>337</v>
      </c>
      <c r="B27" s="66" t="s">
        <v>338</v>
      </c>
      <c r="C27" s="66" t="s">
        <v>339</v>
      </c>
      <c r="D27" s="49">
        <f>+D6*D20</f>
        <v>600000</v>
      </c>
    </row>
    <row r="28" spans="1:4">
      <c r="A28" s="66"/>
      <c r="B28" s="48" t="s">
        <v>312</v>
      </c>
      <c r="C28" s="66" t="s">
        <v>339</v>
      </c>
      <c r="D28" s="49">
        <f>+D7*D21</f>
        <v>600000</v>
      </c>
    </row>
    <row r="29" spans="1:4">
      <c r="A29" s="45"/>
      <c r="B29" s="50" t="s">
        <v>313</v>
      </c>
      <c r="C29" s="66" t="s">
        <v>339</v>
      </c>
      <c r="D29" s="49">
        <f>+D8*D22</f>
        <v>1530000</v>
      </c>
    </row>
    <row r="30" spans="1:4">
      <c r="A30" s="45"/>
      <c r="B30" s="50" t="s">
        <v>315</v>
      </c>
      <c r="C30" s="66" t="s">
        <v>339</v>
      </c>
      <c r="D30" s="49">
        <f>+D9*D23</f>
        <v>0</v>
      </c>
    </row>
    <row r="31" spans="1:4">
      <c r="A31" s="45"/>
      <c r="B31" s="48" t="s">
        <v>316</v>
      </c>
      <c r="C31" s="66" t="s">
        <v>339</v>
      </c>
      <c r="D31" s="49">
        <f>+D10*D24</f>
        <v>7182000</v>
      </c>
    </row>
    <row r="32" spans="1:4">
      <c r="A32" s="66"/>
      <c r="B32" s="50" t="s">
        <v>321</v>
      </c>
      <c r="C32" s="66" t="s">
        <v>339</v>
      </c>
      <c r="D32" s="49">
        <f>++D13*D$26</f>
        <v>217790</v>
      </c>
    </row>
    <row r="33" spans="1:4">
      <c r="A33" s="66"/>
      <c r="B33" s="50" t="s">
        <v>323</v>
      </c>
      <c r="C33" s="66" t="s">
        <v>339</v>
      </c>
      <c r="D33" s="49">
        <f t="shared" ref="D33:D37" si="0">++D14*D$26</f>
        <v>0</v>
      </c>
    </row>
    <row r="34" spans="1:4">
      <c r="A34" s="66"/>
      <c r="B34" s="45" t="s">
        <v>324</v>
      </c>
      <c r="C34" s="66" t="s">
        <v>339</v>
      </c>
      <c r="D34" s="49">
        <f t="shared" si="0"/>
        <v>326685</v>
      </c>
    </row>
    <row r="35" spans="1:4">
      <c r="A35" s="66"/>
      <c r="B35" s="45" t="s">
        <v>325</v>
      </c>
      <c r="C35" s="66" t="s">
        <v>339</v>
      </c>
      <c r="D35" s="49">
        <f t="shared" si="0"/>
        <v>217790</v>
      </c>
    </row>
    <row r="36" spans="1:4">
      <c r="A36" s="66"/>
      <c r="B36" s="45" t="s">
        <v>326</v>
      </c>
      <c r="C36" s="66" t="s">
        <v>339</v>
      </c>
      <c r="D36" s="49">
        <f t="shared" si="0"/>
        <v>217790</v>
      </c>
    </row>
    <row r="37" spans="1:4">
      <c r="A37" s="66"/>
      <c r="B37" s="45" t="s">
        <v>327</v>
      </c>
      <c r="C37" s="66" t="s">
        <v>339</v>
      </c>
      <c r="D37" s="49">
        <f t="shared" si="0"/>
        <v>435580</v>
      </c>
    </row>
    <row r="38" spans="1:4">
      <c r="A38" s="45"/>
      <c r="B38" s="45"/>
      <c r="C38" s="45"/>
      <c r="D38" s="49"/>
    </row>
    <row r="39" spans="1:4">
      <c r="A39" s="45" t="s">
        <v>340</v>
      </c>
      <c r="B39" s="45" t="s">
        <v>341</v>
      </c>
      <c r="C39" s="45" t="s">
        <v>339</v>
      </c>
      <c r="D39" s="49">
        <v>0</v>
      </c>
    </row>
    <row r="40" spans="1:4">
      <c r="A40" s="45"/>
      <c r="B40" s="45" t="s">
        <v>342</v>
      </c>
      <c r="C40" s="45" t="s">
        <v>339</v>
      </c>
      <c r="D40" s="49">
        <f>SUM(D27:D31)</f>
        <v>9912000</v>
      </c>
    </row>
    <row r="41" spans="1:4">
      <c r="A41" s="56"/>
      <c r="B41" s="56" t="s">
        <v>343</v>
      </c>
      <c r="C41" s="45" t="s">
        <v>339</v>
      </c>
      <c r="D41" s="49">
        <f>SUM(D32:D37)</f>
        <v>1415635</v>
      </c>
    </row>
    <row r="42" spans="1:4">
      <c r="A42" s="66"/>
      <c r="B42" s="66" t="s">
        <v>386</v>
      </c>
      <c r="C42" s="66" t="s">
        <v>339</v>
      </c>
      <c r="D42" s="49">
        <f>+SUM(D39:D40)*D25*D11*50%</f>
        <v>0</v>
      </c>
    </row>
    <row r="43" spans="1:4">
      <c r="A43" s="66"/>
      <c r="B43" s="66"/>
      <c r="C43" s="66"/>
      <c r="D43" s="49"/>
    </row>
    <row r="44" spans="1:4">
      <c r="A44" s="48" t="s">
        <v>345</v>
      </c>
      <c r="B44" s="50" t="s">
        <v>346</v>
      </c>
      <c r="C44" s="48" t="s">
        <v>347</v>
      </c>
      <c r="D44" s="49">
        <v>27000</v>
      </c>
    </row>
    <row r="45" spans="1:4">
      <c r="A45" s="48"/>
      <c r="B45" s="56" t="s">
        <v>348</v>
      </c>
      <c r="C45" s="45" t="s">
        <v>349</v>
      </c>
      <c r="D45" s="49">
        <v>550</v>
      </c>
    </row>
    <row r="46" spans="1:4">
      <c r="A46" s="66"/>
      <c r="B46" s="66" t="s">
        <v>350</v>
      </c>
      <c r="C46" s="66" t="s">
        <v>339</v>
      </c>
      <c r="D46" s="49">
        <f>+D45*D44</f>
        <v>14850000</v>
      </c>
    </row>
    <row r="47" spans="1:4">
      <c r="A47" s="56"/>
      <c r="B47" s="56"/>
      <c r="C47" s="45"/>
      <c r="D47" s="49"/>
    </row>
    <row r="48" spans="1:4">
      <c r="A48" s="66" t="str">
        <f>RiceAromatic!A48</f>
        <v>Performance</v>
      </c>
      <c r="B48" s="66" t="str">
        <f>RiceAromatic!B48</f>
        <v>Gross margin (before family labour) [cash flow]</v>
      </c>
      <c r="C48" s="66" t="str">
        <f>RiceAromatic!C48</f>
        <v>Riel/ha</v>
      </c>
      <c r="D48" s="58">
        <f>D46-D39-D40-D42</f>
        <v>4938000</v>
      </c>
    </row>
    <row r="49" spans="1:5">
      <c r="B49" s="66" t="str">
        <f>RiceAromatic!B49</f>
        <v>Net margin (after family labour)</v>
      </c>
      <c r="C49" s="66" t="str">
        <f>RiceAromatic!C49</f>
        <v>Riel/ha</v>
      </c>
      <c r="D49" s="60">
        <f>D48-D41</f>
        <v>3522365</v>
      </c>
    </row>
    <row r="50" spans="1:5">
      <c r="B50" s="66" t="str">
        <f>RiceAromatic!B50</f>
        <v>Net margin (after family labour)</v>
      </c>
      <c r="C50" s="66" t="str">
        <f>RiceAromatic!C50</f>
        <v>$/ha</v>
      </c>
      <c r="D50" s="61">
        <f>D49/CF!I6</f>
        <v>866.29734382685683</v>
      </c>
    </row>
    <row r="51" spans="1:5">
      <c r="B51" s="66" t="str">
        <f>RiceAromatic!B51</f>
        <v>Returns to family labour</v>
      </c>
      <c r="C51" s="66" t="str">
        <f>RiceAromatic!C51</f>
        <v>Riel/person day</v>
      </c>
      <c r="D51" s="58">
        <f>D48/SUM(D13:D18)</f>
        <v>75969.230769230766</v>
      </c>
    </row>
    <row r="52" spans="1:5">
      <c r="B52" s="66" t="s">
        <v>356</v>
      </c>
      <c r="C52" s="66" t="str">
        <f>RiceAromatic!C52</f>
        <v>$/ha</v>
      </c>
      <c r="D52" s="58">
        <f>NPV(CF!$F$5,D50)</f>
        <v>818.1492598827565</v>
      </c>
    </row>
    <row r="53" spans="1:5">
      <c r="B53" s="66"/>
      <c r="C53" s="66"/>
    </row>
    <row r="54" spans="1:5" s="104" customFormat="1">
      <c r="A54" s="104" t="s">
        <v>76</v>
      </c>
      <c r="E54" s="204"/>
    </row>
    <row r="55" spans="1:5">
      <c r="A55" s="45" t="s">
        <v>309</v>
      </c>
      <c r="B55" s="45" t="str">
        <f>B6</f>
        <v>Seed rate</v>
      </c>
      <c r="C55" s="46" t="str">
        <f>C6</f>
        <v>pack/ha</v>
      </c>
      <c r="D55" s="209">
        <f>D6</f>
        <v>75</v>
      </c>
    </row>
    <row r="56" spans="1:5">
      <c r="A56" s="45"/>
      <c r="B56" s="45" t="str">
        <f t="shared" ref="B56:C60" si="1">B7</f>
        <v>Fertilizer</v>
      </c>
      <c r="C56" s="46" t="str">
        <f t="shared" si="1"/>
        <v>Bag/ha</v>
      </c>
      <c r="D56" s="209">
        <f t="shared" ref="D56:D66" si="2">D7</f>
        <v>6</v>
      </c>
    </row>
    <row r="57" spans="1:5">
      <c r="A57" s="45"/>
      <c r="B57" s="45" t="str">
        <f t="shared" si="1"/>
        <v>Insecticides and weedicides</v>
      </c>
      <c r="C57" s="46" t="str">
        <f t="shared" si="1"/>
        <v>(lump-sum)/ha</v>
      </c>
      <c r="D57" s="209">
        <f t="shared" si="2"/>
        <v>1</v>
      </c>
    </row>
    <row r="58" spans="1:5">
      <c r="A58" s="45"/>
      <c r="B58" s="45" t="str">
        <f t="shared" si="1"/>
        <v>Crop suplement</v>
      </c>
      <c r="C58" s="46" t="str">
        <f t="shared" si="1"/>
        <v>bottle/ha</v>
      </c>
      <c r="D58" s="209">
        <f t="shared" si="2"/>
        <v>0</v>
      </c>
    </row>
    <row r="59" spans="1:5">
      <c r="A59" s="45"/>
      <c r="B59" s="45" t="str">
        <f t="shared" si="1"/>
        <v>Water pumping</v>
      </c>
      <c r="C59" s="46" t="str">
        <f t="shared" si="1"/>
        <v>time/ha</v>
      </c>
      <c r="D59" s="209">
        <f t="shared" si="2"/>
        <v>315</v>
      </c>
    </row>
    <row r="60" spans="1:5">
      <c r="A60" s="45"/>
      <c r="B60" s="45" t="str">
        <f t="shared" si="1"/>
        <v>Interest period</v>
      </c>
      <c r="C60" s="46" t="str">
        <f t="shared" si="1"/>
        <v>month</v>
      </c>
      <c r="D60" s="209">
        <f t="shared" si="2"/>
        <v>3.5</v>
      </c>
    </row>
    <row r="61" spans="1:5">
      <c r="A61" s="66"/>
      <c r="B61" s="45"/>
      <c r="C61" s="46"/>
      <c r="D61" s="209"/>
    </row>
    <row r="62" spans="1:5">
      <c r="A62" s="45" t="s">
        <v>320</v>
      </c>
      <c r="B62" s="45" t="str">
        <f t="shared" ref="B62:C67" si="3">B13</f>
        <v>Land preparation/ripping</v>
      </c>
      <c r="C62" s="46" t="str">
        <f t="shared" si="3"/>
        <v>person-days/ha</v>
      </c>
      <c r="D62" s="209">
        <f t="shared" si="2"/>
        <v>10</v>
      </c>
    </row>
    <row r="63" spans="1:5">
      <c r="A63" s="48"/>
      <c r="B63" s="45" t="str">
        <f t="shared" si="3"/>
        <v>Land preparation/ridging</v>
      </c>
      <c r="C63" s="46" t="str">
        <f t="shared" si="3"/>
        <v>person-days/ha</v>
      </c>
      <c r="D63" s="209">
        <f t="shared" si="2"/>
        <v>0</v>
      </c>
    </row>
    <row r="64" spans="1:5">
      <c r="A64" s="50"/>
      <c r="B64" s="45" t="str">
        <f t="shared" si="3"/>
        <v>Sowing/planting</v>
      </c>
      <c r="C64" s="46" t="str">
        <f t="shared" si="3"/>
        <v>person-days/ha</v>
      </c>
      <c r="D64" s="209">
        <f t="shared" si="2"/>
        <v>15</v>
      </c>
    </row>
    <row r="65" spans="1:9">
      <c r="A65" s="53"/>
      <c r="B65" s="45" t="str">
        <f t="shared" si="3"/>
        <v>Fertilizer application</v>
      </c>
      <c r="C65" s="46" t="str">
        <f t="shared" si="3"/>
        <v>person-days/ha</v>
      </c>
      <c r="D65" s="209">
        <f t="shared" si="2"/>
        <v>10</v>
      </c>
    </row>
    <row r="66" spans="1:9">
      <c r="A66" s="53"/>
      <c r="B66" s="45" t="str">
        <f t="shared" si="3"/>
        <v>Pesticides application</v>
      </c>
      <c r="C66" s="46" t="str">
        <f t="shared" si="3"/>
        <v>person-days/ha</v>
      </c>
      <c r="D66" s="209">
        <f t="shared" si="2"/>
        <v>10</v>
      </c>
    </row>
    <row r="67" spans="1:9">
      <c r="A67" s="53"/>
      <c r="B67" s="45" t="str">
        <f t="shared" si="3"/>
        <v>Harvesting</v>
      </c>
      <c r="C67" s="46" t="str">
        <f t="shared" si="3"/>
        <v>person-days/ha</v>
      </c>
      <c r="D67" s="209">
        <f>D18</f>
        <v>20</v>
      </c>
    </row>
    <row r="68" spans="1:9">
      <c r="A68" s="53"/>
      <c r="B68" s="45"/>
      <c r="C68" s="46"/>
      <c r="D68" s="209"/>
    </row>
    <row r="69" spans="1:9">
      <c r="A69" s="45" t="s">
        <v>328</v>
      </c>
      <c r="B69" s="45" t="str">
        <f t="shared" ref="B69:C86" si="4">B20</f>
        <v>Seed, purchase price</v>
      </c>
      <c r="C69" s="46" t="str">
        <f t="shared" si="4"/>
        <v>Riel/pack</v>
      </c>
      <c r="D69" s="209">
        <f t="shared" ref="D69" si="5">D20</f>
        <v>8000</v>
      </c>
    </row>
    <row r="70" spans="1:9">
      <c r="A70" s="45"/>
      <c r="B70" s="45" t="str">
        <f t="shared" si="4"/>
        <v>Fertilizer</v>
      </c>
      <c r="C70" s="46" t="str">
        <f t="shared" si="4"/>
        <v>Riel/Bag</v>
      </c>
      <c r="D70" s="105">
        <f>D21*I$72</f>
        <v>87347.1628947102</v>
      </c>
      <c r="H70" s="65" t="str">
        <f>CF!A7</f>
        <v>Shadow exchange rate Factor (SERF)</v>
      </c>
      <c r="I70" s="202">
        <f>CF!B7</f>
        <v>1.1490704748349865</v>
      </c>
    </row>
    <row r="71" spans="1:9">
      <c r="A71" s="45"/>
      <c r="B71" s="45" t="str">
        <f t="shared" si="4"/>
        <v>Insecticides and weedicides</v>
      </c>
      <c r="C71" s="46" t="str">
        <f t="shared" si="4"/>
        <v>Riel/litre</v>
      </c>
      <c r="D71" s="105">
        <f>D22*I$72</f>
        <v>1336411.5922890659</v>
      </c>
      <c r="H71" s="65" t="str">
        <f>CF!A8</f>
        <v>Standard Conversion Factor (SCF)</v>
      </c>
      <c r="I71" s="202">
        <f>CF!B8</f>
        <v>0.87026864052320729</v>
      </c>
    </row>
    <row r="72" spans="1:9">
      <c r="A72" s="45"/>
      <c r="B72" s="45" t="str">
        <f t="shared" si="4"/>
        <v>Crop suplement</v>
      </c>
      <c r="C72" s="46" t="str">
        <f t="shared" si="4"/>
        <v>Riel/bottle</v>
      </c>
      <c r="D72" s="105">
        <f>D23*I$72</f>
        <v>0</v>
      </c>
      <c r="H72" s="65" t="str">
        <f>CF!A9</f>
        <v>Conversion Factor for imported chemicals</v>
      </c>
      <c r="I72" s="202">
        <f>CF!B9</f>
        <v>0.87347162894710195</v>
      </c>
    </row>
    <row r="73" spans="1:9">
      <c r="A73" s="66"/>
      <c r="B73" s="45" t="str">
        <f t="shared" si="4"/>
        <v>Water pumping</v>
      </c>
      <c r="C73" s="46" t="str">
        <f t="shared" si="4"/>
        <v>Riel/time/ha</v>
      </c>
      <c r="D73" s="105">
        <f>D24*I$71</f>
        <v>19842.125003929126</v>
      </c>
      <c r="H73" s="65" t="str">
        <f>CF!A10</f>
        <v>Conversion Factor for exported agric/ products</v>
      </c>
      <c r="I73" s="202">
        <f>CF!B10</f>
        <v>0.95557383066686152</v>
      </c>
    </row>
    <row r="74" spans="1:9">
      <c r="A74" s="66"/>
      <c r="B74" s="45" t="str">
        <f t="shared" si="4"/>
        <v>Interest rate</v>
      </c>
      <c r="C74" s="46" t="str">
        <f t="shared" si="4"/>
        <v>% per month</v>
      </c>
      <c r="D74" s="207">
        <v>0</v>
      </c>
      <c r="E74" s="208"/>
      <c r="H74" s="65" t="str">
        <f>CF!A11</f>
        <v>Shadow Wage Rate Factor (SWRF) a/</v>
      </c>
      <c r="I74" s="202">
        <f>CF!B11</f>
        <v>0.75</v>
      </c>
    </row>
    <row r="75" spans="1:9">
      <c r="A75" s="66"/>
      <c r="B75" s="45" t="str">
        <f t="shared" si="4"/>
        <v>Labour</v>
      </c>
      <c r="C75" s="46" t="str">
        <f t="shared" si="4"/>
        <v>Riel/person day</v>
      </c>
      <c r="D75" s="105">
        <f>RiceAromatic!D75</f>
        <v>16334.25</v>
      </c>
    </row>
    <row r="76" spans="1:9">
      <c r="A76" s="66" t="s">
        <v>337</v>
      </c>
      <c r="B76" s="45" t="str">
        <f t="shared" si="4"/>
        <v>Seed</v>
      </c>
      <c r="C76" s="46" t="str">
        <f t="shared" si="4"/>
        <v>Riel/ha</v>
      </c>
      <c r="D76" s="49">
        <f>+D55*D69</f>
        <v>600000</v>
      </c>
    </row>
    <row r="77" spans="1:9">
      <c r="A77" s="66"/>
      <c r="B77" s="45" t="str">
        <f t="shared" si="4"/>
        <v>Fertilizer</v>
      </c>
      <c r="C77" s="46" t="str">
        <f t="shared" si="4"/>
        <v>Riel/ha</v>
      </c>
      <c r="D77" s="49">
        <f>+D56*D70</f>
        <v>524082.9773682612</v>
      </c>
    </row>
    <row r="78" spans="1:9">
      <c r="A78" s="45"/>
      <c r="B78" s="45" t="str">
        <f t="shared" si="4"/>
        <v>Insecticides and weedicides</v>
      </c>
      <c r="C78" s="46" t="str">
        <f t="shared" si="4"/>
        <v>Riel/ha</v>
      </c>
      <c r="D78" s="49">
        <f>+D57*D71</f>
        <v>1336411.5922890659</v>
      </c>
    </row>
    <row r="79" spans="1:9">
      <c r="A79" s="45"/>
      <c r="B79" s="45" t="str">
        <f t="shared" si="4"/>
        <v>Crop suplement</v>
      </c>
      <c r="C79" s="46" t="str">
        <f t="shared" si="4"/>
        <v>Riel/ha</v>
      </c>
      <c r="D79" s="49">
        <f>+D58*D72</f>
        <v>0</v>
      </c>
    </row>
    <row r="80" spans="1:9">
      <c r="A80" s="45"/>
      <c r="B80" s="45" t="str">
        <f t="shared" si="4"/>
        <v>Water pumping</v>
      </c>
      <c r="C80" s="46" t="str">
        <f t="shared" si="4"/>
        <v>Riel/ha</v>
      </c>
      <c r="D80" s="49">
        <f>+D59*D73</f>
        <v>6250269.3762376746</v>
      </c>
    </row>
    <row r="81" spans="1:4">
      <c r="A81" s="66"/>
      <c r="B81" s="45" t="str">
        <f t="shared" si="4"/>
        <v>Land preparation/ripping</v>
      </c>
      <c r="C81" s="46" t="str">
        <f t="shared" si="4"/>
        <v>Riel/ha</v>
      </c>
      <c r="D81" s="49">
        <f>++D62*D$26</f>
        <v>217790</v>
      </c>
    </row>
    <row r="82" spans="1:4">
      <c r="A82" s="66"/>
      <c r="B82" s="45" t="str">
        <f t="shared" si="4"/>
        <v>Land preparation/ridging</v>
      </c>
      <c r="C82" s="46" t="str">
        <f t="shared" si="4"/>
        <v>Riel/ha</v>
      </c>
      <c r="D82" s="49">
        <f t="shared" ref="D82:D86" si="6">++D63*D$26</f>
        <v>0</v>
      </c>
    </row>
    <row r="83" spans="1:4">
      <c r="A83" s="66"/>
      <c r="B83" s="45" t="str">
        <f t="shared" si="4"/>
        <v>Sowing/planting</v>
      </c>
      <c r="C83" s="46" t="str">
        <f t="shared" si="4"/>
        <v>Riel/ha</v>
      </c>
      <c r="D83" s="49">
        <f t="shared" si="6"/>
        <v>326685</v>
      </c>
    </row>
    <row r="84" spans="1:4">
      <c r="A84" s="66"/>
      <c r="B84" s="45" t="str">
        <f t="shared" si="4"/>
        <v>Fertilizer application</v>
      </c>
      <c r="C84" s="46" t="str">
        <f t="shared" si="4"/>
        <v>Riel/ha</v>
      </c>
      <c r="D84" s="49">
        <f t="shared" si="6"/>
        <v>217790</v>
      </c>
    </row>
    <row r="85" spans="1:4">
      <c r="A85" s="66"/>
      <c r="B85" s="45" t="str">
        <f t="shared" si="4"/>
        <v>Pesticides application</v>
      </c>
      <c r="C85" s="46" t="str">
        <f t="shared" si="4"/>
        <v>Riel/ha</v>
      </c>
      <c r="D85" s="49">
        <f t="shared" si="6"/>
        <v>217790</v>
      </c>
    </row>
    <row r="86" spans="1:4">
      <c r="A86" s="66"/>
      <c r="B86" s="45" t="str">
        <f t="shared" si="4"/>
        <v>Harvesting</v>
      </c>
      <c r="C86" s="46" t="str">
        <f t="shared" si="4"/>
        <v>Riel/ha</v>
      </c>
      <c r="D86" s="49">
        <f t="shared" si="6"/>
        <v>435580</v>
      </c>
    </row>
    <row r="87" spans="1:4">
      <c r="A87" s="45"/>
      <c r="B87" s="45"/>
      <c r="C87" s="46"/>
      <c r="D87" s="49"/>
    </row>
    <row r="88" spans="1:4">
      <c r="A88" s="45" t="s">
        <v>340</v>
      </c>
      <c r="B88" s="45" t="str">
        <f t="shared" ref="B88:C91" si="7">B39</f>
        <v>Land cost</v>
      </c>
      <c r="C88" s="46" t="str">
        <f t="shared" si="7"/>
        <v>Riel/ha</v>
      </c>
      <c r="D88" s="49">
        <v>0</v>
      </c>
    </row>
    <row r="89" spans="1:4">
      <c r="A89" s="45"/>
      <c r="B89" s="45" t="str">
        <f t="shared" si="7"/>
        <v>Input cost</v>
      </c>
      <c r="C89" s="46" t="str">
        <f t="shared" si="7"/>
        <v>Riel/ha</v>
      </c>
      <c r="D89" s="49">
        <f>SUM(D76:D80)</f>
        <v>8710763.9458950013</v>
      </c>
    </row>
    <row r="90" spans="1:4">
      <c r="A90" s="56"/>
      <c r="B90" s="45" t="str">
        <f t="shared" si="7"/>
        <v>Labour cost</v>
      </c>
      <c r="C90" s="46" t="str">
        <f t="shared" si="7"/>
        <v>Riel/ha</v>
      </c>
      <c r="D90" s="49">
        <f>SUM(D81:D86)</f>
        <v>1415635</v>
      </c>
    </row>
    <row r="91" spans="1:4">
      <c r="A91" s="66"/>
      <c r="B91" s="45" t="str">
        <f t="shared" si="7"/>
        <v>Interest</v>
      </c>
      <c r="C91" s="46" t="str">
        <f t="shared" si="7"/>
        <v>Riel/ha</v>
      </c>
      <c r="D91" s="49">
        <f>+SUM(D88:D89)*D74*D60*50%</f>
        <v>0</v>
      </c>
    </row>
    <row r="92" spans="1:4">
      <c r="A92" s="66"/>
      <c r="B92" s="45"/>
      <c r="C92" s="46"/>
      <c r="D92" s="49"/>
    </row>
    <row r="93" spans="1:4">
      <c r="A93" s="48" t="s">
        <v>345</v>
      </c>
      <c r="B93" s="45" t="str">
        <f>B44</f>
        <v>Yield</v>
      </c>
      <c r="C93" s="46" t="str">
        <f>C44</f>
        <v>Kg/ha, wet</v>
      </c>
      <c r="D93" s="49">
        <f>D44</f>
        <v>27000</v>
      </c>
    </row>
    <row r="94" spans="1:4">
      <c r="A94" s="48"/>
      <c r="B94" s="45" t="str">
        <f>B45</f>
        <v>Main product, selling price @ farm gate</v>
      </c>
      <c r="C94" s="46" t="str">
        <f>C45</f>
        <v>Riel/Kg, wet</v>
      </c>
      <c r="D94" s="203">
        <f>550*I$73</f>
        <v>525.56560686677381</v>
      </c>
    </row>
    <row r="95" spans="1:4">
      <c r="A95" s="66"/>
      <c r="B95" s="45" t="str">
        <f>B46</f>
        <v>Revenue</v>
      </c>
      <c r="C95" s="46" t="str">
        <f>C46</f>
        <v>Riel/ha</v>
      </c>
      <c r="D95" s="49">
        <f>+D94*D93</f>
        <v>14190271.385402894</v>
      </c>
    </row>
    <row r="96" spans="1:4">
      <c r="A96" s="56"/>
      <c r="B96" s="45"/>
      <c r="C96" s="46"/>
      <c r="D96" s="49"/>
    </row>
    <row r="97" spans="1:4">
      <c r="A97" s="66" t="str">
        <f>RiceAromatic!A97</f>
        <v>Performance</v>
      </c>
      <c r="B97" s="45" t="str">
        <f t="shared" ref="B97:C100" si="8">B48</f>
        <v>Gross margin (before family labour) [cash flow]</v>
      </c>
      <c r="C97" s="46" t="str">
        <f t="shared" si="8"/>
        <v>Riel/ha</v>
      </c>
      <c r="D97" s="58">
        <f>D95-D88-D89-D91</f>
        <v>5479507.4395078924</v>
      </c>
    </row>
    <row r="98" spans="1:4">
      <c r="B98" s="45" t="str">
        <f t="shared" si="8"/>
        <v>Net margin (after family labour)</v>
      </c>
      <c r="C98" s="46" t="str">
        <f t="shared" si="8"/>
        <v>Riel/ha</v>
      </c>
      <c r="D98" s="60">
        <f>D97-D90</f>
        <v>4063872.4395078924</v>
      </c>
    </row>
    <row r="99" spans="1:4">
      <c r="B99" s="45" t="str">
        <f t="shared" si="8"/>
        <v>Net margin (after family labour)</v>
      </c>
      <c r="C99" s="46" t="str">
        <f t="shared" si="8"/>
        <v>$/ha</v>
      </c>
      <c r="D99" s="61">
        <f>D98/CF!$I$6</f>
        <v>999.4767436074502</v>
      </c>
    </row>
    <row r="100" spans="1:4">
      <c r="B100" s="45" t="str">
        <f t="shared" si="8"/>
        <v>Returns to family labour</v>
      </c>
      <c r="C100" s="46" t="str">
        <f t="shared" si="8"/>
        <v>Riel/person day</v>
      </c>
      <c r="D100" s="58">
        <f>D97/SUM(D62:D67)</f>
        <v>84300.114453967573</v>
      </c>
    </row>
  </sheetData>
  <hyperlinks>
    <hyperlink ref="A1" location="ToC!A1" display=" Back to TOC" xr:uid="{F021A010-4B32-4BF5-93A5-09BBCE52CDCA}"/>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0009D-A21C-4D12-8C05-5E1AC53E0D82}">
  <dimension ref="A1:I100"/>
  <sheetViews>
    <sheetView zoomScale="74" zoomScaleNormal="74" workbookViewId="0">
      <selection activeCell="D45" sqref="D45"/>
    </sheetView>
  </sheetViews>
  <sheetFormatPr defaultColWidth="8.7109375" defaultRowHeight="14.1"/>
  <cols>
    <col min="1" max="1" width="35.85546875" style="65" customWidth="1"/>
    <col min="2" max="2" width="40.28515625" style="65" bestFit="1" customWidth="1"/>
    <col min="3" max="3" width="13.7109375" style="65" bestFit="1" customWidth="1"/>
    <col min="4" max="4" width="19.5703125" style="65" customWidth="1"/>
    <col min="5" max="7" width="8.7109375" style="65"/>
    <col min="8" max="8" width="37.85546875" style="65" customWidth="1"/>
    <col min="9" max="16384" width="8.7109375" style="65"/>
  </cols>
  <sheetData>
    <row r="1" spans="1:5" s="30" customFormat="1" ht="12.95">
      <c r="A1" s="29" t="s">
        <v>31</v>
      </c>
    </row>
    <row r="3" spans="1:5" s="95" customFormat="1">
      <c r="A3" s="97" t="s">
        <v>75</v>
      </c>
      <c r="E3" s="65"/>
    </row>
    <row r="4" spans="1:5">
      <c r="A4" s="62" t="s">
        <v>23</v>
      </c>
      <c r="B4" s="63"/>
      <c r="C4" s="63"/>
      <c r="D4" s="64"/>
    </row>
    <row r="5" spans="1:5">
      <c r="A5" s="41" t="s">
        <v>306</v>
      </c>
      <c r="B5" s="42"/>
      <c r="C5" s="43" t="s">
        <v>71</v>
      </c>
      <c r="D5" s="44"/>
      <c r="E5" s="205"/>
    </row>
    <row r="6" spans="1:5">
      <c r="A6" s="45" t="s">
        <v>309</v>
      </c>
      <c r="B6" s="45" t="s">
        <v>310</v>
      </c>
      <c r="C6" s="46" t="s">
        <v>311</v>
      </c>
      <c r="D6" s="47">
        <v>30</v>
      </c>
    </row>
    <row r="7" spans="1:5">
      <c r="A7" s="45"/>
      <c r="B7" s="48" t="s">
        <v>312</v>
      </c>
      <c r="C7" s="48" t="s">
        <v>311</v>
      </c>
      <c r="D7" s="49">
        <v>0</v>
      </c>
    </row>
    <row r="8" spans="1:5">
      <c r="A8" s="45"/>
      <c r="B8" s="50" t="s">
        <v>313</v>
      </c>
      <c r="C8" s="50" t="s">
        <v>384</v>
      </c>
      <c r="D8" s="49">
        <v>15</v>
      </c>
    </row>
    <row r="9" spans="1:5">
      <c r="A9" s="45"/>
      <c r="B9" s="50" t="s">
        <v>315</v>
      </c>
      <c r="C9" s="50" t="s">
        <v>314</v>
      </c>
      <c r="D9" s="49">
        <v>0</v>
      </c>
    </row>
    <row r="10" spans="1:5">
      <c r="A10" s="45"/>
      <c r="B10" s="48" t="s">
        <v>316</v>
      </c>
      <c r="C10" s="50" t="s">
        <v>317</v>
      </c>
      <c r="D10" s="49">
        <v>0</v>
      </c>
    </row>
    <row r="11" spans="1:5">
      <c r="A11" s="45"/>
      <c r="B11" s="48" t="s">
        <v>318</v>
      </c>
      <c r="C11" s="50" t="s">
        <v>319</v>
      </c>
      <c r="D11" s="49">
        <v>3</v>
      </c>
    </row>
    <row r="12" spans="1:5">
      <c r="A12" s="66"/>
      <c r="B12" s="66"/>
      <c r="C12" s="66"/>
      <c r="D12" s="49"/>
    </row>
    <row r="13" spans="1:5">
      <c r="A13" s="45" t="s">
        <v>320</v>
      </c>
      <c r="B13" s="50" t="s">
        <v>321</v>
      </c>
      <c r="C13" s="48" t="str">
        <f>'Rice-non aromatic'!C13</f>
        <v>person-days/ha</v>
      </c>
      <c r="D13" s="74">
        <f>'Snake gourd'!D13</f>
        <v>10</v>
      </c>
    </row>
    <row r="14" spans="1:5">
      <c r="A14" s="48"/>
      <c r="B14" s="50" t="s">
        <v>323</v>
      </c>
      <c r="C14" s="48" t="str">
        <f>'Rice-non aromatic'!C14</f>
        <v>person-days/ha</v>
      </c>
      <c r="D14" s="74">
        <f>'Snake gourd'!D14</f>
        <v>0</v>
      </c>
    </row>
    <row r="15" spans="1:5">
      <c r="A15" s="50"/>
      <c r="B15" s="45" t="s">
        <v>324</v>
      </c>
      <c r="C15" s="48" t="str">
        <f>'Rice-non aromatic'!C15</f>
        <v>person-days/ha</v>
      </c>
      <c r="D15" s="74">
        <f>'Snake gourd'!D15</f>
        <v>15</v>
      </c>
    </row>
    <row r="16" spans="1:5">
      <c r="A16" s="53"/>
      <c r="B16" s="45" t="s">
        <v>325</v>
      </c>
      <c r="C16" s="48" t="str">
        <f>'Rice-non aromatic'!C16</f>
        <v>person-days/ha</v>
      </c>
      <c r="D16" s="74">
        <f>'Snake gourd'!D16</f>
        <v>10</v>
      </c>
    </row>
    <row r="17" spans="1:4">
      <c r="A17" s="53"/>
      <c r="B17" s="45" t="s">
        <v>326</v>
      </c>
      <c r="C17" s="48" t="str">
        <f>'Rice-non aromatic'!C17</f>
        <v>person-days/ha</v>
      </c>
      <c r="D17" s="74">
        <f>'Snake gourd'!D17</f>
        <v>10</v>
      </c>
    </row>
    <row r="18" spans="1:4">
      <c r="A18" s="53"/>
      <c r="B18" s="45" t="s">
        <v>327</v>
      </c>
      <c r="C18" s="48" t="str">
        <f>'Rice-non aromatic'!C18</f>
        <v>person-days/ha</v>
      </c>
      <c r="D18" s="74">
        <f>'Snake gourd'!D18</f>
        <v>20</v>
      </c>
    </row>
    <row r="19" spans="1:4">
      <c r="A19" s="53"/>
      <c r="B19" s="66"/>
      <c r="C19" s="66"/>
      <c r="D19" s="49"/>
    </row>
    <row r="20" spans="1:4">
      <c r="A20" s="45" t="s">
        <v>328</v>
      </c>
      <c r="B20" s="45" t="s">
        <v>329</v>
      </c>
      <c r="C20" s="46" t="s">
        <v>118</v>
      </c>
      <c r="D20" s="49">
        <v>10000</v>
      </c>
    </row>
    <row r="21" spans="1:4">
      <c r="A21" s="45"/>
      <c r="B21" s="48" t="s">
        <v>312</v>
      </c>
      <c r="C21" s="46" t="s">
        <v>118</v>
      </c>
      <c r="D21" s="49">
        <v>0</v>
      </c>
    </row>
    <row r="22" spans="1:4">
      <c r="A22" s="45"/>
      <c r="B22" s="50" t="s">
        <v>313</v>
      </c>
      <c r="C22" s="46" t="s">
        <v>385</v>
      </c>
      <c r="D22" s="49">
        <v>40000</v>
      </c>
    </row>
    <row r="23" spans="1:4">
      <c r="A23" s="45"/>
      <c r="B23" s="50" t="s">
        <v>315</v>
      </c>
      <c r="C23" s="46" t="s">
        <v>330</v>
      </c>
      <c r="D23" s="49">
        <v>0</v>
      </c>
    </row>
    <row r="24" spans="1:4">
      <c r="A24" s="66"/>
      <c r="B24" s="48" t="s">
        <v>316</v>
      </c>
      <c r="C24" s="50" t="s">
        <v>332</v>
      </c>
      <c r="D24" s="49">
        <v>0</v>
      </c>
    </row>
    <row r="25" spans="1:4">
      <c r="A25" s="66"/>
      <c r="B25" s="66" t="s">
        <v>333</v>
      </c>
      <c r="C25" s="66" t="s">
        <v>334</v>
      </c>
      <c r="D25" s="73">
        <v>0</v>
      </c>
    </row>
    <row r="26" spans="1:4">
      <c r="A26" s="66"/>
      <c r="B26" s="66" t="s">
        <v>335</v>
      </c>
      <c r="C26" s="46" t="s">
        <v>336</v>
      </c>
      <c r="D26" s="49">
        <v>21779</v>
      </c>
    </row>
    <row r="27" spans="1:4">
      <c r="A27" s="66" t="s">
        <v>337</v>
      </c>
      <c r="B27" s="66" t="s">
        <v>338</v>
      </c>
      <c r="C27" s="66" t="s">
        <v>339</v>
      </c>
      <c r="D27" s="49">
        <f>+D6*D20</f>
        <v>300000</v>
      </c>
    </row>
    <row r="28" spans="1:4">
      <c r="A28" s="66"/>
      <c r="B28" s="48" t="s">
        <v>312</v>
      </c>
      <c r="C28" s="66" t="s">
        <v>339</v>
      </c>
      <c r="D28" s="49">
        <f>+D7*D21</f>
        <v>0</v>
      </c>
    </row>
    <row r="29" spans="1:4">
      <c r="A29" s="45"/>
      <c r="B29" s="50" t="s">
        <v>313</v>
      </c>
      <c r="C29" s="66" t="s">
        <v>339</v>
      </c>
      <c r="D29" s="49">
        <f>+D8*D22</f>
        <v>600000</v>
      </c>
    </row>
    <row r="30" spans="1:4">
      <c r="A30" s="45"/>
      <c r="B30" s="50" t="s">
        <v>315</v>
      </c>
      <c r="C30" s="66" t="s">
        <v>339</v>
      </c>
      <c r="D30" s="49">
        <f>+D9*D23</f>
        <v>0</v>
      </c>
    </row>
    <row r="31" spans="1:4">
      <c r="A31" s="45"/>
      <c r="B31" s="48" t="s">
        <v>316</v>
      </c>
      <c r="C31" s="66" t="s">
        <v>339</v>
      </c>
      <c r="D31" s="49">
        <f>+D10*D24</f>
        <v>0</v>
      </c>
    </row>
    <row r="32" spans="1:4">
      <c r="A32" s="66"/>
      <c r="B32" s="50" t="s">
        <v>321</v>
      </c>
      <c r="C32" s="66" t="s">
        <v>339</v>
      </c>
      <c r="D32" s="49">
        <f>++D13*D$26</f>
        <v>217790</v>
      </c>
    </row>
    <row r="33" spans="1:4">
      <c r="A33" s="66"/>
      <c r="B33" s="50" t="s">
        <v>323</v>
      </c>
      <c r="C33" s="66" t="s">
        <v>339</v>
      </c>
      <c r="D33" s="49">
        <f t="shared" ref="D33:D37" si="0">++D14*D$26</f>
        <v>0</v>
      </c>
    </row>
    <row r="34" spans="1:4">
      <c r="A34" s="66"/>
      <c r="B34" s="45" t="s">
        <v>324</v>
      </c>
      <c r="C34" s="66" t="s">
        <v>339</v>
      </c>
      <c r="D34" s="49">
        <f t="shared" si="0"/>
        <v>326685</v>
      </c>
    </row>
    <row r="35" spans="1:4">
      <c r="A35" s="66"/>
      <c r="B35" s="45" t="s">
        <v>325</v>
      </c>
      <c r="C35" s="66" t="s">
        <v>339</v>
      </c>
      <c r="D35" s="49">
        <f t="shared" si="0"/>
        <v>217790</v>
      </c>
    </row>
    <row r="36" spans="1:4">
      <c r="A36" s="66"/>
      <c r="B36" s="45" t="s">
        <v>326</v>
      </c>
      <c r="C36" s="66" t="s">
        <v>339</v>
      </c>
      <c r="D36" s="49">
        <f t="shared" si="0"/>
        <v>217790</v>
      </c>
    </row>
    <row r="37" spans="1:4">
      <c r="A37" s="66"/>
      <c r="B37" s="45" t="s">
        <v>327</v>
      </c>
      <c r="C37" s="66" t="s">
        <v>339</v>
      </c>
      <c r="D37" s="49">
        <f t="shared" si="0"/>
        <v>435580</v>
      </c>
    </row>
    <row r="38" spans="1:4">
      <c r="A38" s="45"/>
      <c r="B38" s="45"/>
      <c r="C38" s="45"/>
      <c r="D38" s="49"/>
    </row>
    <row r="39" spans="1:4">
      <c r="A39" s="45" t="s">
        <v>340</v>
      </c>
      <c r="B39" s="45" t="s">
        <v>341</v>
      </c>
      <c r="C39" s="45" t="s">
        <v>339</v>
      </c>
      <c r="D39" s="49">
        <v>0</v>
      </c>
    </row>
    <row r="40" spans="1:4">
      <c r="A40" s="45"/>
      <c r="B40" s="45" t="s">
        <v>342</v>
      </c>
      <c r="C40" s="45" t="s">
        <v>339</v>
      </c>
      <c r="D40" s="49">
        <f>SUM(D27:D31)</f>
        <v>900000</v>
      </c>
    </row>
    <row r="41" spans="1:4">
      <c r="A41" s="56"/>
      <c r="B41" s="56" t="s">
        <v>343</v>
      </c>
      <c r="C41" s="45" t="s">
        <v>339</v>
      </c>
      <c r="D41" s="49">
        <f>SUM(D32:D37)</f>
        <v>1415635</v>
      </c>
    </row>
    <row r="42" spans="1:4">
      <c r="A42" s="66"/>
      <c r="B42" s="66" t="s">
        <v>386</v>
      </c>
      <c r="C42" s="66" t="s">
        <v>339</v>
      </c>
      <c r="D42" s="49">
        <f>+SUM(D39:D40)*D25*D11*50%</f>
        <v>0</v>
      </c>
    </row>
    <row r="43" spans="1:4">
      <c r="A43" s="66"/>
      <c r="B43" s="66"/>
      <c r="C43" s="66"/>
      <c r="D43" s="49"/>
    </row>
    <row r="44" spans="1:4">
      <c r="A44" s="48" t="s">
        <v>345</v>
      </c>
      <c r="B44" s="50" t="s">
        <v>346</v>
      </c>
      <c r="C44" s="48" t="s">
        <v>387</v>
      </c>
      <c r="D44" s="49">
        <v>1200</v>
      </c>
    </row>
    <row r="45" spans="1:4">
      <c r="A45" s="48"/>
      <c r="B45" s="56" t="s">
        <v>348</v>
      </c>
      <c r="C45" s="45" t="s">
        <v>388</v>
      </c>
      <c r="D45" s="49">
        <v>3000</v>
      </c>
    </row>
    <row r="46" spans="1:4">
      <c r="A46" s="66"/>
      <c r="B46" s="66" t="s">
        <v>350</v>
      </c>
      <c r="C46" s="66" t="s">
        <v>339</v>
      </c>
      <c r="D46" s="49">
        <f>+D45*D44</f>
        <v>3600000</v>
      </c>
    </row>
    <row r="47" spans="1:4">
      <c r="A47" s="56"/>
      <c r="B47" s="56"/>
      <c r="C47" s="45"/>
      <c r="D47" s="49"/>
    </row>
    <row r="48" spans="1:4">
      <c r="A48" s="66" t="str">
        <f>RiceAromatic!A48</f>
        <v>Performance</v>
      </c>
      <c r="B48" s="66" t="str">
        <f>RiceAromatic!B48</f>
        <v>Gross margin (before family labour) [cash flow]</v>
      </c>
      <c r="C48" s="66" t="str">
        <f>RiceAromatic!C48</f>
        <v>Riel/ha</v>
      </c>
      <c r="D48" s="58">
        <f>D46-D39-D40-D42</f>
        <v>2700000</v>
      </c>
    </row>
    <row r="49" spans="1:5">
      <c r="B49" s="66" t="str">
        <f>RiceAromatic!B49</f>
        <v>Net margin (after family labour)</v>
      </c>
      <c r="C49" s="66" t="str">
        <f>RiceAromatic!C49</f>
        <v>Riel/ha</v>
      </c>
      <c r="D49" s="60">
        <f>D48-D41</f>
        <v>1284365</v>
      </c>
    </row>
    <row r="50" spans="1:5">
      <c r="B50" s="66" t="str">
        <f>RiceAromatic!B50</f>
        <v>Net margin (after family labour)</v>
      </c>
      <c r="C50" s="66" t="str">
        <f>RiceAromatic!C50</f>
        <v>$/ha</v>
      </c>
      <c r="D50" s="61">
        <f>D49/CF!I6</f>
        <v>315.87924249877028</v>
      </c>
    </row>
    <row r="51" spans="1:5">
      <c r="B51" s="66" t="str">
        <f>RiceAromatic!B51</f>
        <v>Returns to family labour</v>
      </c>
      <c r="C51" s="66" t="str">
        <f>RiceAromatic!C51</f>
        <v>Riel/person day</v>
      </c>
      <c r="D51" s="58">
        <f>D48/SUM(D13:D18)</f>
        <v>41538.461538461539</v>
      </c>
    </row>
    <row r="52" spans="1:5">
      <c r="B52" s="66" t="s">
        <v>356</v>
      </c>
      <c r="C52" s="66" t="str">
        <f>RiceAromatic!C52</f>
        <v>$/ha</v>
      </c>
      <c r="D52" s="58">
        <f>NPV(CF!$F$5,D50)</f>
        <v>298.32293761984255</v>
      </c>
    </row>
    <row r="53" spans="1:5">
      <c r="B53" s="66"/>
      <c r="C53" s="66"/>
    </row>
    <row r="54" spans="1:5" s="104" customFormat="1">
      <c r="A54" s="104" t="s">
        <v>76</v>
      </c>
      <c r="E54" s="204"/>
    </row>
    <row r="55" spans="1:5">
      <c r="A55" s="45" t="s">
        <v>309</v>
      </c>
      <c r="B55" s="45" t="str">
        <f>B6</f>
        <v>Seed rate</v>
      </c>
      <c r="C55" s="46" t="str">
        <f>C6</f>
        <v>Kg/ha</v>
      </c>
      <c r="D55" s="209">
        <f>D6</f>
        <v>30</v>
      </c>
    </row>
    <row r="56" spans="1:5">
      <c r="A56" s="45"/>
      <c r="B56" s="45" t="str">
        <f t="shared" ref="B56:C60" si="1">B7</f>
        <v>Fertilizer</v>
      </c>
      <c r="C56" s="46" t="str">
        <f t="shared" si="1"/>
        <v>Kg/ha</v>
      </c>
      <c r="D56" s="209">
        <f t="shared" ref="D56:D66" si="2">D7</f>
        <v>0</v>
      </c>
    </row>
    <row r="57" spans="1:5">
      <c r="A57" s="45"/>
      <c r="B57" s="45" t="str">
        <f t="shared" si="1"/>
        <v>Insecticides and weedicides</v>
      </c>
      <c r="C57" s="46" t="str">
        <f t="shared" si="1"/>
        <v>pack/ha</v>
      </c>
      <c r="D57" s="209">
        <f t="shared" si="2"/>
        <v>15</v>
      </c>
    </row>
    <row r="58" spans="1:5">
      <c r="A58" s="45"/>
      <c r="B58" s="45" t="str">
        <f t="shared" si="1"/>
        <v>Crop suplement</v>
      </c>
      <c r="C58" s="46" t="str">
        <f t="shared" si="1"/>
        <v>bottle/ha</v>
      </c>
      <c r="D58" s="209">
        <f t="shared" si="2"/>
        <v>0</v>
      </c>
    </row>
    <row r="59" spans="1:5">
      <c r="A59" s="45"/>
      <c r="B59" s="45" t="str">
        <f t="shared" si="1"/>
        <v>Water pumping</v>
      </c>
      <c r="C59" s="46" t="str">
        <f t="shared" si="1"/>
        <v>time/ha</v>
      </c>
      <c r="D59" s="209">
        <f t="shared" si="2"/>
        <v>0</v>
      </c>
    </row>
    <row r="60" spans="1:5">
      <c r="A60" s="45"/>
      <c r="B60" s="45" t="str">
        <f t="shared" si="1"/>
        <v>Interest period</v>
      </c>
      <c r="C60" s="46" t="str">
        <f t="shared" si="1"/>
        <v>month</v>
      </c>
      <c r="D60" s="209">
        <f t="shared" si="2"/>
        <v>3</v>
      </c>
    </row>
    <row r="61" spans="1:5">
      <c r="A61" s="66"/>
      <c r="B61" s="45"/>
      <c r="C61" s="46"/>
      <c r="D61" s="209"/>
    </row>
    <row r="62" spans="1:5">
      <c r="A62" s="45" t="s">
        <v>320</v>
      </c>
      <c r="B62" s="45" t="str">
        <f t="shared" ref="B62:C67" si="3">B13</f>
        <v>Land preparation/ripping</v>
      </c>
      <c r="C62" s="46" t="str">
        <f t="shared" si="3"/>
        <v>person-days/ha</v>
      </c>
      <c r="D62" s="209">
        <f t="shared" si="2"/>
        <v>10</v>
      </c>
    </row>
    <row r="63" spans="1:5">
      <c r="A63" s="48"/>
      <c r="B63" s="45" t="str">
        <f t="shared" si="3"/>
        <v>Land preparation/ridging</v>
      </c>
      <c r="C63" s="46" t="str">
        <f t="shared" si="3"/>
        <v>person-days/ha</v>
      </c>
      <c r="D63" s="209">
        <f t="shared" si="2"/>
        <v>0</v>
      </c>
    </row>
    <row r="64" spans="1:5">
      <c r="A64" s="50"/>
      <c r="B64" s="45" t="str">
        <f t="shared" si="3"/>
        <v>Sowing/planting</v>
      </c>
      <c r="C64" s="46" t="str">
        <f t="shared" si="3"/>
        <v>person-days/ha</v>
      </c>
      <c r="D64" s="209">
        <f t="shared" si="2"/>
        <v>15</v>
      </c>
    </row>
    <row r="65" spans="1:9">
      <c r="A65" s="53"/>
      <c r="B65" s="45" t="str">
        <f t="shared" si="3"/>
        <v>Fertilizer application</v>
      </c>
      <c r="C65" s="46" t="str">
        <f t="shared" si="3"/>
        <v>person-days/ha</v>
      </c>
      <c r="D65" s="209">
        <f t="shared" si="2"/>
        <v>10</v>
      </c>
    </row>
    <row r="66" spans="1:9">
      <c r="A66" s="53"/>
      <c r="B66" s="45" t="str">
        <f t="shared" si="3"/>
        <v>Pesticides application</v>
      </c>
      <c r="C66" s="46" t="str">
        <f t="shared" si="3"/>
        <v>person-days/ha</v>
      </c>
      <c r="D66" s="209">
        <f t="shared" si="2"/>
        <v>10</v>
      </c>
    </row>
    <row r="67" spans="1:9">
      <c r="A67" s="53"/>
      <c r="B67" s="45" t="str">
        <f t="shared" si="3"/>
        <v>Harvesting</v>
      </c>
      <c r="C67" s="46" t="str">
        <f t="shared" si="3"/>
        <v>person-days/ha</v>
      </c>
      <c r="D67" s="209">
        <f>D18</f>
        <v>20</v>
      </c>
    </row>
    <row r="68" spans="1:9">
      <c r="A68" s="53"/>
      <c r="B68" s="45"/>
      <c r="C68" s="46"/>
      <c r="D68" s="209"/>
    </row>
    <row r="69" spans="1:9">
      <c r="A69" s="45" t="s">
        <v>328</v>
      </c>
      <c r="B69" s="45" t="str">
        <f t="shared" ref="B69:C86" si="4">B20</f>
        <v>Seed, purchase price</v>
      </c>
      <c r="C69" s="46" t="str">
        <f t="shared" si="4"/>
        <v>Riel/Kg</v>
      </c>
      <c r="D69" s="209">
        <f t="shared" ref="D69" si="5">D20</f>
        <v>10000</v>
      </c>
    </row>
    <row r="70" spans="1:9">
      <c r="A70" s="45"/>
      <c r="B70" s="45" t="str">
        <f t="shared" si="4"/>
        <v>Fertilizer</v>
      </c>
      <c r="C70" s="46" t="str">
        <f t="shared" si="4"/>
        <v>Riel/Kg</v>
      </c>
      <c r="D70" s="105">
        <f>D21*I$72</f>
        <v>0</v>
      </c>
      <c r="H70" s="65" t="str">
        <f>CF!A7</f>
        <v>Shadow exchange rate Factor (SERF)</v>
      </c>
      <c r="I70" s="202">
        <f>CF!B7</f>
        <v>1.1490704748349865</v>
      </c>
    </row>
    <row r="71" spans="1:9">
      <c r="A71" s="45"/>
      <c r="B71" s="45" t="str">
        <f t="shared" si="4"/>
        <v>Insecticides and weedicides</v>
      </c>
      <c r="C71" s="46" t="str">
        <f t="shared" si="4"/>
        <v>Riel/litre</v>
      </c>
      <c r="D71" s="105">
        <f>D22*I$72</f>
        <v>34938.86515788408</v>
      </c>
      <c r="H71" s="65" t="str">
        <f>CF!A8</f>
        <v>Standard Conversion Factor (SCF)</v>
      </c>
      <c r="I71" s="202">
        <f>CF!B8</f>
        <v>0.87026864052320729</v>
      </c>
    </row>
    <row r="72" spans="1:9">
      <c r="A72" s="45"/>
      <c r="B72" s="45" t="str">
        <f t="shared" si="4"/>
        <v>Crop suplement</v>
      </c>
      <c r="C72" s="46" t="str">
        <f t="shared" si="4"/>
        <v>Riel/bottle</v>
      </c>
      <c r="D72" s="105">
        <f>D23*I$72</f>
        <v>0</v>
      </c>
      <c r="H72" s="65" t="str">
        <f>CF!A9</f>
        <v>Conversion Factor for imported chemicals</v>
      </c>
      <c r="I72" s="202">
        <f>CF!B9</f>
        <v>0.87347162894710195</v>
      </c>
    </row>
    <row r="73" spans="1:9">
      <c r="A73" s="66"/>
      <c r="B73" s="45" t="str">
        <f t="shared" si="4"/>
        <v>Water pumping</v>
      </c>
      <c r="C73" s="46" t="str">
        <f t="shared" si="4"/>
        <v>Riel/time/ha</v>
      </c>
      <c r="D73" s="105">
        <f>D24*I$71</f>
        <v>0</v>
      </c>
      <c r="H73" s="65" t="str">
        <f>CF!A10</f>
        <v>Conversion Factor for exported agric/ products</v>
      </c>
      <c r="I73" s="202">
        <f>CF!B10</f>
        <v>0.95557383066686152</v>
      </c>
    </row>
    <row r="74" spans="1:9">
      <c r="A74" s="66"/>
      <c r="B74" s="45" t="str">
        <f t="shared" si="4"/>
        <v>Interest rate</v>
      </c>
      <c r="C74" s="46" t="str">
        <f t="shared" si="4"/>
        <v>% per month</v>
      </c>
      <c r="D74" s="207">
        <v>0</v>
      </c>
      <c r="E74" s="208"/>
      <c r="H74" s="65" t="str">
        <f>CF!A11</f>
        <v>Shadow Wage Rate Factor (SWRF) a/</v>
      </c>
      <c r="I74" s="202">
        <f>CF!B11</f>
        <v>0.75</v>
      </c>
    </row>
    <row r="75" spans="1:9">
      <c r="A75" s="66"/>
      <c r="B75" s="45" t="str">
        <f t="shared" si="4"/>
        <v>Labour</v>
      </c>
      <c r="C75" s="46" t="str">
        <f t="shared" si="4"/>
        <v>Riel/person day</v>
      </c>
      <c r="D75" s="105">
        <f>RiceAromatic!D75</f>
        <v>16334.25</v>
      </c>
    </row>
    <row r="76" spans="1:9">
      <c r="A76" s="66" t="s">
        <v>337</v>
      </c>
      <c r="B76" s="45" t="str">
        <f t="shared" si="4"/>
        <v>Seed</v>
      </c>
      <c r="C76" s="46" t="str">
        <f t="shared" si="4"/>
        <v>Riel/ha</v>
      </c>
      <c r="D76" s="49">
        <f>+D55*D69</f>
        <v>300000</v>
      </c>
    </row>
    <row r="77" spans="1:9">
      <c r="A77" s="66"/>
      <c r="B77" s="45" t="str">
        <f t="shared" si="4"/>
        <v>Fertilizer</v>
      </c>
      <c r="C77" s="46" t="str">
        <f t="shared" si="4"/>
        <v>Riel/ha</v>
      </c>
      <c r="D77" s="49">
        <f>+D56*D70</f>
        <v>0</v>
      </c>
    </row>
    <row r="78" spans="1:9">
      <c r="A78" s="45"/>
      <c r="B78" s="45" t="str">
        <f t="shared" si="4"/>
        <v>Insecticides and weedicides</v>
      </c>
      <c r="C78" s="46" t="str">
        <f t="shared" si="4"/>
        <v>Riel/ha</v>
      </c>
      <c r="D78" s="49">
        <f>+D57*D71</f>
        <v>524082.9773682612</v>
      </c>
    </row>
    <row r="79" spans="1:9">
      <c r="A79" s="45"/>
      <c r="B79" s="45" t="str">
        <f t="shared" si="4"/>
        <v>Crop suplement</v>
      </c>
      <c r="C79" s="46" t="str">
        <f t="shared" si="4"/>
        <v>Riel/ha</v>
      </c>
      <c r="D79" s="49">
        <f>+D58*D72</f>
        <v>0</v>
      </c>
    </row>
    <row r="80" spans="1:9">
      <c r="A80" s="45"/>
      <c r="B80" s="45" t="str">
        <f t="shared" si="4"/>
        <v>Water pumping</v>
      </c>
      <c r="C80" s="46" t="str">
        <f t="shared" si="4"/>
        <v>Riel/ha</v>
      </c>
      <c r="D80" s="49">
        <f>+D59*D73</f>
        <v>0</v>
      </c>
    </row>
    <row r="81" spans="1:4">
      <c r="A81" s="66"/>
      <c r="B81" s="45" t="str">
        <f t="shared" si="4"/>
        <v>Land preparation/ripping</v>
      </c>
      <c r="C81" s="46" t="str">
        <f t="shared" si="4"/>
        <v>Riel/ha</v>
      </c>
      <c r="D81" s="49">
        <f>++D62*D$26</f>
        <v>217790</v>
      </c>
    </row>
    <row r="82" spans="1:4">
      <c r="A82" s="66"/>
      <c r="B82" s="45" t="str">
        <f t="shared" si="4"/>
        <v>Land preparation/ridging</v>
      </c>
      <c r="C82" s="46" t="str">
        <f t="shared" si="4"/>
        <v>Riel/ha</v>
      </c>
      <c r="D82" s="49">
        <f t="shared" ref="D82:D86" si="6">++D63*D$26</f>
        <v>0</v>
      </c>
    </row>
    <row r="83" spans="1:4">
      <c r="A83" s="66"/>
      <c r="B83" s="45" t="str">
        <f t="shared" si="4"/>
        <v>Sowing/planting</v>
      </c>
      <c r="C83" s="46" t="str">
        <f t="shared" si="4"/>
        <v>Riel/ha</v>
      </c>
      <c r="D83" s="49">
        <f t="shared" si="6"/>
        <v>326685</v>
      </c>
    </row>
    <row r="84" spans="1:4">
      <c r="A84" s="66"/>
      <c r="B84" s="45" t="str">
        <f t="shared" si="4"/>
        <v>Fertilizer application</v>
      </c>
      <c r="C84" s="46" t="str">
        <f t="shared" si="4"/>
        <v>Riel/ha</v>
      </c>
      <c r="D84" s="49">
        <f t="shared" si="6"/>
        <v>217790</v>
      </c>
    </row>
    <row r="85" spans="1:4">
      <c r="A85" s="66"/>
      <c r="B85" s="45" t="str">
        <f t="shared" si="4"/>
        <v>Pesticides application</v>
      </c>
      <c r="C85" s="46" t="str">
        <f t="shared" si="4"/>
        <v>Riel/ha</v>
      </c>
      <c r="D85" s="49">
        <f t="shared" si="6"/>
        <v>217790</v>
      </c>
    </row>
    <row r="86" spans="1:4">
      <c r="A86" s="66"/>
      <c r="B86" s="45" t="str">
        <f t="shared" si="4"/>
        <v>Harvesting</v>
      </c>
      <c r="C86" s="46" t="str">
        <f t="shared" si="4"/>
        <v>Riel/ha</v>
      </c>
      <c r="D86" s="49">
        <f t="shared" si="6"/>
        <v>435580</v>
      </c>
    </row>
    <row r="87" spans="1:4">
      <c r="A87" s="45"/>
      <c r="B87" s="45"/>
      <c r="C87" s="46"/>
      <c r="D87" s="49"/>
    </row>
    <row r="88" spans="1:4">
      <c r="A88" s="45" t="s">
        <v>340</v>
      </c>
      <c r="B88" s="45" t="str">
        <f t="shared" ref="B88:C91" si="7">B39</f>
        <v>Land cost</v>
      </c>
      <c r="C88" s="46" t="str">
        <f t="shared" si="7"/>
        <v>Riel/ha</v>
      </c>
      <c r="D88" s="49">
        <v>0</v>
      </c>
    </row>
    <row r="89" spans="1:4">
      <c r="A89" s="45"/>
      <c r="B89" s="45" t="str">
        <f t="shared" si="7"/>
        <v>Input cost</v>
      </c>
      <c r="C89" s="46" t="str">
        <f t="shared" si="7"/>
        <v>Riel/ha</v>
      </c>
      <c r="D89" s="49">
        <f>SUM(D76:D80)</f>
        <v>824082.9773682612</v>
      </c>
    </row>
    <row r="90" spans="1:4">
      <c r="A90" s="56"/>
      <c r="B90" s="45" t="str">
        <f t="shared" si="7"/>
        <v>Labour cost</v>
      </c>
      <c r="C90" s="46" t="str">
        <f t="shared" si="7"/>
        <v>Riel/ha</v>
      </c>
      <c r="D90" s="49">
        <f>SUM(D81:D86)</f>
        <v>1415635</v>
      </c>
    </row>
    <row r="91" spans="1:4">
      <c r="A91" s="66"/>
      <c r="B91" s="45" t="str">
        <f t="shared" si="7"/>
        <v>Interest</v>
      </c>
      <c r="C91" s="46" t="str">
        <f t="shared" si="7"/>
        <v>Riel/ha</v>
      </c>
      <c r="D91" s="49">
        <f>+SUM(D88:D89)*D74*D60*50%</f>
        <v>0</v>
      </c>
    </row>
    <row r="92" spans="1:4">
      <c r="A92" s="66"/>
      <c r="B92" s="45"/>
      <c r="C92" s="46"/>
      <c r="D92" s="49"/>
    </row>
    <row r="93" spans="1:4">
      <c r="A93" s="48" t="s">
        <v>345</v>
      </c>
      <c r="B93" s="45" t="str">
        <f>B44</f>
        <v>Yield</v>
      </c>
      <c r="C93" s="46" t="str">
        <f>C44</f>
        <v>Kg/ha, dry</v>
      </c>
      <c r="D93" s="49">
        <f>D44</f>
        <v>1200</v>
      </c>
    </row>
    <row r="94" spans="1:4">
      <c r="A94" s="48"/>
      <c r="B94" s="45" t="str">
        <f>B45</f>
        <v>Main product, selling price @ farm gate</v>
      </c>
      <c r="C94" s="46" t="str">
        <f>C45</f>
        <v>Riel/Kg, dry</v>
      </c>
      <c r="D94" s="203">
        <f>3000*I$73</f>
        <v>2866.7214920005845</v>
      </c>
    </row>
    <row r="95" spans="1:4">
      <c r="A95" s="66"/>
      <c r="B95" s="45" t="str">
        <f>B46</f>
        <v>Revenue</v>
      </c>
      <c r="C95" s="46" t="str">
        <f>C46</f>
        <v>Riel/ha</v>
      </c>
      <c r="D95" s="49">
        <f>+D94*D93</f>
        <v>3440065.7904007016</v>
      </c>
    </row>
    <row r="96" spans="1:4">
      <c r="A96" s="56"/>
      <c r="B96" s="45"/>
      <c r="C96" s="46"/>
      <c r="D96" s="49"/>
    </row>
    <row r="97" spans="1:4">
      <c r="A97" s="66" t="str">
        <f>RiceAromatic!A97</f>
        <v>Performance</v>
      </c>
      <c r="B97" s="45" t="str">
        <f t="shared" ref="B97:C100" si="8">B48</f>
        <v>Gross margin (before family labour) [cash flow]</v>
      </c>
      <c r="C97" s="46" t="str">
        <f t="shared" si="8"/>
        <v>Riel/ha</v>
      </c>
      <c r="D97" s="58">
        <f>D95-D88-D89-D91</f>
        <v>2615982.8130324404</v>
      </c>
    </row>
    <row r="98" spans="1:4">
      <c r="B98" s="45" t="str">
        <f t="shared" si="8"/>
        <v>Net margin (after family labour)</v>
      </c>
      <c r="C98" s="46" t="str">
        <f t="shared" si="8"/>
        <v>Riel/ha</v>
      </c>
      <c r="D98" s="60">
        <f>D97-D90</f>
        <v>1200347.8130324404</v>
      </c>
    </row>
    <row r="99" spans="1:4">
      <c r="B99" s="45" t="str">
        <f t="shared" si="8"/>
        <v>Net margin (after family labour)</v>
      </c>
      <c r="C99" s="46" t="str">
        <f t="shared" si="8"/>
        <v>$/ha</v>
      </c>
      <c r="D99" s="61">
        <f>D98/CF!$I$6</f>
        <v>295.2158910556912</v>
      </c>
    </row>
    <row r="100" spans="1:4">
      <c r="B100" s="45" t="str">
        <f t="shared" si="8"/>
        <v>Returns to family labour</v>
      </c>
      <c r="C100" s="46" t="str">
        <f t="shared" si="8"/>
        <v>Riel/person day</v>
      </c>
      <c r="D100" s="58">
        <f>D97/SUM(D62:D67)</f>
        <v>40245.889431268311</v>
      </c>
    </row>
  </sheetData>
  <hyperlinks>
    <hyperlink ref="A1" location="ToC!A1" display=" Back to TOC" xr:uid="{B631120E-4A34-477A-B4DC-6542CF94BE4A}"/>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319C8E-92A9-4AA5-9F50-0DB1D7F2B165}">
  <dimension ref="A1:I100"/>
  <sheetViews>
    <sheetView topLeftCell="A28" zoomScale="64" zoomScaleNormal="64" workbookViewId="0">
      <selection activeCell="E45" sqref="E45"/>
    </sheetView>
  </sheetViews>
  <sheetFormatPr defaultColWidth="8.7109375" defaultRowHeight="14.1"/>
  <cols>
    <col min="1" max="1" width="24.5703125" style="65" customWidth="1"/>
    <col min="2" max="2" width="36" style="65" bestFit="1" customWidth="1"/>
    <col min="3" max="3" width="13.42578125" style="65" bestFit="1" customWidth="1"/>
    <col min="4" max="4" width="17.7109375" style="65" bestFit="1" customWidth="1"/>
    <col min="5" max="5" width="10.42578125" style="65" bestFit="1" customWidth="1"/>
    <col min="6" max="7" width="8.7109375" style="65"/>
    <col min="8" max="8" width="37.85546875" style="65" customWidth="1"/>
    <col min="9" max="16384" width="8.7109375" style="65"/>
  </cols>
  <sheetData>
    <row r="1" spans="1:5" s="30" customFormat="1" ht="12.95">
      <c r="A1" s="29" t="s">
        <v>31</v>
      </c>
    </row>
    <row r="3" spans="1:5" s="95" customFormat="1">
      <c r="A3" s="97" t="s">
        <v>75</v>
      </c>
    </row>
    <row r="4" spans="1:5" s="70" customFormat="1">
      <c r="A4" s="62" t="s">
        <v>24</v>
      </c>
      <c r="B4" s="62"/>
      <c r="C4" s="62"/>
      <c r="D4" s="69"/>
    </row>
    <row r="5" spans="1:5">
      <c r="A5" s="41" t="s">
        <v>306</v>
      </c>
      <c r="B5" s="42"/>
      <c r="C5" s="43" t="s">
        <v>71</v>
      </c>
      <c r="D5" s="99" t="s">
        <v>307</v>
      </c>
      <c r="E5" s="213" t="s">
        <v>389</v>
      </c>
    </row>
    <row r="6" spans="1:5">
      <c r="A6" s="45" t="s">
        <v>309</v>
      </c>
      <c r="B6" s="45" t="s">
        <v>310</v>
      </c>
      <c r="C6" s="46" t="s">
        <v>311</v>
      </c>
      <c r="D6" s="47">
        <v>19</v>
      </c>
      <c r="E6" s="71">
        <f>D6</f>
        <v>19</v>
      </c>
    </row>
    <row r="7" spans="1:5">
      <c r="A7" s="45"/>
      <c r="B7" s="48" t="s">
        <v>312</v>
      </c>
      <c r="C7" s="48" t="s">
        <v>311</v>
      </c>
      <c r="D7" s="49">
        <v>350</v>
      </c>
      <c r="E7" s="71">
        <f t="shared" ref="E7:E11" si="0">D7</f>
        <v>350</v>
      </c>
    </row>
    <row r="8" spans="1:5">
      <c r="A8" s="45"/>
      <c r="B8" s="50" t="s">
        <v>313</v>
      </c>
      <c r="C8" s="50" t="s">
        <v>314</v>
      </c>
      <c r="D8" s="49">
        <v>1</v>
      </c>
      <c r="E8" s="71">
        <f t="shared" si="0"/>
        <v>1</v>
      </c>
    </row>
    <row r="9" spans="1:5">
      <c r="A9" s="45"/>
      <c r="B9" s="50" t="s">
        <v>315</v>
      </c>
      <c r="C9" s="50" t="s">
        <v>314</v>
      </c>
      <c r="D9" s="49">
        <v>1</v>
      </c>
      <c r="E9" s="71">
        <f t="shared" si="0"/>
        <v>1</v>
      </c>
    </row>
    <row r="10" spans="1:5">
      <c r="A10" s="45"/>
      <c r="B10" s="48" t="s">
        <v>316</v>
      </c>
      <c r="C10" s="50" t="s">
        <v>317</v>
      </c>
      <c r="D10" s="49">
        <v>0</v>
      </c>
      <c r="E10" s="71">
        <f t="shared" si="0"/>
        <v>0</v>
      </c>
    </row>
    <row r="11" spans="1:5">
      <c r="A11" s="45"/>
      <c r="B11" s="48" t="s">
        <v>318</v>
      </c>
      <c r="C11" s="50" t="s">
        <v>319</v>
      </c>
      <c r="D11" s="49">
        <v>3</v>
      </c>
      <c r="E11" s="71">
        <f t="shared" si="0"/>
        <v>3</v>
      </c>
    </row>
    <row r="12" spans="1:5">
      <c r="A12" s="66"/>
      <c r="B12" s="66"/>
      <c r="C12" s="66"/>
      <c r="D12" s="49"/>
    </row>
    <row r="13" spans="1:5">
      <c r="A13" s="45" t="s">
        <v>320</v>
      </c>
      <c r="B13" s="50" t="s">
        <v>321</v>
      </c>
      <c r="C13" s="48" t="str">
        <f>'Rice-non aromatic'!C13</f>
        <v>person-days/ha</v>
      </c>
      <c r="D13" s="75">
        <v>0</v>
      </c>
      <c r="E13" s="65">
        <v>3</v>
      </c>
    </row>
    <row r="14" spans="1:5">
      <c r="A14" s="48"/>
      <c r="B14" s="50" t="s">
        <v>323</v>
      </c>
      <c r="C14" s="48" t="str">
        <f>'Rice-non aromatic'!C14</f>
        <v>person-days/ha</v>
      </c>
      <c r="D14" s="75">
        <v>5.5098948528398912</v>
      </c>
      <c r="E14" s="65">
        <v>0</v>
      </c>
    </row>
    <row r="15" spans="1:5">
      <c r="A15" s="50"/>
      <c r="B15" s="45" t="s">
        <v>324</v>
      </c>
      <c r="C15" s="48" t="str">
        <f>'Rice-non aromatic'!C15</f>
        <v>person-days/ha</v>
      </c>
      <c r="D15" s="75">
        <v>4.9589053675559027</v>
      </c>
      <c r="E15" s="75">
        <f>D15</f>
        <v>4.9589053675559027</v>
      </c>
    </row>
    <row r="16" spans="1:5">
      <c r="A16" s="53"/>
      <c r="B16" s="45" t="s">
        <v>325</v>
      </c>
      <c r="C16" s="48" t="str">
        <f>'Rice-non aromatic'!C16</f>
        <v>person-days/ha</v>
      </c>
      <c r="D16" s="75">
        <v>4.1324211396299191</v>
      </c>
      <c r="E16" s="75">
        <f t="shared" ref="E16:E18" si="1">D16</f>
        <v>4.1324211396299191</v>
      </c>
    </row>
    <row r="17" spans="1:5">
      <c r="A17" s="53"/>
      <c r="B17" s="45" t="s">
        <v>326</v>
      </c>
      <c r="C17" s="48" t="str">
        <f>'Rice-non aromatic'!C17</f>
        <v>person-days/ha</v>
      </c>
      <c r="D17" s="75">
        <v>7.8056843748565132</v>
      </c>
      <c r="E17" s="75">
        <f t="shared" si="1"/>
        <v>7.8056843748565132</v>
      </c>
    </row>
    <row r="18" spans="1:5">
      <c r="A18" s="53"/>
      <c r="B18" s="45" t="s">
        <v>327</v>
      </c>
      <c r="C18" s="48" t="str">
        <f>'Rice-non aromatic'!C18</f>
        <v>person-days/ha</v>
      </c>
      <c r="D18" s="75">
        <v>22.039579411359565</v>
      </c>
      <c r="E18" s="75">
        <f t="shared" si="1"/>
        <v>22.039579411359565</v>
      </c>
    </row>
    <row r="19" spans="1:5">
      <c r="A19" s="53"/>
      <c r="B19" s="66"/>
      <c r="C19" s="66"/>
      <c r="D19" s="49"/>
    </row>
    <row r="20" spans="1:5">
      <c r="A20" s="45" t="s">
        <v>328</v>
      </c>
      <c r="B20" s="45" t="s">
        <v>329</v>
      </c>
      <c r="C20" s="46" t="s">
        <v>118</v>
      </c>
      <c r="D20" s="49">
        <v>2050</v>
      </c>
      <c r="E20" s="71">
        <f>D20</f>
        <v>2050</v>
      </c>
    </row>
    <row r="21" spans="1:5">
      <c r="A21" s="45"/>
      <c r="B21" s="48" t="s">
        <v>312</v>
      </c>
      <c r="C21" s="46" t="s">
        <v>118</v>
      </c>
      <c r="D21" s="49">
        <v>2800</v>
      </c>
      <c r="E21" s="71">
        <f t="shared" ref="E21:E26" si="2">D21</f>
        <v>2800</v>
      </c>
    </row>
    <row r="22" spans="1:5">
      <c r="A22" s="45"/>
      <c r="B22" s="50" t="s">
        <v>313</v>
      </c>
      <c r="C22" s="46" t="s">
        <v>330</v>
      </c>
      <c r="D22" s="49">
        <v>75000</v>
      </c>
      <c r="E22" s="71">
        <f t="shared" si="2"/>
        <v>75000</v>
      </c>
    </row>
    <row r="23" spans="1:5">
      <c r="A23" s="45"/>
      <c r="B23" s="50" t="s">
        <v>315</v>
      </c>
      <c r="C23" s="46" t="s">
        <v>330</v>
      </c>
      <c r="D23" s="49">
        <v>45000</v>
      </c>
      <c r="E23" s="71">
        <f t="shared" si="2"/>
        <v>45000</v>
      </c>
    </row>
    <row r="24" spans="1:5">
      <c r="A24" s="66"/>
      <c r="B24" s="48" t="s">
        <v>316</v>
      </c>
      <c r="C24" s="50" t="s">
        <v>332</v>
      </c>
      <c r="D24" s="49">
        <v>0</v>
      </c>
      <c r="E24" s="71">
        <f t="shared" si="2"/>
        <v>0</v>
      </c>
    </row>
    <row r="25" spans="1:5">
      <c r="A25" s="66"/>
      <c r="B25" s="66" t="s">
        <v>333</v>
      </c>
      <c r="C25" s="66" t="s">
        <v>334</v>
      </c>
      <c r="D25" s="73">
        <v>0</v>
      </c>
      <c r="E25" s="71">
        <f t="shared" si="2"/>
        <v>0</v>
      </c>
    </row>
    <row r="26" spans="1:5" ht="27.95">
      <c r="A26" s="66"/>
      <c r="B26" s="66" t="s">
        <v>335</v>
      </c>
      <c r="C26" s="46" t="s">
        <v>336</v>
      </c>
      <c r="D26" s="49">
        <v>21779</v>
      </c>
      <c r="E26" s="71">
        <f t="shared" si="2"/>
        <v>21779</v>
      </c>
    </row>
    <row r="27" spans="1:5">
      <c r="A27" s="66" t="s">
        <v>337</v>
      </c>
      <c r="B27" s="66" t="s">
        <v>338</v>
      </c>
      <c r="C27" s="66" t="s">
        <v>339</v>
      </c>
      <c r="D27" s="49">
        <f t="shared" ref="D27:E31" si="3">+D6*D20</f>
        <v>38950</v>
      </c>
      <c r="E27" s="49">
        <f t="shared" si="3"/>
        <v>38950</v>
      </c>
    </row>
    <row r="28" spans="1:5">
      <c r="A28" s="66"/>
      <c r="B28" s="48" t="s">
        <v>312</v>
      </c>
      <c r="C28" s="66" t="s">
        <v>339</v>
      </c>
      <c r="D28" s="49">
        <f t="shared" si="3"/>
        <v>980000</v>
      </c>
      <c r="E28" s="49">
        <f t="shared" si="3"/>
        <v>980000</v>
      </c>
    </row>
    <row r="29" spans="1:5">
      <c r="A29" s="45"/>
      <c r="B29" s="50" t="s">
        <v>313</v>
      </c>
      <c r="C29" s="66" t="s">
        <v>339</v>
      </c>
      <c r="D29" s="49">
        <f t="shared" si="3"/>
        <v>75000</v>
      </c>
      <c r="E29" s="49">
        <f t="shared" si="3"/>
        <v>75000</v>
      </c>
    </row>
    <row r="30" spans="1:5">
      <c r="A30" s="45"/>
      <c r="B30" s="50" t="s">
        <v>315</v>
      </c>
      <c r="C30" s="66" t="s">
        <v>339</v>
      </c>
      <c r="D30" s="49">
        <f t="shared" si="3"/>
        <v>45000</v>
      </c>
      <c r="E30" s="49">
        <f t="shared" si="3"/>
        <v>45000</v>
      </c>
    </row>
    <row r="31" spans="1:5">
      <c r="A31" s="45"/>
      <c r="B31" s="48" t="s">
        <v>316</v>
      </c>
      <c r="C31" s="66" t="s">
        <v>339</v>
      </c>
      <c r="D31" s="49">
        <f t="shared" si="3"/>
        <v>0</v>
      </c>
      <c r="E31" s="49">
        <f t="shared" si="3"/>
        <v>0</v>
      </c>
    </row>
    <row r="32" spans="1:5">
      <c r="A32" s="66"/>
      <c r="B32" s="50" t="s">
        <v>321</v>
      </c>
      <c r="C32" s="66" t="s">
        <v>339</v>
      </c>
      <c r="D32" s="49">
        <f>++D13*D$26</f>
        <v>0</v>
      </c>
      <c r="E32" s="49">
        <f>++E13*E$26</f>
        <v>65337</v>
      </c>
    </row>
    <row r="33" spans="1:5">
      <c r="A33" s="66"/>
      <c r="B33" s="50" t="s">
        <v>323</v>
      </c>
      <c r="C33" s="66" t="s">
        <v>339</v>
      </c>
      <c r="D33" s="49">
        <f t="shared" ref="D33:E37" si="4">++D14*D$26</f>
        <v>119999.99999999999</v>
      </c>
      <c r="E33" s="49">
        <f t="shared" si="4"/>
        <v>0</v>
      </c>
    </row>
    <row r="34" spans="1:5">
      <c r="A34" s="66"/>
      <c r="B34" s="45" t="s">
        <v>324</v>
      </c>
      <c r="C34" s="66" t="s">
        <v>339</v>
      </c>
      <c r="D34" s="49">
        <f t="shared" si="4"/>
        <v>108000</v>
      </c>
      <c r="E34" s="49">
        <f t="shared" si="4"/>
        <v>108000</v>
      </c>
    </row>
    <row r="35" spans="1:5">
      <c r="A35" s="66"/>
      <c r="B35" s="45" t="s">
        <v>325</v>
      </c>
      <c r="C35" s="66" t="s">
        <v>339</v>
      </c>
      <c r="D35" s="49">
        <f t="shared" si="4"/>
        <v>90000.000000000015</v>
      </c>
      <c r="E35" s="49">
        <f t="shared" si="4"/>
        <v>90000.000000000015</v>
      </c>
    </row>
    <row r="36" spans="1:5">
      <c r="A36" s="66"/>
      <c r="B36" s="45" t="s">
        <v>326</v>
      </c>
      <c r="C36" s="66" t="s">
        <v>339</v>
      </c>
      <c r="D36" s="49">
        <f t="shared" si="4"/>
        <v>170000</v>
      </c>
      <c r="E36" s="49">
        <f t="shared" si="4"/>
        <v>170000</v>
      </c>
    </row>
    <row r="37" spans="1:5">
      <c r="A37" s="66"/>
      <c r="B37" s="45" t="s">
        <v>327</v>
      </c>
      <c r="C37" s="66" t="s">
        <v>339</v>
      </c>
      <c r="D37" s="49">
        <f t="shared" si="4"/>
        <v>479999.99999999994</v>
      </c>
      <c r="E37" s="49">
        <f t="shared" si="4"/>
        <v>479999.99999999994</v>
      </c>
    </row>
    <row r="38" spans="1:5">
      <c r="A38" s="45"/>
      <c r="B38" s="45"/>
      <c r="C38" s="45"/>
      <c r="D38" s="49"/>
    </row>
    <row r="39" spans="1:5">
      <c r="A39" s="45" t="s">
        <v>340</v>
      </c>
      <c r="B39" s="45" t="s">
        <v>341</v>
      </c>
      <c r="C39" s="45" t="s">
        <v>339</v>
      </c>
      <c r="D39" s="49">
        <v>0</v>
      </c>
      <c r="E39" s="49">
        <v>1</v>
      </c>
    </row>
    <row r="40" spans="1:5">
      <c r="A40" s="45"/>
      <c r="B40" s="45" t="s">
        <v>342</v>
      </c>
      <c r="C40" s="45" t="s">
        <v>339</v>
      </c>
      <c r="D40" s="49">
        <f>SUM(D27:D31)</f>
        <v>1138950</v>
      </c>
      <c r="E40" s="49">
        <f>SUM(E27:E31)</f>
        <v>1138950</v>
      </c>
    </row>
    <row r="41" spans="1:5">
      <c r="A41" s="56"/>
      <c r="B41" s="56" t="s">
        <v>343</v>
      </c>
      <c r="C41" s="45" t="s">
        <v>339</v>
      </c>
      <c r="D41" s="49">
        <f>SUM(D32:D37)</f>
        <v>968000</v>
      </c>
      <c r="E41" s="49">
        <f>SUM(E32:E37)</f>
        <v>913337</v>
      </c>
    </row>
    <row r="42" spans="1:5">
      <c r="A42" s="66"/>
      <c r="B42" s="66" t="s">
        <v>358</v>
      </c>
      <c r="C42" s="66" t="s">
        <v>339</v>
      </c>
      <c r="D42" s="49">
        <f>+SUM(D39:D40)*D25*D11*50%</f>
        <v>0</v>
      </c>
      <c r="E42" s="49">
        <f>+SUM(E39:E40)*E25*E11*50%</f>
        <v>0</v>
      </c>
    </row>
    <row r="43" spans="1:5">
      <c r="A43" s="66"/>
      <c r="B43" s="66"/>
      <c r="C43" s="66"/>
      <c r="D43" s="49"/>
    </row>
    <row r="44" spans="1:5">
      <c r="A44" s="48" t="s">
        <v>345</v>
      </c>
      <c r="B44" s="50" t="s">
        <v>346</v>
      </c>
      <c r="C44" s="48" t="s">
        <v>347</v>
      </c>
      <c r="D44" s="49">
        <v>8000</v>
      </c>
      <c r="E44" s="214">
        <f>D44*1.05</f>
        <v>8400</v>
      </c>
    </row>
    <row r="45" spans="1:5">
      <c r="A45" s="48"/>
      <c r="B45" s="56" t="s">
        <v>348</v>
      </c>
      <c r="C45" s="45" t="s">
        <v>349</v>
      </c>
      <c r="D45" s="49">
        <v>604</v>
      </c>
      <c r="E45" s="71">
        <f>D45</f>
        <v>604</v>
      </c>
    </row>
    <row r="46" spans="1:5">
      <c r="A46" s="66"/>
      <c r="B46" s="66" t="s">
        <v>350</v>
      </c>
      <c r="C46" s="66" t="s">
        <v>339</v>
      </c>
      <c r="D46" s="49">
        <f>+D45*D44</f>
        <v>4832000</v>
      </c>
      <c r="E46" s="49">
        <f>+E45*E44</f>
        <v>5073600</v>
      </c>
    </row>
    <row r="47" spans="1:5">
      <c r="A47" s="56"/>
      <c r="B47" s="56"/>
      <c r="C47" s="45"/>
      <c r="D47" s="49"/>
    </row>
    <row r="48" spans="1:5">
      <c r="A48" s="66" t="str">
        <f>RiceAromatic!A48</f>
        <v>Performance</v>
      </c>
      <c r="B48" s="66" t="str">
        <f>RiceAromatic!B48</f>
        <v>Gross margin (before family labour) [cash flow]</v>
      </c>
      <c r="C48" s="66" t="str">
        <f>RiceAromatic!C48</f>
        <v>Riel/ha</v>
      </c>
      <c r="D48" s="58">
        <f>D46-D39-D40-D42</f>
        <v>3693050</v>
      </c>
      <c r="E48" s="58">
        <f>E46-E39-E40-E42</f>
        <v>3934649</v>
      </c>
    </row>
    <row r="49" spans="1:5">
      <c r="B49" s="66" t="str">
        <f>RiceAromatic!B49</f>
        <v>Net margin (after family labour)</v>
      </c>
      <c r="C49" s="66" t="str">
        <f>RiceAromatic!C49</f>
        <v>Riel/ha</v>
      </c>
      <c r="D49" s="60">
        <f>D48-D41</f>
        <v>2725050</v>
      </c>
      <c r="E49" s="60">
        <f>E48-E41</f>
        <v>3021312</v>
      </c>
    </row>
    <row r="50" spans="1:5">
      <c r="B50" s="66" t="str">
        <f>RiceAromatic!B50</f>
        <v>Net margin (after family labour)</v>
      </c>
      <c r="C50" s="66" t="str">
        <f>RiceAromatic!C50</f>
        <v>$/ha</v>
      </c>
      <c r="D50" s="61">
        <f>D49/CF!$I$6</f>
        <v>670.20413182488937</v>
      </c>
      <c r="E50" s="58">
        <f>E49/CF!$I$6</f>
        <v>743.06738809640922</v>
      </c>
    </row>
    <row r="51" spans="1:5">
      <c r="B51" s="66" t="str">
        <f>RiceAromatic!B51</f>
        <v>Returns to family labour</v>
      </c>
      <c r="C51" s="66" t="str">
        <f>RiceAromatic!C51</f>
        <v>Riel/person day</v>
      </c>
      <c r="D51" s="58">
        <f>D48/SUM(D13:D18)</f>
        <v>83089.809865702482</v>
      </c>
      <c r="E51" s="58">
        <f>E48/SUM(E13:E18)</f>
        <v>93823.769945814071</v>
      </c>
    </row>
    <row r="52" spans="1:5">
      <c r="B52" s="66" t="s">
        <v>356</v>
      </c>
      <c r="C52" s="66" t="str">
        <f>RiceAromatic!C52</f>
        <v>$/ha</v>
      </c>
      <c r="D52" s="58">
        <f>NPV(CF!$F$5,D50)</f>
        <v>632.95474507710185</v>
      </c>
      <c r="E52" s="58">
        <f>NPV(CF!$F$5,E50)</f>
        <v>701.76832232743936</v>
      </c>
    </row>
    <row r="53" spans="1:5">
      <c r="B53" s="66"/>
      <c r="C53" s="66"/>
    </row>
    <row r="54" spans="1:5" s="104" customFormat="1">
      <c r="A54" s="104" t="s">
        <v>76</v>
      </c>
    </row>
    <row r="55" spans="1:5">
      <c r="A55" s="45" t="s">
        <v>309</v>
      </c>
      <c r="B55" s="45" t="str">
        <f>B6</f>
        <v>Seed rate</v>
      </c>
      <c r="C55" s="46" t="str">
        <f>C6</f>
        <v>Kg/ha</v>
      </c>
      <c r="D55" s="209">
        <f>D6</f>
        <v>19</v>
      </c>
      <c r="E55" s="71">
        <f>E6</f>
        <v>19</v>
      </c>
    </row>
    <row r="56" spans="1:5">
      <c r="A56" s="45"/>
      <c r="B56" s="45" t="str">
        <f t="shared" ref="B56:C60" si="5">B7</f>
        <v>Fertilizer</v>
      </c>
      <c r="C56" s="46" t="str">
        <f t="shared" si="5"/>
        <v>Kg/ha</v>
      </c>
      <c r="D56" s="209">
        <f t="shared" ref="D56:E66" si="6">D7</f>
        <v>350</v>
      </c>
      <c r="E56" s="71">
        <f t="shared" si="6"/>
        <v>350</v>
      </c>
    </row>
    <row r="57" spans="1:5">
      <c r="A57" s="45"/>
      <c r="B57" s="45" t="str">
        <f t="shared" si="5"/>
        <v>Insecticides and weedicides</v>
      </c>
      <c r="C57" s="46" t="str">
        <f t="shared" si="5"/>
        <v>bottle/ha</v>
      </c>
      <c r="D57" s="209">
        <f t="shared" si="6"/>
        <v>1</v>
      </c>
      <c r="E57" s="71">
        <f t="shared" si="6"/>
        <v>1</v>
      </c>
    </row>
    <row r="58" spans="1:5">
      <c r="A58" s="45"/>
      <c r="B58" s="45" t="str">
        <f t="shared" si="5"/>
        <v>Crop suplement</v>
      </c>
      <c r="C58" s="46" t="str">
        <f t="shared" si="5"/>
        <v>bottle/ha</v>
      </c>
      <c r="D58" s="209">
        <f t="shared" si="6"/>
        <v>1</v>
      </c>
      <c r="E58" s="71">
        <f t="shared" si="6"/>
        <v>1</v>
      </c>
    </row>
    <row r="59" spans="1:5">
      <c r="A59" s="45"/>
      <c r="B59" s="45" t="str">
        <f t="shared" si="5"/>
        <v>Water pumping</v>
      </c>
      <c r="C59" s="46" t="str">
        <f t="shared" si="5"/>
        <v>time/ha</v>
      </c>
      <c r="D59" s="209">
        <f t="shared" si="6"/>
        <v>0</v>
      </c>
      <c r="E59" s="71">
        <f t="shared" si="6"/>
        <v>0</v>
      </c>
    </row>
    <row r="60" spans="1:5">
      <c r="A60" s="45"/>
      <c r="B60" s="45" t="str">
        <f t="shared" si="5"/>
        <v>Interest period</v>
      </c>
      <c r="C60" s="46" t="str">
        <f t="shared" si="5"/>
        <v>month</v>
      </c>
      <c r="D60" s="209">
        <f t="shared" si="6"/>
        <v>3</v>
      </c>
      <c r="E60" s="71">
        <f t="shared" si="6"/>
        <v>3</v>
      </c>
    </row>
    <row r="61" spans="1:5">
      <c r="A61" s="66"/>
      <c r="B61" s="45"/>
      <c r="C61" s="46"/>
      <c r="D61" s="209"/>
      <c r="E61" s="71">
        <f t="shared" ref="E61" si="7">E12</f>
        <v>0</v>
      </c>
    </row>
    <row r="62" spans="1:5">
      <c r="A62" s="45" t="s">
        <v>320</v>
      </c>
      <c r="B62" s="45" t="str">
        <f t="shared" ref="B62:C67" si="8">B13</f>
        <v>Land preparation/ripping</v>
      </c>
      <c r="C62" s="46" t="str">
        <f t="shared" si="8"/>
        <v>person-days/ha</v>
      </c>
      <c r="D62" s="209">
        <f t="shared" si="6"/>
        <v>0</v>
      </c>
      <c r="E62" s="71">
        <f t="shared" ref="E62" si="9">E13</f>
        <v>3</v>
      </c>
    </row>
    <row r="63" spans="1:5">
      <c r="A63" s="48"/>
      <c r="B63" s="45" t="str">
        <f t="shared" si="8"/>
        <v>Land preparation/ridging</v>
      </c>
      <c r="C63" s="46" t="str">
        <f t="shared" si="8"/>
        <v>person-days/ha</v>
      </c>
      <c r="D63" s="209">
        <f t="shared" si="6"/>
        <v>5.5098948528398912</v>
      </c>
      <c r="E63" s="71">
        <f t="shared" ref="E63" si="10">E14</f>
        <v>0</v>
      </c>
    </row>
    <row r="64" spans="1:5">
      <c r="A64" s="50"/>
      <c r="B64" s="45" t="str">
        <f t="shared" si="8"/>
        <v>Sowing/planting</v>
      </c>
      <c r="C64" s="46" t="str">
        <f t="shared" si="8"/>
        <v>person-days/ha</v>
      </c>
      <c r="D64" s="209">
        <f t="shared" si="6"/>
        <v>4.9589053675559027</v>
      </c>
      <c r="E64" s="71">
        <f t="shared" ref="E64" si="11">E15</f>
        <v>4.9589053675559027</v>
      </c>
    </row>
    <row r="65" spans="1:9">
      <c r="A65" s="53"/>
      <c r="B65" s="45" t="str">
        <f t="shared" si="8"/>
        <v>Fertilizer application</v>
      </c>
      <c r="C65" s="46" t="str">
        <f t="shared" si="8"/>
        <v>person-days/ha</v>
      </c>
      <c r="D65" s="209">
        <f t="shared" si="6"/>
        <v>4.1324211396299191</v>
      </c>
      <c r="E65" s="71">
        <f t="shared" ref="E65" si="12">E16</f>
        <v>4.1324211396299191</v>
      </c>
    </row>
    <row r="66" spans="1:9">
      <c r="A66" s="53"/>
      <c r="B66" s="45" t="str">
        <f t="shared" si="8"/>
        <v>Pesticides application</v>
      </c>
      <c r="C66" s="46" t="str">
        <f t="shared" si="8"/>
        <v>person-days/ha</v>
      </c>
      <c r="D66" s="209">
        <f t="shared" si="6"/>
        <v>7.8056843748565132</v>
      </c>
      <c r="E66" s="71">
        <f t="shared" ref="E66:E67" si="13">E17</f>
        <v>7.8056843748565132</v>
      </c>
    </row>
    <row r="67" spans="1:9">
      <c r="A67" s="53"/>
      <c r="B67" s="45" t="str">
        <f t="shared" si="8"/>
        <v>Harvesting</v>
      </c>
      <c r="C67" s="46" t="str">
        <f t="shared" si="8"/>
        <v>person-days/ha</v>
      </c>
      <c r="D67" s="209">
        <f>D18</f>
        <v>22.039579411359565</v>
      </c>
      <c r="E67" s="71">
        <f t="shared" si="13"/>
        <v>22.039579411359565</v>
      </c>
    </row>
    <row r="68" spans="1:9">
      <c r="A68" s="53"/>
      <c r="B68" s="45"/>
      <c r="C68" s="46"/>
      <c r="D68" s="209"/>
    </row>
    <row r="69" spans="1:9">
      <c r="A69" s="45" t="s">
        <v>328</v>
      </c>
      <c r="B69" s="45" t="str">
        <f t="shared" ref="B69:C86" si="14">B20</f>
        <v>Seed, purchase price</v>
      </c>
      <c r="C69" s="46" t="str">
        <f t="shared" si="14"/>
        <v>Riel/Kg</v>
      </c>
      <c r="D69" s="209">
        <f t="shared" ref="D69:E69" si="15">D20</f>
        <v>2050</v>
      </c>
      <c r="E69" s="209">
        <f t="shared" si="15"/>
        <v>2050</v>
      </c>
    </row>
    <row r="70" spans="1:9">
      <c r="A70" s="45"/>
      <c r="B70" s="45" t="str">
        <f t="shared" si="14"/>
        <v>Fertilizer</v>
      </c>
      <c r="C70" s="46" t="str">
        <f t="shared" si="14"/>
        <v>Riel/Kg</v>
      </c>
      <c r="D70" s="105">
        <f t="shared" ref="D70:E72" si="16">D21*$I$72</f>
        <v>2445.7205610518854</v>
      </c>
      <c r="E70" s="105">
        <f t="shared" si="16"/>
        <v>2445.7205610518854</v>
      </c>
      <c r="H70" s="65" t="str">
        <f>CF!A7</f>
        <v>Shadow exchange rate Factor (SERF)</v>
      </c>
      <c r="I70" s="202">
        <f>CF!B7</f>
        <v>1.1490704748349865</v>
      </c>
    </row>
    <row r="71" spans="1:9">
      <c r="A71" s="45"/>
      <c r="B71" s="45" t="str">
        <f t="shared" si="14"/>
        <v>Insecticides and weedicides</v>
      </c>
      <c r="C71" s="46" t="str">
        <f t="shared" si="14"/>
        <v>Riel/bottle</v>
      </c>
      <c r="D71" s="105">
        <f t="shared" si="16"/>
        <v>65510.37217103265</v>
      </c>
      <c r="E71" s="105">
        <f t="shared" si="16"/>
        <v>65510.37217103265</v>
      </c>
      <c r="H71" s="65" t="str">
        <f>CF!A8</f>
        <v>Standard Conversion Factor (SCF)</v>
      </c>
      <c r="I71" s="202">
        <f>CF!B8</f>
        <v>0.87026864052320729</v>
      </c>
    </row>
    <row r="72" spans="1:9">
      <c r="A72" s="45"/>
      <c r="B72" s="45" t="str">
        <f t="shared" si="14"/>
        <v>Crop suplement</v>
      </c>
      <c r="C72" s="46" t="str">
        <f t="shared" si="14"/>
        <v>Riel/bottle</v>
      </c>
      <c r="D72" s="105">
        <f t="shared" si="16"/>
        <v>39306.22330261959</v>
      </c>
      <c r="E72" s="105">
        <f t="shared" si="16"/>
        <v>39306.22330261959</v>
      </c>
      <c r="H72" s="65" t="str">
        <f>CF!A9</f>
        <v>Conversion Factor for imported chemicals</v>
      </c>
      <c r="I72" s="202">
        <f>CF!B9</f>
        <v>0.87347162894710195</v>
      </c>
    </row>
    <row r="73" spans="1:9">
      <c r="A73" s="66"/>
      <c r="B73" s="45" t="str">
        <f t="shared" si="14"/>
        <v>Water pumping</v>
      </c>
      <c r="C73" s="46" t="str">
        <f t="shared" si="14"/>
        <v>Riel/time/ha</v>
      </c>
      <c r="D73" s="105">
        <f>D24*$I$71</f>
        <v>0</v>
      </c>
      <c r="E73" s="105">
        <f>E24*$I$71</f>
        <v>0</v>
      </c>
      <c r="H73" s="65" t="str">
        <f>CF!A10</f>
        <v>Conversion Factor for exported agric/ products</v>
      </c>
      <c r="I73" s="202">
        <f>CF!B10</f>
        <v>0.95557383066686152</v>
      </c>
    </row>
    <row r="74" spans="1:9">
      <c r="A74" s="66"/>
      <c r="B74" s="45" t="str">
        <f t="shared" si="14"/>
        <v>Interest rate</v>
      </c>
      <c r="C74" s="46" t="str">
        <f t="shared" si="14"/>
        <v>% per month</v>
      </c>
      <c r="D74" s="207">
        <v>0</v>
      </c>
      <c r="E74" s="208"/>
      <c r="H74" s="65" t="str">
        <f>CF!A11</f>
        <v>Shadow Wage Rate Factor (SWRF) a/</v>
      </c>
      <c r="I74" s="202">
        <f>CF!B11</f>
        <v>0.75</v>
      </c>
    </row>
    <row r="75" spans="1:9" ht="27.95">
      <c r="A75" s="66"/>
      <c r="B75" s="45" t="str">
        <f t="shared" si="14"/>
        <v>Labour</v>
      </c>
      <c r="C75" s="46" t="str">
        <f t="shared" si="14"/>
        <v>Riel/person day</v>
      </c>
      <c r="D75" s="105">
        <f>RiceAromatic!D75</f>
        <v>16334.25</v>
      </c>
      <c r="E75" s="105">
        <f>D75</f>
        <v>16334.25</v>
      </c>
    </row>
    <row r="76" spans="1:9">
      <c r="A76" s="66" t="s">
        <v>337</v>
      </c>
      <c r="B76" s="45" t="str">
        <f t="shared" si="14"/>
        <v>Seed</v>
      </c>
      <c r="C76" s="46" t="str">
        <f t="shared" si="14"/>
        <v>Riel/ha</v>
      </c>
      <c r="D76" s="49">
        <f t="shared" ref="D76:E80" si="17">+D55*D69</f>
        <v>38950</v>
      </c>
      <c r="E76" s="49">
        <f t="shared" si="17"/>
        <v>38950</v>
      </c>
    </row>
    <row r="77" spans="1:9">
      <c r="A77" s="66"/>
      <c r="B77" s="45" t="str">
        <f t="shared" si="14"/>
        <v>Fertilizer</v>
      </c>
      <c r="C77" s="46" t="str">
        <f t="shared" si="14"/>
        <v>Riel/ha</v>
      </c>
      <c r="D77" s="49">
        <f t="shared" si="17"/>
        <v>856002.19636815984</v>
      </c>
      <c r="E77" s="49">
        <f t="shared" si="17"/>
        <v>856002.19636815984</v>
      </c>
    </row>
    <row r="78" spans="1:9">
      <c r="A78" s="45"/>
      <c r="B78" s="45" t="str">
        <f t="shared" si="14"/>
        <v>Insecticides and weedicides</v>
      </c>
      <c r="C78" s="46" t="str">
        <f t="shared" si="14"/>
        <v>Riel/ha</v>
      </c>
      <c r="D78" s="49">
        <f t="shared" si="17"/>
        <v>65510.37217103265</v>
      </c>
      <c r="E78" s="49">
        <f t="shared" si="17"/>
        <v>65510.37217103265</v>
      </c>
    </row>
    <row r="79" spans="1:9">
      <c r="A79" s="45"/>
      <c r="B79" s="45" t="str">
        <f t="shared" si="14"/>
        <v>Crop suplement</v>
      </c>
      <c r="C79" s="46" t="str">
        <f t="shared" si="14"/>
        <v>Riel/ha</v>
      </c>
      <c r="D79" s="49">
        <f t="shared" si="17"/>
        <v>39306.22330261959</v>
      </c>
      <c r="E79" s="49">
        <f t="shared" si="17"/>
        <v>39306.22330261959</v>
      </c>
    </row>
    <row r="80" spans="1:9">
      <c r="A80" s="45"/>
      <c r="B80" s="45" t="str">
        <f t="shared" si="14"/>
        <v>Water pumping</v>
      </c>
      <c r="C80" s="46" t="str">
        <f t="shared" si="14"/>
        <v>Riel/ha</v>
      </c>
      <c r="D80" s="49">
        <f t="shared" si="17"/>
        <v>0</v>
      </c>
      <c r="E80" s="49">
        <f t="shared" si="17"/>
        <v>0</v>
      </c>
    </row>
    <row r="81" spans="1:5">
      <c r="A81" s="66"/>
      <c r="B81" s="45" t="str">
        <f t="shared" si="14"/>
        <v>Land preparation/ripping</v>
      </c>
      <c r="C81" s="46" t="str">
        <f t="shared" si="14"/>
        <v>Riel/ha</v>
      </c>
      <c r="D81" s="49">
        <f>++D62*D$26</f>
        <v>0</v>
      </c>
      <c r="E81" s="49">
        <f>++E62*E$26</f>
        <v>65337</v>
      </c>
    </row>
    <row r="82" spans="1:5">
      <c r="A82" s="66"/>
      <c r="B82" s="45" t="str">
        <f t="shared" si="14"/>
        <v>Land preparation/ridging</v>
      </c>
      <c r="C82" s="46" t="str">
        <f t="shared" si="14"/>
        <v>Riel/ha</v>
      </c>
      <c r="D82" s="49">
        <f t="shared" ref="D82:E86" si="18">++D63*D$26</f>
        <v>119999.99999999999</v>
      </c>
      <c r="E82" s="49">
        <f t="shared" si="18"/>
        <v>0</v>
      </c>
    </row>
    <row r="83" spans="1:5">
      <c r="A83" s="66"/>
      <c r="B83" s="45" t="str">
        <f t="shared" si="14"/>
        <v>Sowing/planting</v>
      </c>
      <c r="C83" s="46" t="str">
        <f t="shared" si="14"/>
        <v>Riel/ha</v>
      </c>
      <c r="D83" s="49">
        <f t="shared" si="18"/>
        <v>108000</v>
      </c>
      <c r="E83" s="49">
        <f t="shared" si="18"/>
        <v>108000</v>
      </c>
    </row>
    <row r="84" spans="1:5">
      <c r="A84" s="66"/>
      <c r="B84" s="45" t="str">
        <f t="shared" si="14"/>
        <v>Fertilizer application</v>
      </c>
      <c r="C84" s="46" t="str">
        <f t="shared" si="14"/>
        <v>Riel/ha</v>
      </c>
      <c r="D84" s="49">
        <f t="shared" si="18"/>
        <v>90000.000000000015</v>
      </c>
      <c r="E84" s="49">
        <f t="shared" si="18"/>
        <v>90000.000000000015</v>
      </c>
    </row>
    <row r="85" spans="1:5">
      <c r="A85" s="66"/>
      <c r="B85" s="45" t="str">
        <f t="shared" si="14"/>
        <v>Pesticides application</v>
      </c>
      <c r="C85" s="46" t="str">
        <f t="shared" si="14"/>
        <v>Riel/ha</v>
      </c>
      <c r="D85" s="49">
        <f t="shared" si="18"/>
        <v>170000</v>
      </c>
      <c r="E85" s="49">
        <f t="shared" si="18"/>
        <v>170000</v>
      </c>
    </row>
    <row r="86" spans="1:5">
      <c r="A86" s="66"/>
      <c r="B86" s="45" t="str">
        <f t="shared" si="14"/>
        <v>Harvesting</v>
      </c>
      <c r="C86" s="46" t="str">
        <f t="shared" si="14"/>
        <v>Riel/ha</v>
      </c>
      <c r="D86" s="49">
        <f t="shared" si="18"/>
        <v>479999.99999999994</v>
      </c>
      <c r="E86" s="49">
        <f t="shared" si="18"/>
        <v>479999.99999999994</v>
      </c>
    </row>
    <row r="87" spans="1:5">
      <c r="A87" s="45"/>
      <c r="B87" s="45"/>
      <c r="C87" s="46"/>
      <c r="D87" s="49"/>
      <c r="E87" s="49"/>
    </row>
    <row r="88" spans="1:5">
      <c r="A88" s="45" t="s">
        <v>340</v>
      </c>
      <c r="B88" s="45" t="str">
        <f t="shared" ref="B88:C91" si="19">B39</f>
        <v>Land cost</v>
      </c>
      <c r="C88" s="46" t="str">
        <f t="shared" si="19"/>
        <v>Riel/ha</v>
      </c>
      <c r="D88" s="49">
        <v>0</v>
      </c>
      <c r="E88" s="49">
        <v>1</v>
      </c>
    </row>
    <row r="89" spans="1:5">
      <c r="A89" s="45"/>
      <c r="B89" s="45" t="str">
        <f t="shared" si="19"/>
        <v>Input cost</v>
      </c>
      <c r="C89" s="46" t="str">
        <f t="shared" si="19"/>
        <v>Riel/ha</v>
      </c>
      <c r="D89" s="49">
        <f>SUM(D76:D80)</f>
        <v>999768.79184181197</v>
      </c>
      <c r="E89" s="49">
        <f>SUM(E76:E80)</f>
        <v>999768.79184181197</v>
      </c>
    </row>
    <row r="90" spans="1:5">
      <c r="A90" s="56"/>
      <c r="B90" s="45" t="str">
        <f t="shared" si="19"/>
        <v>Labour cost</v>
      </c>
      <c r="C90" s="46" t="str">
        <f t="shared" si="19"/>
        <v>Riel/ha</v>
      </c>
      <c r="D90" s="49">
        <f>SUM(D81:D86)</f>
        <v>968000</v>
      </c>
      <c r="E90" s="49">
        <f>SUM(E81:E86)</f>
        <v>913337</v>
      </c>
    </row>
    <row r="91" spans="1:5">
      <c r="A91" s="66"/>
      <c r="B91" s="45" t="str">
        <f t="shared" si="19"/>
        <v>Interest (50% of total costs)</v>
      </c>
      <c r="C91" s="46" t="str">
        <f t="shared" si="19"/>
        <v>Riel/ha</v>
      </c>
      <c r="D91" s="49">
        <f>+SUM(D88:D89)*D74*D60*50%</f>
        <v>0</v>
      </c>
      <c r="E91" s="49">
        <f>+SUM(E88:E89)*E74*E60*50%</f>
        <v>0</v>
      </c>
    </row>
    <row r="92" spans="1:5">
      <c r="A92" s="66"/>
      <c r="B92" s="45"/>
      <c r="C92" s="46"/>
      <c r="D92" s="49"/>
    </row>
    <row r="93" spans="1:5">
      <c r="A93" s="48" t="s">
        <v>345</v>
      </c>
      <c r="B93" s="45" t="str">
        <f>B44</f>
        <v>Yield</v>
      </c>
      <c r="C93" s="46" t="str">
        <f>C44</f>
        <v>Kg/ha, wet</v>
      </c>
      <c r="D93" s="49">
        <f>D44</f>
        <v>8000</v>
      </c>
      <c r="E93" s="214">
        <f>E44</f>
        <v>8400</v>
      </c>
    </row>
    <row r="94" spans="1:5">
      <c r="A94" s="48"/>
      <c r="B94" s="45" t="str">
        <f>B45</f>
        <v>Main product, selling price @ farm gate</v>
      </c>
      <c r="C94" s="46" t="str">
        <f>C45</f>
        <v>Riel/Kg, wet</v>
      </c>
      <c r="D94" s="203">
        <f>604*I$73</f>
        <v>577.16659372278434</v>
      </c>
      <c r="E94" s="203">
        <f>D94</f>
        <v>577.16659372278434</v>
      </c>
    </row>
    <row r="95" spans="1:5">
      <c r="A95" s="66"/>
      <c r="B95" s="45" t="str">
        <f>B46</f>
        <v>Revenue</v>
      </c>
      <c r="C95" s="46" t="str">
        <f>C46</f>
        <v>Riel/ha</v>
      </c>
      <c r="D95" s="49">
        <f>+D94*D93</f>
        <v>4617332.7497822745</v>
      </c>
      <c r="E95" s="49">
        <f>+E94*E93</f>
        <v>4848199.3872713884</v>
      </c>
    </row>
    <row r="96" spans="1:5">
      <c r="A96" s="56"/>
      <c r="B96" s="45"/>
      <c r="C96" s="46"/>
      <c r="D96" s="49"/>
    </row>
    <row r="97" spans="1:5">
      <c r="A97" s="66" t="str">
        <f>RiceAromatic!A97</f>
        <v>Performance</v>
      </c>
      <c r="B97" s="45" t="str">
        <f t="shared" ref="B97:C100" si="20">B48</f>
        <v>Gross margin (before family labour) [cash flow]</v>
      </c>
      <c r="C97" s="46" t="str">
        <f t="shared" si="20"/>
        <v>Riel/ha</v>
      </c>
      <c r="D97" s="58">
        <f>D95-D88-D89-D91</f>
        <v>3617563.9579404625</v>
      </c>
      <c r="E97" s="58">
        <f>E95-E88-E89-E91</f>
        <v>3848429.5954295765</v>
      </c>
    </row>
    <row r="98" spans="1:5">
      <c r="B98" s="45" t="str">
        <f t="shared" si="20"/>
        <v>Net margin (after family labour)</v>
      </c>
      <c r="C98" s="46" t="str">
        <f t="shared" si="20"/>
        <v>Riel/ha</v>
      </c>
      <c r="D98" s="60">
        <f>D97-D90</f>
        <v>2649563.9579404625</v>
      </c>
      <c r="E98" s="60">
        <f>E97-E90</f>
        <v>2935092.5954295765</v>
      </c>
    </row>
    <row r="99" spans="1:5">
      <c r="B99" s="45" t="str">
        <f t="shared" si="20"/>
        <v>Net margin (after family labour)</v>
      </c>
      <c r="C99" s="46" t="str">
        <f t="shared" si="20"/>
        <v>$/ha</v>
      </c>
      <c r="D99" s="61">
        <f>D98/CF!$I$6</f>
        <v>651.6389468618944</v>
      </c>
      <c r="E99" s="58">
        <f>E98/CF!$I$6</f>
        <v>721.86241894480486</v>
      </c>
    </row>
    <row r="100" spans="1:5" ht="27.95">
      <c r="B100" s="45" t="str">
        <f t="shared" si="20"/>
        <v>Returns to family labour</v>
      </c>
      <c r="C100" s="46" t="str">
        <f t="shared" si="20"/>
        <v>Riel/person day</v>
      </c>
      <c r="D100" s="58">
        <f>D97/SUM(D62:D67)</f>
        <v>81391.451900811298</v>
      </c>
      <c r="E100" s="58">
        <f>E97/SUM(E62:E67)</f>
        <v>91767.823003842757</v>
      </c>
    </row>
  </sheetData>
  <hyperlinks>
    <hyperlink ref="A1" location="ToC!A1" display=" Back to TOC" xr:uid="{1A93894E-8EAA-4E03-B2D1-51982C39D021}"/>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7012F-295E-4A8B-BEE8-12EB5B644A0E}">
  <dimension ref="A1:I100"/>
  <sheetViews>
    <sheetView topLeftCell="A37" zoomScale="81" zoomScaleNormal="81" workbookViewId="0">
      <selection activeCell="E45" sqref="E45"/>
    </sheetView>
  </sheetViews>
  <sheetFormatPr defaultColWidth="8.7109375" defaultRowHeight="14.1"/>
  <cols>
    <col min="1" max="1" width="24" style="65" customWidth="1"/>
    <col min="2" max="2" width="37.85546875" style="65" bestFit="1" customWidth="1"/>
    <col min="3" max="3" width="13.42578125" style="65" bestFit="1" customWidth="1"/>
    <col min="4" max="4" width="17.7109375" style="65" bestFit="1" customWidth="1"/>
    <col min="5" max="5" width="10.5703125" style="65" bestFit="1" customWidth="1"/>
    <col min="6" max="7" width="8.7109375" style="65"/>
    <col min="8" max="8" width="37.85546875" style="65" customWidth="1"/>
    <col min="9" max="16384" width="8.7109375" style="65"/>
  </cols>
  <sheetData>
    <row r="1" spans="1:5" s="30" customFormat="1" ht="12.95">
      <c r="A1" s="29" t="s">
        <v>31</v>
      </c>
    </row>
    <row r="3" spans="1:5" s="95" customFormat="1">
      <c r="A3" s="97" t="s">
        <v>75</v>
      </c>
    </row>
    <row r="4" spans="1:5">
      <c r="A4" s="62" t="s">
        <v>25</v>
      </c>
      <c r="B4" s="63"/>
      <c r="C4" s="63"/>
      <c r="D4" s="64"/>
    </row>
    <row r="5" spans="1:5">
      <c r="A5" s="41" t="s">
        <v>306</v>
      </c>
      <c r="B5" s="42"/>
      <c r="C5" s="43" t="s">
        <v>71</v>
      </c>
      <c r="D5" s="44" t="s">
        <v>307</v>
      </c>
      <c r="E5" s="65" t="s">
        <v>389</v>
      </c>
    </row>
    <row r="6" spans="1:5">
      <c r="A6" s="45" t="s">
        <v>309</v>
      </c>
      <c r="B6" s="45" t="s">
        <v>310</v>
      </c>
      <c r="C6" s="46" t="s">
        <v>311</v>
      </c>
      <c r="D6" s="47">
        <v>54</v>
      </c>
      <c r="E6" s="71">
        <f>D6</f>
        <v>54</v>
      </c>
    </row>
    <row r="7" spans="1:5">
      <c r="A7" s="45"/>
      <c r="B7" s="48" t="s">
        <v>312</v>
      </c>
      <c r="C7" s="48" t="s">
        <v>311</v>
      </c>
      <c r="D7" s="49">
        <v>0</v>
      </c>
      <c r="E7" s="71">
        <f t="shared" ref="E7:E11" si="0">D7</f>
        <v>0</v>
      </c>
    </row>
    <row r="8" spans="1:5">
      <c r="A8" s="45"/>
      <c r="B8" s="50" t="s">
        <v>313</v>
      </c>
      <c r="C8" s="50" t="s">
        <v>390</v>
      </c>
      <c r="D8" s="49">
        <v>3</v>
      </c>
      <c r="E8" s="71">
        <f t="shared" si="0"/>
        <v>3</v>
      </c>
    </row>
    <row r="9" spans="1:5">
      <c r="A9" s="45"/>
      <c r="B9" s="50" t="s">
        <v>315</v>
      </c>
      <c r="C9" s="50" t="s">
        <v>314</v>
      </c>
      <c r="D9" s="49">
        <v>0</v>
      </c>
      <c r="E9" s="71">
        <f t="shared" si="0"/>
        <v>0</v>
      </c>
    </row>
    <row r="10" spans="1:5">
      <c r="A10" s="45"/>
      <c r="B10" s="48" t="s">
        <v>316</v>
      </c>
      <c r="C10" s="50" t="s">
        <v>317</v>
      </c>
      <c r="D10" s="49">
        <v>0</v>
      </c>
      <c r="E10" s="71">
        <f t="shared" si="0"/>
        <v>0</v>
      </c>
    </row>
    <row r="11" spans="1:5">
      <c r="A11" s="45"/>
      <c r="B11" s="48" t="s">
        <v>318</v>
      </c>
      <c r="C11" s="50" t="s">
        <v>319</v>
      </c>
      <c r="D11" s="49">
        <v>3</v>
      </c>
      <c r="E11" s="71">
        <f t="shared" si="0"/>
        <v>3</v>
      </c>
    </row>
    <row r="12" spans="1:5">
      <c r="A12" s="66"/>
      <c r="B12" s="66"/>
      <c r="C12" s="66"/>
      <c r="D12" s="49"/>
    </row>
    <row r="13" spans="1:5">
      <c r="A13" s="45" t="s">
        <v>320</v>
      </c>
      <c r="B13" s="50" t="s">
        <v>321</v>
      </c>
      <c r="C13" s="48" t="str">
        <f>'Rice-non aromatic'!C13</f>
        <v>person-days/ha</v>
      </c>
      <c r="D13" s="75">
        <v>0</v>
      </c>
      <c r="E13" s="65">
        <v>3</v>
      </c>
    </row>
    <row r="14" spans="1:5">
      <c r="A14" s="48"/>
      <c r="B14" s="50" t="s">
        <v>323</v>
      </c>
      <c r="C14" s="48" t="str">
        <f>'Rice-non aromatic'!C14</f>
        <v>person-days/ha</v>
      </c>
      <c r="D14" s="75">
        <v>5.0507369484365672</v>
      </c>
      <c r="E14" s="65">
        <v>0</v>
      </c>
    </row>
    <row r="15" spans="1:5">
      <c r="A15" s="50"/>
      <c r="B15" s="45" t="s">
        <v>324</v>
      </c>
      <c r="C15" s="48" t="str">
        <f>'Rice-non aromatic'!C15</f>
        <v>person-days/ha</v>
      </c>
      <c r="D15" s="75">
        <v>20.662105698149595</v>
      </c>
      <c r="E15" s="75">
        <f>D15</f>
        <v>20.662105698149595</v>
      </c>
    </row>
    <row r="16" spans="1:5">
      <c r="A16" s="53"/>
      <c r="B16" s="45" t="s">
        <v>325</v>
      </c>
      <c r="C16" s="48" t="str">
        <f>'Rice-non aromatic'!C16</f>
        <v>person-days/ha</v>
      </c>
      <c r="D16" s="75">
        <v>0</v>
      </c>
      <c r="E16" s="75">
        <f t="shared" ref="E16:E26" si="1">D16</f>
        <v>0</v>
      </c>
    </row>
    <row r="17" spans="1:5">
      <c r="A17" s="53"/>
      <c r="B17" s="45" t="s">
        <v>326</v>
      </c>
      <c r="C17" s="48" t="str">
        <f>'Rice-non aromatic'!C17</f>
        <v>person-days/ha</v>
      </c>
      <c r="D17" s="75">
        <v>0</v>
      </c>
      <c r="E17" s="75">
        <f t="shared" si="1"/>
        <v>0</v>
      </c>
    </row>
    <row r="18" spans="1:5">
      <c r="A18" s="53"/>
      <c r="B18" s="45" t="s">
        <v>327</v>
      </c>
      <c r="C18" s="48" t="str">
        <f>'Rice-non aromatic'!C18</f>
        <v>person-days/ha</v>
      </c>
      <c r="D18" s="75">
        <v>26.975526883695302</v>
      </c>
      <c r="E18" s="75">
        <f t="shared" si="1"/>
        <v>26.975526883695302</v>
      </c>
    </row>
    <row r="19" spans="1:5">
      <c r="A19" s="53"/>
      <c r="B19" s="66"/>
      <c r="C19" s="66"/>
      <c r="D19" s="49"/>
      <c r="E19" s="75"/>
    </row>
    <row r="20" spans="1:5">
      <c r="A20" s="45" t="s">
        <v>328</v>
      </c>
      <c r="B20" s="45" t="s">
        <v>329</v>
      </c>
      <c r="C20" s="46" t="s">
        <v>118</v>
      </c>
      <c r="D20" s="49">
        <v>2500</v>
      </c>
      <c r="E20" s="75">
        <f t="shared" si="1"/>
        <v>2500</v>
      </c>
    </row>
    <row r="21" spans="1:5">
      <c r="A21" s="45"/>
      <c r="B21" s="48" t="s">
        <v>312</v>
      </c>
      <c r="C21" s="46" t="s">
        <v>118</v>
      </c>
      <c r="D21" s="49">
        <v>0</v>
      </c>
      <c r="E21" s="75">
        <f t="shared" si="1"/>
        <v>0</v>
      </c>
    </row>
    <row r="22" spans="1:5">
      <c r="A22" s="45"/>
      <c r="B22" s="50" t="s">
        <v>313</v>
      </c>
      <c r="C22" s="46" t="s">
        <v>385</v>
      </c>
      <c r="D22" s="49">
        <v>45000</v>
      </c>
      <c r="E22" s="75">
        <f t="shared" si="1"/>
        <v>45000</v>
      </c>
    </row>
    <row r="23" spans="1:5">
      <c r="A23" s="45"/>
      <c r="B23" s="50" t="s">
        <v>315</v>
      </c>
      <c r="C23" s="46" t="s">
        <v>330</v>
      </c>
      <c r="D23" s="49">
        <v>0</v>
      </c>
      <c r="E23" s="75">
        <f t="shared" si="1"/>
        <v>0</v>
      </c>
    </row>
    <row r="24" spans="1:5">
      <c r="A24" s="66"/>
      <c r="B24" s="48" t="s">
        <v>316</v>
      </c>
      <c r="C24" s="50" t="s">
        <v>332</v>
      </c>
      <c r="D24" s="49">
        <v>0</v>
      </c>
      <c r="E24" s="75">
        <f t="shared" si="1"/>
        <v>0</v>
      </c>
    </row>
    <row r="25" spans="1:5">
      <c r="A25" s="66"/>
      <c r="B25" s="66" t="s">
        <v>333</v>
      </c>
      <c r="C25" s="66" t="s">
        <v>334</v>
      </c>
      <c r="D25" s="73">
        <v>0</v>
      </c>
      <c r="E25" s="75">
        <f t="shared" si="1"/>
        <v>0</v>
      </c>
    </row>
    <row r="26" spans="1:5">
      <c r="A26" s="66"/>
      <c r="B26" s="66" t="s">
        <v>335</v>
      </c>
      <c r="C26" s="46" t="s">
        <v>336</v>
      </c>
      <c r="D26" s="49">
        <v>21779</v>
      </c>
      <c r="E26" s="75">
        <f t="shared" si="1"/>
        <v>21779</v>
      </c>
    </row>
    <row r="27" spans="1:5">
      <c r="A27" s="66" t="s">
        <v>337</v>
      </c>
      <c r="B27" s="66" t="s">
        <v>338</v>
      </c>
      <c r="C27" s="66" t="s">
        <v>339</v>
      </c>
      <c r="D27" s="49">
        <f t="shared" ref="D27:E31" si="2">+D6*D20</f>
        <v>135000</v>
      </c>
      <c r="E27" s="49">
        <f t="shared" si="2"/>
        <v>135000</v>
      </c>
    </row>
    <row r="28" spans="1:5">
      <c r="A28" s="66"/>
      <c r="B28" s="48" t="s">
        <v>312</v>
      </c>
      <c r="C28" s="66" t="s">
        <v>339</v>
      </c>
      <c r="D28" s="49">
        <f t="shared" si="2"/>
        <v>0</v>
      </c>
      <c r="E28" s="49">
        <f t="shared" si="2"/>
        <v>0</v>
      </c>
    </row>
    <row r="29" spans="1:5">
      <c r="A29" s="45"/>
      <c r="B29" s="50" t="s">
        <v>313</v>
      </c>
      <c r="C29" s="66" t="s">
        <v>339</v>
      </c>
      <c r="D29" s="49">
        <f t="shared" si="2"/>
        <v>135000</v>
      </c>
      <c r="E29" s="49">
        <f t="shared" si="2"/>
        <v>135000</v>
      </c>
    </row>
    <row r="30" spans="1:5">
      <c r="A30" s="45"/>
      <c r="B30" s="50" t="s">
        <v>315</v>
      </c>
      <c r="C30" s="66" t="s">
        <v>339</v>
      </c>
      <c r="D30" s="49">
        <f t="shared" si="2"/>
        <v>0</v>
      </c>
      <c r="E30" s="49">
        <f t="shared" si="2"/>
        <v>0</v>
      </c>
    </row>
    <row r="31" spans="1:5">
      <c r="A31" s="45"/>
      <c r="B31" s="48" t="s">
        <v>316</v>
      </c>
      <c r="C31" s="66" t="s">
        <v>339</v>
      </c>
      <c r="D31" s="49">
        <f t="shared" si="2"/>
        <v>0</v>
      </c>
      <c r="E31" s="49">
        <f t="shared" si="2"/>
        <v>0</v>
      </c>
    </row>
    <row r="32" spans="1:5">
      <c r="A32" s="66"/>
      <c r="B32" s="50" t="s">
        <v>321</v>
      </c>
      <c r="C32" s="66" t="s">
        <v>339</v>
      </c>
      <c r="D32" s="49">
        <f>++D13*D$26</f>
        <v>0</v>
      </c>
      <c r="E32" s="49">
        <f>++E13*E$26</f>
        <v>65337</v>
      </c>
    </row>
    <row r="33" spans="1:5">
      <c r="A33" s="66"/>
      <c r="B33" s="50" t="s">
        <v>323</v>
      </c>
      <c r="C33" s="66" t="s">
        <v>339</v>
      </c>
      <c r="D33" s="49">
        <f t="shared" ref="D33:E37" si="3">++D14*D$26</f>
        <v>110000</v>
      </c>
      <c r="E33" s="49">
        <f t="shared" si="3"/>
        <v>0</v>
      </c>
    </row>
    <row r="34" spans="1:5">
      <c r="A34" s="66"/>
      <c r="B34" s="45" t="s">
        <v>324</v>
      </c>
      <c r="C34" s="66" t="s">
        <v>339</v>
      </c>
      <c r="D34" s="49">
        <f t="shared" si="3"/>
        <v>450000.00000000006</v>
      </c>
      <c r="E34" s="49">
        <f t="shared" si="3"/>
        <v>450000.00000000006</v>
      </c>
    </row>
    <row r="35" spans="1:5">
      <c r="A35" s="66"/>
      <c r="B35" s="45" t="s">
        <v>325</v>
      </c>
      <c r="C35" s="66" t="s">
        <v>339</v>
      </c>
      <c r="D35" s="49">
        <f t="shared" si="3"/>
        <v>0</v>
      </c>
      <c r="E35" s="49">
        <f t="shared" si="3"/>
        <v>0</v>
      </c>
    </row>
    <row r="36" spans="1:5">
      <c r="A36" s="66"/>
      <c r="B36" s="45" t="s">
        <v>326</v>
      </c>
      <c r="C36" s="66" t="s">
        <v>339</v>
      </c>
      <c r="D36" s="49">
        <f t="shared" si="3"/>
        <v>0</v>
      </c>
      <c r="E36" s="49">
        <f t="shared" si="3"/>
        <v>0</v>
      </c>
    </row>
    <row r="37" spans="1:5">
      <c r="A37" s="66"/>
      <c r="B37" s="45" t="s">
        <v>327</v>
      </c>
      <c r="C37" s="66" t="s">
        <v>339</v>
      </c>
      <c r="D37" s="49">
        <f t="shared" si="3"/>
        <v>587500</v>
      </c>
      <c r="E37" s="49">
        <f t="shared" si="3"/>
        <v>587500</v>
      </c>
    </row>
    <row r="38" spans="1:5">
      <c r="A38" s="45"/>
      <c r="B38" s="45"/>
      <c r="C38" s="45"/>
      <c r="D38" s="49"/>
    </row>
    <row r="39" spans="1:5">
      <c r="A39" s="45" t="s">
        <v>340</v>
      </c>
      <c r="B39" s="45" t="s">
        <v>341</v>
      </c>
      <c r="C39" s="45" t="s">
        <v>339</v>
      </c>
      <c r="D39" s="49">
        <v>0</v>
      </c>
      <c r="E39" s="49">
        <v>1</v>
      </c>
    </row>
    <row r="40" spans="1:5">
      <c r="A40" s="45"/>
      <c r="B40" s="45" t="s">
        <v>342</v>
      </c>
      <c r="C40" s="45" t="s">
        <v>339</v>
      </c>
      <c r="D40" s="49">
        <f>SUM(D27:D31)</f>
        <v>270000</v>
      </c>
      <c r="E40" s="49">
        <f>SUM(E27:E31)</f>
        <v>270000</v>
      </c>
    </row>
    <row r="41" spans="1:5">
      <c r="A41" s="56"/>
      <c r="B41" s="56" t="s">
        <v>343</v>
      </c>
      <c r="C41" s="45" t="s">
        <v>339</v>
      </c>
      <c r="D41" s="49">
        <f>SUM(D32:D37)</f>
        <v>1147500</v>
      </c>
      <c r="E41" s="49">
        <f>SUM(E32:E37)</f>
        <v>1102837</v>
      </c>
    </row>
    <row r="42" spans="1:5">
      <c r="A42" s="66"/>
      <c r="B42" s="66" t="s">
        <v>386</v>
      </c>
      <c r="C42" s="66" t="s">
        <v>339</v>
      </c>
      <c r="D42" s="49">
        <f>+SUM(D39:D40)*D25*D11*50%</f>
        <v>0</v>
      </c>
      <c r="E42" s="49">
        <f>+SUM(E39:E40)*E25*E11*50%</f>
        <v>0</v>
      </c>
    </row>
    <row r="43" spans="1:5">
      <c r="A43" s="66"/>
      <c r="B43" s="66"/>
      <c r="C43" s="66"/>
      <c r="D43" s="49"/>
    </row>
    <row r="44" spans="1:5">
      <c r="A44" s="48" t="s">
        <v>345</v>
      </c>
      <c r="B44" s="50" t="s">
        <v>346</v>
      </c>
      <c r="C44" s="48" t="s">
        <v>347</v>
      </c>
      <c r="D44" s="49">
        <v>1640</v>
      </c>
      <c r="E44" s="214">
        <f>D44*1.05</f>
        <v>1722</v>
      </c>
    </row>
    <row r="45" spans="1:5">
      <c r="A45" s="48"/>
      <c r="B45" s="56" t="s">
        <v>348</v>
      </c>
      <c r="C45" s="45" t="s">
        <v>349</v>
      </c>
      <c r="D45" s="49">
        <v>2100</v>
      </c>
      <c r="E45" s="71">
        <f>D45</f>
        <v>2100</v>
      </c>
    </row>
    <row r="46" spans="1:5">
      <c r="A46" s="66"/>
      <c r="B46" s="66" t="s">
        <v>350</v>
      </c>
      <c r="C46" s="66" t="s">
        <v>339</v>
      </c>
      <c r="D46" s="49">
        <f>+D45*D44</f>
        <v>3444000</v>
      </c>
      <c r="E46" s="49">
        <f>+E45*E44</f>
        <v>3616200</v>
      </c>
    </row>
    <row r="47" spans="1:5">
      <c r="A47" s="56"/>
      <c r="B47" s="56"/>
      <c r="C47" s="45"/>
      <c r="D47" s="49"/>
    </row>
    <row r="48" spans="1:5">
      <c r="A48" s="66" t="str">
        <f>RiceAromatic!A48</f>
        <v>Performance</v>
      </c>
      <c r="B48" s="66" t="str">
        <f>RiceAromatic!B48</f>
        <v>Gross margin (before family labour) [cash flow]</v>
      </c>
      <c r="C48" s="66" t="str">
        <f>RiceAromatic!C48</f>
        <v>Riel/ha</v>
      </c>
      <c r="D48" s="58">
        <f>D46-D39-D40-D42</f>
        <v>3174000</v>
      </c>
      <c r="E48" s="58">
        <f>E46-E39-E40-E42</f>
        <v>3346199</v>
      </c>
    </row>
    <row r="49" spans="1:5">
      <c r="B49" s="66" t="str">
        <f>RiceAromatic!B49</f>
        <v>Net margin (after family labour)</v>
      </c>
      <c r="C49" s="66" t="str">
        <f>RiceAromatic!C49</f>
        <v>Riel/ha</v>
      </c>
      <c r="D49" s="60">
        <f>D48-D41</f>
        <v>2026500</v>
      </c>
      <c r="E49" s="60">
        <f>E48-E41</f>
        <v>2243362</v>
      </c>
    </row>
    <row r="50" spans="1:5">
      <c r="B50" s="66" t="str">
        <f>RiceAromatic!B50</f>
        <v>Net margin (after family labour)</v>
      </c>
      <c r="C50" s="66" t="str">
        <f>RiceAromatic!C50</f>
        <v>$/ha</v>
      </c>
      <c r="D50" s="61">
        <f>D49/CF!$I$6</f>
        <v>498.40137727496312</v>
      </c>
      <c r="E50" s="58">
        <f>E49/CF!$I$6</f>
        <v>551.73684210526312</v>
      </c>
    </row>
    <row r="51" spans="1:5">
      <c r="B51" s="66" t="str">
        <f>RiceAromatic!B51</f>
        <v>Returns to family labour</v>
      </c>
      <c r="C51" s="66" t="str">
        <f>RiceAromatic!C51</f>
        <v>Riel/person day</v>
      </c>
      <c r="D51" s="58">
        <f>D48/SUM(D13:D18)</f>
        <v>60240.998692810455</v>
      </c>
      <c r="E51" s="58">
        <f>E48/SUM(E13:E18)</f>
        <v>66081.268601796997</v>
      </c>
    </row>
    <row r="52" spans="1:5">
      <c r="B52" s="66" t="s">
        <v>356</v>
      </c>
      <c r="C52" s="66" t="str">
        <f>RiceAromatic!C52</f>
        <v>$/ha</v>
      </c>
      <c r="D52" s="58">
        <f>NPV(CF!$F$5,D50)</f>
        <v>470.70064435468959</v>
      </c>
      <c r="E52" s="58">
        <f>NPV(CF!$F$5,E50)</f>
        <v>521.07176852742418</v>
      </c>
    </row>
    <row r="53" spans="1:5">
      <c r="B53" s="66"/>
      <c r="C53" s="66"/>
    </row>
    <row r="54" spans="1:5" s="104" customFormat="1">
      <c r="A54" s="104" t="s">
        <v>76</v>
      </c>
    </row>
    <row r="55" spans="1:5">
      <c r="A55" s="45" t="s">
        <v>309</v>
      </c>
      <c r="B55" s="45" t="str">
        <f>B6</f>
        <v>Seed rate</v>
      </c>
      <c r="C55" s="46" t="str">
        <f>C6</f>
        <v>Kg/ha</v>
      </c>
      <c r="D55" s="209">
        <f>D6</f>
        <v>54</v>
      </c>
      <c r="E55" s="71">
        <f>E6</f>
        <v>54</v>
      </c>
    </row>
    <row r="56" spans="1:5">
      <c r="A56" s="45"/>
      <c r="B56" s="45" t="str">
        <f t="shared" ref="B56:C60" si="4">B7</f>
        <v>Fertilizer</v>
      </c>
      <c r="C56" s="46" t="str">
        <f t="shared" si="4"/>
        <v>Kg/ha</v>
      </c>
      <c r="D56" s="209">
        <f t="shared" ref="D56:E66" si="5">D7</f>
        <v>0</v>
      </c>
      <c r="E56" s="71">
        <f t="shared" si="5"/>
        <v>0</v>
      </c>
    </row>
    <row r="57" spans="1:5">
      <c r="A57" s="45"/>
      <c r="B57" s="45" t="str">
        <f t="shared" si="4"/>
        <v>Insecticides and weedicides</v>
      </c>
      <c r="C57" s="46" t="str">
        <f t="shared" si="4"/>
        <v>litre/ha</v>
      </c>
      <c r="D57" s="209">
        <f t="shared" si="5"/>
        <v>3</v>
      </c>
      <c r="E57" s="71">
        <f t="shared" si="5"/>
        <v>3</v>
      </c>
    </row>
    <row r="58" spans="1:5">
      <c r="A58" s="45"/>
      <c r="B58" s="45" t="str">
        <f t="shared" si="4"/>
        <v>Crop suplement</v>
      </c>
      <c r="C58" s="46" t="str">
        <f t="shared" si="4"/>
        <v>bottle/ha</v>
      </c>
      <c r="D58" s="209">
        <f t="shared" si="5"/>
        <v>0</v>
      </c>
      <c r="E58" s="71">
        <f t="shared" si="5"/>
        <v>0</v>
      </c>
    </row>
    <row r="59" spans="1:5">
      <c r="A59" s="45"/>
      <c r="B59" s="45" t="str">
        <f t="shared" si="4"/>
        <v>Water pumping</v>
      </c>
      <c r="C59" s="46" t="str">
        <f t="shared" si="4"/>
        <v>time/ha</v>
      </c>
      <c r="D59" s="209">
        <f t="shared" si="5"/>
        <v>0</v>
      </c>
      <c r="E59" s="71">
        <f t="shared" si="5"/>
        <v>0</v>
      </c>
    </row>
    <row r="60" spans="1:5">
      <c r="A60" s="45"/>
      <c r="B60" s="45" t="str">
        <f t="shared" si="4"/>
        <v>Interest period</v>
      </c>
      <c r="C60" s="46" t="str">
        <f t="shared" si="4"/>
        <v>month</v>
      </c>
      <c r="D60" s="209">
        <f t="shared" si="5"/>
        <v>3</v>
      </c>
      <c r="E60" s="71">
        <f t="shared" si="5"/>
        <v>3</v>
      </c>
    </row>
    <row r="61" spans="1:5">
      <c r="A61" s="66"/>
      <c r="B61" s="45"/>
      <c r="C61" s="46"/>
      <c r="D61" s="209"/>
      <c r="E61" s="71">
        <f t="shared" ref="E61" si="6">E12</f>
        <v>0</v>
      </c>
    </row>
    <row r="62" spans="1:5">
      <c r="A62" s="45" t="s">
        <v>320</v>
      </c>
      <c r="B62" s="45" t="str">
        <f t="shared" ref="B62:C67" si="7">B13</f>
        <v>Land preparation/ripping</v>
      </c>
      <c r="C62" s="46" t="str">
        <f t="shared" si="7"/>
        <v>person-days/ha</v>
      </c>
      <c r="D62" s="209">
        <f t="shared" si="5"/>
        <v>0</v>
      </c>
      <c r="E62" s="71">
        <f t="shared" ref="E62" si="8">E13</f>
        <v>3</v>
      </c>
    </row>
    <row r="63" spans="1:5">
      <c r="A63" s="48"/>
      <c r="B63" s="45" t="str">
        <f t="shared" si="7"/>
        <v>Land preparation/ridging</v>
      </c>
      <c r="C63" s="46" t="str">
        <f t="shared" si="7"/>
        <v>person-days/ha</v>
      </c>
      <c r="D63" s="209">
        <f t="shared" si="5"/>
        <v>5.0507369484365672</v>
      </c>
      <c r="E63" s="71">
        <f t="shared" ref="E63" si="9">E14</f>
        <v>0</v>
      </c>
    </row>
    <row r="64" spans="1:5">
      <c r="A64" s="50"/>
      <c r="B64" s="45" t="str">
        <f t="shared" si="7"/>
        <v>Sowing/planting</v>
      </c>
      <c r="C64" s="46" t="str">
        <f t="shared" si="7"/>
        <v>person-days/ha</v>
      </c>
      <c r="D64" s="209">
        <f t="shared" si="5"/>
        <v>20.662105698149595</v>
      </c>
      <c r="E64" s="71">
        <f t="shared" ref="E64" si="10">E15</f>
        <v>20.662105698149595</v>
      </c>
    </row>
    <row r="65" spans="1:9">
      <c r="A65" s="53"/>
      <c r="B65" s="45" t="str">
        <f t="shared" si="7"/>
        <v>Fertilizer application</v>
      </c>
      <c r="C65" s="46" t="str">
        <f t="shared" si="7"/>
        <v>person-days/ha</v>
      </c>
      <c r="D65" s="209">
        <f t="shared" si="5"/>
        <v>0</v>
      </c>
      <c r="E65" s="71">
        <f t="shared" ref="E65" si="11">E16</f>
        <v>0</v>
      </c>
    </row>
    <row r="66" spans="1:9">
      <c r="A66" s="53"/>
      <c r="B66" s="45" t="str">
        <f t="shared" si="7"/>
        <v>Pesticides application</v>
      </c>
      <c r="C66" s="46" t="str">
        <f t="shared" si="7"/>
        <v>person-days/ha</v>
      </c>
      <c r="D66" s="209">
        <f t="shared" si="5"/>
        <v>0</v>
      </c>
      <c r="E66" s="71">
        <f t="shared" ref="E66:E67" si="12">E17</f>
        <v>0</v>
      </c>
    </row>
    <row r="67" spans="1:9">
      <c r="A67" s="53"/>
      <c r="B67" s="45" t="str">
        <f t="shared" si="7"/>
        <v>Harvesting</v>
      </c>
      <c r="C67" s="46" t="str">
        <f t="shared" si="7"/>
        <v>person-days/ha</v>
      </c>
      <c r="D67" s="209">
        <f>D18</f>
        <v>26.975526883695302</v>
      </c>
      <c r="E67" s="71">
        <f t="shared" si="12"/>
        <v>26.975526883695302</v>
      </c>
    </row>
    <row r="68" spans="1:9">
      <c r="A68" s="53"/>
      <c r="B68" s="45"/>
      <c r="C68" s="46"/>
      <c r="D68" s="209"/>
    </row>
    <row r="69" spans="1:9">
      <c r="A69" s="45" t="s">
        <v>328</v>
      </c>
      <c r="B69" s="45" t="str">
        <f t="shared" ref="B69:C86" si="13">B20</f>
        <v>Seed, purchase price</v>
      </c>
      <c r="C69" s="46" t="str">
        <f t="shared" si="13"/>
        <v>Riel/Kg</v>
      </c>
      <c r="D69" s="209">
        <f t="shared" ref="D69:E69" si="14">D20</f>
        <v>2500</v>
      </c>
      <c r="E69" s="209">
        <f t="shared" si="14"/>
        <v>2500</v>
      </c>
    </row>
    <row r="70" spans="1:9">
      <c r="A70" s="45"/>
      <c r="B70" s="45" t="str">
        <f t="shared" si="13"/>
        <v>Fertilizer</v>
      </c>
      <c r="C70" s="46" t="str">
        <f t="shared" si="13"/>
        <v>Riel/Kg</v>
      </c>
      <c r="D70" s="105">
        <f t="shared" ref="D70:E72" si="15">D21*$I$72</f>
        <v>0</v>
      </c>
      <c r="E70" s="105">
        <f t="shared" si="15"/>
        <v>0</v>
      </c>
      <c r="H70" s="65" t="str">
        <f>CF!A7</f>
        <v>Shadow exchange rate Factor (SERF)</v>
      </c>
      <c r="I70" s="202">
        <f>CF!B7</f>
        <v>1.1490704748349865</v>
      </c>
    </row>
    <row r="71" spans="1:9">
      <c r="A71" s="45"/>
      <c r="B71" s="45" t="str">
        <f t="shared" si="13"/>
        <v>Insecticides and weedicides</v>
      </c>
      <c r="C71" s="46" t="str">
        <f t="shared" si="13"/>
        <v>Riel/litre</v>
      </c>
      <c r="D71" s="105">
        <f t="shared" si="15"/>
        <v>39306.22330261959</v>
      </c>
      <c r="E71" s="105">
        <f t="shared" si="15"/>
        <v>39306.22330261959</v>
      </c>
      <c r="H71" s="65" t="str">
        <f>CF!A8</f>
        <v>Standard Conversion Factor (SCF)</v>
      </c>
      <c r="I71" s="202">
        <f>CF!B8</f>
        <v>0.87026864052320729</v>
      </c>
    </row>
    <row r="72" spans="1:9">
      <c r="A72" s="45"/>
      <c r="B72" s="45" t="str">
        <f t="shared" si="13"/>
        <v>Crop suplement</v>
      </c>
      <c r="C72" s="46" t="str">
        <f t="shared" si="13"/>
        <v>Riel/bottle</v>
      </c>
      <c r="D72" s="105">
        <f t="shared" si="15"/>
        <v>0</v>
      </c>
      <c r="E72" s="105">
        <f t="shared" si="15"/>
        <v>0</v>
      </c>
      <c r="H72" s="65" t="str">
        <f>CF!A9</f>
        <v>Conversion Factor for imported chemicals</v>
      </c>
      <c r="I72" s="202">
        <f>CF!B9</f>
        <v>0.87347162894710195</v>
      </c>
    </row>
    <row r="73" spans="1:9">
      <c r="A73" s="66"/>
      <c r="B73" s="45" t="str">
        <f t="shared" si="13"/>
        <v>Water pumping</v>
      </c>
      <c r="C73" s="46" t="str">
        <f t="shared" si="13"/>
        <v>Riel/time/ha</v>
      </c>
      <c r="D73" s="105">
        <f>D24*$I$71</f>
        <v>0</v>
      </c>
      <c r="E73" s="105">
        <f>E24*$I$71</f>
        <v>0</v>
      </c>
      <c r="H73" s="65" t="str">
        <f>CF!A10</f>
        <v>Conversion Factor for exported agric/ products</v>
      </c>
      <c r="I73" s="202">
        <f>CF!B10</f>
        <v>0.95557383066686152</v>
      </c>
    </row>
    <row r="74" spans="1:9">
      <c r="A74" s="66"/>
      <c r="B74" s="45" t="str">
        <f t="shared" si="13"/>
        <v>Interest rate</v>
      </c>
      <c r="C74" s="46" t="str">
        <f t="shared" si="13"/>
        <v>% per month</v>
      </c>
      <c r="D74" s="207">
        <v>0</v>
      </c>
      <c r="E74" s="208"/>
      <c r="H74" s="65" t="str">
        <f>CF!A11</f>
        <v>Shadow Wage Rate Factor (SWRF) a/</v>
      </c>
      <c r="I74" s="202">
        <f>CF!B11</f>
        <v>0.75</v>
      </c>
    </row>
    <row r="75" spans="1:9">
      <c r="A75" s="66"/>
      <c r="B75" s="45" t="str">
        <f t="shared" si="13"/>
        <v>Labour</v>
      </c>
      <c r="C75" s="46" t="str">
        <f t="shared" si="13"/>
        <v>Riel/person day</v>
      </c>
      <c r="D75" s="105">
        <f>RiceAromatic!D75</f>
        <v>16334.25</v>
      </c>
      <c r="E75" s="105">
        <f>D75</f>
        <v>16334.25</v>
      </c>
    </row>
    <row r="76" spans="1:9">
      <c r="A76" s="66" t="s">
        <v>337</v>
      </c>
      <c r="B76" s="45" t="str">
        <f t="shared" si="13"/>
        <v>Seed</v>
      </c>
      <c r="C76" s="46" t="str">
        <f t="shared" si="13"/>
        <v>Riel/ha</v>
      </c>
      <c r="D76" s="49">
        <f t="shared" ref="D76:E80" si="16">+D55*D69</f>
        <v>135000</v>
      </c>
      <c r="E76" s="49">
        <f t="shared" si="16"/>
        <v>135000</v>
      </c>
    </row>
    <row r="77" spans="1:9">
      <c r="A77" s="66"/>
      <c r="B77" s="45" t="str">
        <f t="shared" si="13"/>
        <v>Fertilizer</v>
      </c>
      <c r="C77" s="46" t="str">
        <f t="shared" si="13"/>
        <v>Riel/ha</v>
      </c>
      <c r="D77" s="49">
        <f t="shared" si="16"/>
        <v>0</v>
      </c>
      <c r="E77" s="49">
        <f t="shared" si="16"/>
        <v>0</v>
      </c>
    </row>
    <row r="78" spans="1:9">
      <c r="A78" s="45"/>
      <c r="B78" s="45" t="str">
        <f t="shared" si="13"/>
        <v>Insecticides and weedicides</v>
      </c>
      <c r="C78" s="46" t="str">
        <f t="shared" si="13"/>
        <v>Riel/ha</v>
      </c>
      <c r="D78" s="49">
        <f t="shared" si="16"/>
        <v>117918.66990785877</v>
      </c>
      <c r="E78" s="49">
        <f t="shared" si="16"/>
        <v>117918.66990785877</v>
      </c>
    </row>
    <row r="79" spans="1:9">
      <c r="A79" s="45"/>
      <c r="B79" s="45" t="str">
        <f t="shared" si="13"/>
        <v>Crop suplement</v>
      </c>
      <c r="C79" s="46" t="str">
        <f t="shared" si="13"/>
        <v>Riel/ha</v>
      </c>
      <c r="D79" s="49">
        <f t="shared" si="16"/>
        <v>0</v>
      </c>
      <c r="E79" s="49">
        <f t="shared" si="16"/>
        <v>0</v>
      </c>
    </row>
    <row r="80" spans="1:9">
      <c r="A80" s="45"/>
      <c r="B80" s="45" t="str">
        <f t="shared" si="13"/>
        <v>Water pumping</v>
      </c>
      <c r="C80" s="46" t="str">
        <f t="shared" si="13"/>
        <v>Riel/ha</v>
      </c>
      <c r="D80" s="49">
        <f t="shared" si="16"/>
        <v>0</v>
      </c>
      <c r="E80" s="49">
        <f t="shared" si="16"/>
        <v>0</v>
      </c>
    </row>
    <row r="81" spans="1:5">
      <c r="A81" s="66"/>
      <c r="B81" s="45" t="str">
        <f t="shared" si="13"/>
        <v>Land preparation/ripping</v>
      </c>
      <c r="C81" s="46" t="str">
        <f t="shared" si="13"/>
        <v>Riel/ha</v>
      </c>
      <c r="D81" s="49">
        <f>++D62*D$26</f>
        <v>0</v>
      </c>
      <c r="E81" s="49">
        <f>++E62*E$26</f>
        <v>65337</v>
      </c>
    </row>
    <row r="82" spans="1:5">
      <c r="A82" s="66"/>
      <c r="B82" s="45" t="str">
        <f t="shared" si="13"/>
        <v>Land preparation/ridging</v>
      </c>
      <c r="C82" s="46" t="str">
        <f t="shared" si="13"/>
        <v>Riel/ha</v>
      </c>
      <c r="D82" s="49">
        <f t="shared" ref="D82:E86" si="17">++D63*D$26</f>
        <v>110000</v>
      </c>
      <c r="E82" s="49">
        <f t="shared" si="17"/>
        <v>0</v>
      </c>
    </row>
    <row r="83" spans="1:5">
      <c r="A83" s="66"/>
      <c r="B83" s="45" t="str">
        <f t="shared" si="13"/>
        <v>Sowing/planting</v>
      </c>
      <c r="C83" s="46" t="str">
        <f t="shared" si="13"/>
        <v>Riel/ha</v>
      </c>
      <c r="D83" s="49">
        <f t="shared" si="17"/>
        <v>450000.00000000006</v>
      </c>
      <c r="E83" s="49">
        <f t="shared" si="17"/>
        <v>450000.00000000006</v>
      </c>
    </row>
    <row r="84" spans="1:5">
      <c r="A84" s="66"/>
      <c r="B84" s="45" t="str">
        <f t="shared" si="13"/>
        <v>Fertilizer application</v>
      </c>
      <c r="C84" s="46" t="str">
        <f t="shared" si="13"/>
        <v>Riel/ha</v>
      </c>
      <c r="D84" s="49">
        <f t="shared" si="17"/>
        <v>0</v>
      </c>
      <c r="E84" s="49">
        <f t="shared" si="17"/>
        <v>0</v>
      </c>
    </row>
    <row r="85" spans="1:5">
      <c r="A85" s="66"/>
      <c r="B85" s="45" t="str">
        <f t="shared" si="13"/>
        <v>Pesticides application</v>
      </c>
      <c r="C85" s="46" t="str">
        <f t="shared" si="13"/>
        <v>Riel/ha</v>
      </c>
      <c r="D85" s="49">
        <f t="shared" si="17"/>
        <v>0</v>
      </c>
      <c r="E85" s="49">
        <f t="shared" si="17"/>
        <v>0</v>
      </c>
    </row>
    <row r="86" spans="1:5">
      <c r="A86" s="66"/>
      <c r="B86" s="45" t="str">
        <f t="shared" si="13"/>
        <v>Harvesting</v>
      </c>
      <c r="C86" s="46" t="str">
        <f t="shared" si="13"/>
        <v>Riel/ha</v>
      </c>
      <c r="D86" s="49">
        <f t="shared" si="17"/>
        <v>587500</v>
      </c>
      <c r="E86" s="49">
        <f t="shared" si="17"/>
        <v>587500</v>
      </c>
    </row>
    <row r="87" spans="1:5">
      <c r="A87" s="45"/>
      <c r="B87" s="45"/>
      <c r="C87" s="46"/>
      <c r="D87" s="49"/>
      <c r="E87" s="49"/>
    </row>
    <row r="88" spans="1:5">
      <c r="A88" s="45" t="s">
        <v>340</v>
      </c>
      <c r="B88" s="45" t="str">
        <f t="shared" ref="B88:C91" si="18">B39</f>
        <v>Land cost</v>
      </c>
      <c r="C88" s="46" t="str">
        <f t="shared" si="18"/>
        <v>Riel/ha</v>
      </c>
      <c r="D88" s="49">
        <v>0</v>
      </c>
      <c r="E88" s="49">
        <v>1</v>
      </c>
    </row>
    <row r="89" spans="1:5">
      <c r="A89" s="45"/>
      <c r="B89" s="45" t="str">
        <f t="shared" si="18"/>
        <v>Input cost</v>
      </c>
      <c r="C89" s="46" t="str">
        <f t="shared" si="18"/>
        <v>Riel/ha</v>
      </c>
      <c r="D89" s="49">
        <f>SUM(D76:D80)</f>
        <v>252918.66990785877</v>
      </c>
      <c r="E89" s="49">
        <f>SUM(E76:E80)</f>
        <v>252918.66990785877</v>
      </c>
    </row>
    <row r="90" spans="1:5">
      <c r="A90" s="56"/>
      <c r="B90" s="45" t="str">
        <f t="shared" si="18"/>
        <v>Labour cost</v>
      </c>
      <c r="C90" s="46" t="str">
        <f t="shared" si="18"/>
        <v>Riel/ha</v>
      </c>
      <c r="D90" s="49">
        <f>SUM(D81:D86)</f>
        <v>1147500</v>
      </c>
      <c r="E90" s="49">
        <f>SUM(E81:E86)</f>
        <v>1102837</v>
      </c>
    </row>
    <row r="91" spans="1:5">
      <c r="A91" s="66"/>
      <c r="B91" s="45" t="str">
        <f t="shared" si="18"/>
        <v>Interest</v>
      </c>
      <c r="C91" s="46" t="str">
        <f t="shared" si="18"/>
        <v>Riel/ha</v>
      </c>
      <c r="D91" s="49">
        <f>+SUM(D88:D89)*D74*D60*50%</f>
        <v>0</v>
      </c>
      <c r="E91" s="49">
        <f>+SUM(E88:E89)*E74*E60*50%</f>
        <v>0</v>
      </c>
    </row>
    <row r="92" spans="1:5">
      <c r="A92" s="66"/>
      <c r="B92" s="45"/>
      <c r="C92" s="46"/>
      <c r="D92" s="49"/>
    </row>
    <row r="93" spans="1:5">
      <c r="A93" s="48" t="s">
        <v>345</v>
      </c>
      <c r="B93" s="45" t="str">
        <f>B44</f>
        <v>Yield</v>
      </c>
      <c r="C93" s="46" t="str">
        <f>C44</f>
        <v>Kg/ha, wet</v>
      </c>
      <c r="D93" s="49">
        <f>D44</f>
        <v>1640</v>
      </c>
      <c r="E93" s="65">
        <f>E44</f>
        <v>1722</v>
      </c>
    </row>
    <row r="94" spans="1:5">
      <c r="A94" s="48"/>
      <c r="B94" s="45" t="str">
        <f>B45</f>
        <v>Main product, selling price @ farm gate</v>
      </c>
      <c r="C94" s="46" t="str">
        <f>C45</f>
        <v>Riel/Kg, wet</v>
      </c>
      <c r="D94" s="203">
        <f>2100*I$73</f>
        <v>2006.7050444004092</v>
      </c>
      <c r="E94" s="203">
        <f>D94</f>
        <v>2006.7050444004092</v>
      </c>
    </row>
    <row r="95" spans="1:5">
      <c r="A95" s="66"/>
      <c r="B95" s="45" t="str">
        <f>B46</f>
        <v>Revenue</v>
      </c>
      <c r="C95" s="46" t="str">
        <f>C46</f>
        <v>Riel/ha</v>
      </c>
      <c r="D95" s="49">
        <f>+D94*D93</f>
        <v>3290996.2728166711</v>
      </c>
      <c r="E95" s="49">
        <f>+E94*E93</f>
        <v>3455546.0864575044</v>
      </c>
    </row>
    <row r="96" spans="1:5">
      <c r="A96" s="56"/>
      <c r="B96" s="45"/>
      <c r="C96" s="46"/>
      <c r="D96" s="49"/>
    </row>
    <row r="97" spans="1:5">
      <c r="A97" s="66" t="str">
        <f>RiceAromatic!A97</f>
        <v>Performance</v>
      </c>
      <c r="B97" s="45" t="str">
        <f t="shared" ref="B97:C100" si="19">B48</f>
        <v>Gross margin (before family labour) [cash flow]</v>
      </c>
      <c r="C97" s="46" t="str">
        <f t="shared" si="19"/>
        <v>Riel/ha</v>
      </c>
      <c r="D97" s="58">
        <f>D95-D88-D89-D91</f>
        <v>3038077.6029088125</v>
      </c>
      <c r="E97" s="58">
        <f>E95-E88-E89-E91</f>
        <v>3202626.4165496458</v>
      </c>
    </row>
    <row r="98" spans="1:5">
      <c r="B98" s="45" t="str">
        <f t="shared" si="19"/>
        <v>Net margin (after family labour)</v>
      </c>
      <c r="C98" s="46" t="str">
        <f t="shared" si="19"/>
        <v>Riel/ha</v>
      </c>
      <c r="D98" s="60">
        <f>D97-D90</f>
        <v>1890577.6029088125</v>
      </c>
      <c r="E98" s="60">
        <f>E97-E90</f>
        <v>2099789.4165496458</v>
      </c>
    </row>
    <row r="99" spans="1:5">
      <c r="B99" s="45" t="str">
        <f t="shared" si="19"/>
        <v>Net margin (after family labour)</v>
      </c>
      <c r="C99" s="46" t="str">
        <f t="shared" si="19"/>
        <v>$/ha</v>
      </c>
      <c r="D99" s="61">
        <f>D98/CF!$I$6</f>
        <v>464.97235683935378</v>
      </c>
      <c r="E99" s="58">
        <f>E98/CF!$I$6</f>
        <v>516.42631985972594</v>
      </c>
    </row>
    <row r="100" spans="1:5" ht="27.95">
      <c r="B100" s="45" t="str">
        <f t="shared" si="19"/>
        <v>Returns to family labour</v>
      </c>
      <c r="C100" s="46" t="str">
        <f t="shared" si="19"/>
        <v>Riel/person day</v>
      </c>
      <c r="D100" s="58">
        <f>D97/SUM(D62:D67)</f>
        <v>57661.25674400961</v>
      </c>
      <c r="E100" s="58">
        <f>E97/SUM(E62:E67)</f>
        <v>63245.974451378337</v>
      </c>
    </row>
  </sheetData>
  <hyperlinks>
    <hyperlink ref="A1" location="ToC!A1" display=" Back to TOC" xr:uid="{2A1ABBBE-E858-44EB-B296-12AB86FAE994}"/>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4BD1FF-0445-4C8D-A136-FDFF23FDBD1E}">
  <dimension ref="A1:I100"/>
  <sheetViews>
    <sheetView topLeftCell="A22" zoomScale="66" zoomScaleNormal="66" workbookViewId="0">
      <selection activeCell="H58" sqref="H58"/>
    </sheetView>
  </sheetViews>
  <sheetFormatPr defaultColWidth="8.7109375" defaultRowHeight="14.1"/>
  <cols>
    <col min="1" max="1" width="23.7109375" style="65" customWidth="1"/>
    <col min="2" max="2" width="39.85546875" style="65" bestFit="1" customWidth="1"/>
    <col min="3" max="3" width="13.7109375" style="65" bestFit="1" customWidth="1"/>
    <col min="4" max="4" width="16.7109375" style="65" customWidth="1"/>
    <col min="5" max="5" width="10.5703125" style="65" bestFit="1" customWidth="1"/>
    <col min="6" max="7" width="8.7109375" style="65"/>
    <col min="8" max="8" width="37.85546875" style="65" customWidth="1"/>
    <col min="9" max="16384" width="8.7109375" style="65"/>
  </cols>
  <sheetData>
    <row r="1" spans="1:5" s="30" customFormat="1" ht="12.95">
      <c r="A1" s="29" t="s">
        <v>31</v>
      </c>
    </row>
    <row r="3" spans="1:5" s="95" customFormat="1">
      <c r="A3" s="97" t="s">
        <v>75</v>
      </c>
    </row>
    <row r="4" spans="1:5" s="70" customFormat="1">
      <c r="A4" s="62" t="s">
        <v>27</v>
      </c>
      <c r="B4" s="62"/>
      <c r="C4" s="62"/>
      <c r="D4" s="69"/>
    </row>
    <row r="5" spans="1:5">
      <c r="A5" s="41" t="s">
        <v>306</v>
      </c>
      <c r="B5" s="42"/>
      <c r="C5" s="43" t="s">
        <v>71</v>
      </c>
      <c r="D5" s="44" t="s">
        <v>307</v>
      </c>
      <c r="E5" s="65" t="s">
        <v>389</v>
      </c>
    </row>
    <row r="6" spans="1:5">
      <c r="A6" s="45" t="s">
        <v>309</v>
      </c>
      <c r="B6" s="45" t="s">
        <v>310</v>
      </c>
      <c r="C6" s="46" t="s">
        <v>360</v>
      </c>
      <c r="D6" s="47">
        <v>6000</v>
      </c>
      <c r="E6" s="71">
        <f>D6</f>
        <v>6000</v>
      </c>
    </row>
    <row r="7" spans="1:5">
      <c r="A7" s="45"/>
      <c r="B7" s="48" t="s">
        <v>312</v>
      </c>
      <c r="C7" s="48" t="s">
        <v>311</v>
      </c>
      <c r="D7" s="49">
        <v>125</v>
      </c>
      <c r="E7" s="71">
        <f t="shared" ref="E7:E11" si="0">D7</f>
        <v>125</v>
      </c>
    </row>
    <row r="8" spans="1:5">
      <c r="A8" s="45"/>
      <c r="B8" s="50" t="s">
        <v>313</v>
      </c>
      <c r="C8" s="50" t="s">
        <v>314</v>
      </c>
      <c r="D8" s="49">
        <v>11</v>
      </c>
      <c r="E8" s="71">
        <f t="shared" si="0"/>
        <v>11</v>
      </c>
    </row>
    <row r="9" spans="1:5">
      <c r="A9" s="45"/>
      <c r="B9" s="50" t="s">
        <v>315</v>
      </c>
      <c r="C9" s="50" t="s">
        <v>314</v>
      </c>
      <c r="D9" s="49">
        <v>0</v>
      </c>
      <c r="E9" s="71">
        <f t="shared" si="0"/>
        <v>0</v>
      </c>
    </row>
    <row r="10" spans="1:5">
      <c r="A10" s="45"/>
      <c r="B10" s="48" t="s">
        <v>316</v>
      </c>
      <c r="C10" s="50" t="s">
        <v>317</v>
      </c>
      <c r="D10" s="49">
        <v>0</v>
      </c>
      <c r="E10" s="71">
        <f t="shared" si="0"/>
        <v>0</v>
      </c>
    </row>
    <row r="11" spans="1:5">
      <c r="A11" s="45"/>
      <c r="B11" s="48" t="s">
        <v>318</v>
      </c>
      <c r="C11" s="50" t="s">
        <v>319</v>
      </c>
      <c r="D11" s="49">
        <v>6</v>
      </c>
      <c r="E11" s="71">
        <f t="shared" si="0"/>
        <v>6</v>
      </c>
    </row>
    <row r="12" spans="1:5">
      <c r="A12" s="66"/>
      <c r="B12" s="66"/>
      <c r="C12" s="66"/>
      <c r="D12" s="49"/>
    </row>
    <row r="13" spans="1:5">
      <c r="A13" s="45" t="s">
        <v>320</v>
      </c>
      <c r="B13" s="50" t="s">
        <v>321</v>
      </c>
      <c r="C13" s="48" t="str">
        <f>'Rice-non aromatic'!C13</f>
        <v>person-days/ha</v>
      </c>
      <c r="D13" s="75">
        <v>0</v>
      </c>
      <c r="E13" s="65">
        <v>3</v>
      </c>
    </row>
    <row r="14" spans="1:5">
      <c r="A14" s="48"/>
      <c r="B14" s="50" t="s">
        <v>323</v>
      </c>
      <c r="C14" s="48" t="str">
        <f>'Rice-non aromatic'!C14</f>
        <v>person-days/ha</v>
      </c>
      <c r="D14" s="75">
        <v>6.4282106616465402</v>
      </c>
      <c r="E14" s="65">
        <v>0</v>
      </c>
    </row>
    <row r="15" spans="1:5">
      <c r="A15" s="50"/>
      <c r="B15" s="45" t="s">
        <v>324</v>
      </c>
      <c r="C15" s="48" t="str">
        <f>'Rice-non aromatic'!C15</f>
        <v>person-days/ha</v>
      </c>
      <c r="D15" s="75">
        <v>1.0560631801276459</v>
      </c>
      <c r="E15" s="75">
        <f>D15</f>
        <v>1.0560631801276459</v>
      </c>
    </row>
    <row r="16" spans="1:5">
      <c r="A16" s="53"/>
      <c r="B16" s="45" t="s">
        <v>325</v>
      </c>
      <c r="C16" s="48" t="str">
        <f>'Rice-non aromatic'!C16</f>
        <v>person-days/ha</v>
      </c>
      <c r="D16" s="75">
        <v>3.6732632352265946</v>
      </c>
      <c r="E16" s="75">
        <f t="shared" ref="E16:E26" si="1">D16</f>
        <v>3.6732632352265946</v>
      </c>
    </row>
    <row r="17" spans="1:5">
      <c r="A17" s="53"/>
      <c r="B17" s="45" t="s">
        <v>326</v>
      </c>
      <c r="C17" s="48" t="str">
        <f>'Rice-non aromatic'!C17</f>
        <v>person-days/ha</v>
      </c>
      <c r="D17" s="75">
        <v>3.6732632352265946</v>
      </c>
      <c r="E17" s="75">
        <f t="shared" si="1"/>
        <v>3.6732632352265946</v>
      </c>
    </row>
    <row r="18" spans="1:5">
      <c r="A18" s="53"/>
      <c r="B18" s="45" t="s">
        <v>327</v>
      </c>
      <c r="C18" s="48" t="str">
        <f>'Rice-non aromatic'!C18</f>
        <v>person-days/ha</v>
      </c>
      <c r="D18" s="75">
        <v>1.0331052849074798</v>
      </c>
      <c r="E18" s="75">
        <f t="shared" si="1"/>
        <v>1.0331052849074798</v>
      </c>
    </row>
    <row r="19" spans="1:5">
      <c r="A19" s="53"/>
      <c r="B19" s="66"/>
      <c r="C19" s="66"/>
      <c r="D19" s="49"/>
      <c r="E19" s="75"/>
    </row>
    <row r="20" spans="1:5">
      <c r="A20" s="45" t="s">
        <v>328</v>
      </c>
      <c r="B20" s="45" t="s">
        <v>329</v>
      </c>
      <c r="C20" s="46" t="s">
        <v>118</v>
      </c>
      <c r="D20" s="49">
        <v>150</v>
      </c>
      <c r="E20" s="75">
        <f t="shared" si="1"/>
        <v>150</v>
      </c>
    </row>
    <row r="21" spans="1:5">
      <c r="A21" s="45"/>
      <c r="B21" s="48" t="s">
        <v>312</v>
      </c>
      <c r="C21" s="46" t="s">
        <v>118</v>
      </c>
      <c r="D21" s="49">
        <v>2300</v>
      </c>
      <c r="E21" s="75">
        <f t="shared" si="1"/>
        <v>2300</v>
      </c>
    </row>
    <row r="22" spans="1:5">
      <c r="A22" s="45"/>
      <c r="B22" s="50" t="s">
        <v>313</v>
      </c>
      <c r="C22" s="46" t="s">
        <v>330</v>
      </c>
      <c r="D22" s="49">
        <v>16500</v>
      </c>
      <c r="E22" s="75">
        <f t="shared" si="1"/>
        <v>16500</v>
      </c>
    </row>
    <row r="23" spans="1:5">
      <c r="A23" s="45"/>
      <c r="B23" s="50" t="s">
        <v>315</v>
      </c>
      <c r="C23" s="46" t="s">
        <v>330</v>
      </c>
      <c r="D23" s="49">
        <v>0</v>
      </c>
      <c r="E23" s="75">
        <f t="shared" si="1"/>
        <v>0</v>
      </c>
    </row>
    <row r="24" spans="1:5">
      <c r="A24" s="66"/>
      <c r="B24" s="48" t="s">
        <v>316</v>
      </c>
      <c r="C24" s="50" t="s">
        <v>332</v>
      </c>
      <c r="D24" s="49">
        <v>0</v>
      </c>
      <c r="E24" s="75">
        <f t="shared" si="1"/>
        <v>0</v>
      </c>
    </row>
    <row r="25" spans="1:5">
      <c r="A25" s="66"/>
      <c r="B25" s="66" t="s">
        <v>333</v>
      </c>
      <c r="C25" s="66" t="s">
        <v>334</v>
      </c>
      <c r="D25" s="73">
        <v>0</v>
      </c>
      <c r="E25" s="75">
        <f t="shared" si="1"/>
        <v>0</v>
      </c>
    </row>
    <row r="26" spans="1:5">
      <c r="A26" s="66"/>
      <c r="B26" s="66" t="s">
        <v>335</v>
      </c>
      <c r="C26" s="46" t="s">
        <v>336</v>
      </c>
      <c r="D26" s="49">
        <v>21779</v>
      </c>
      <c r="E26" s="75">
        <f t="shared" si="1"/>
        <v>21779</v>
      </c>
    </row>
    <row r="27" spans="1:5">
      <c r="A27" s="66" t="s">
        <v>337</v>
      </c>
      <c r="B27" s="66" t="s">
        <v>338</v>
      </c>
      <c r="C27" s="66" t="s">
        <v>339</v>
      </c>
      <c r="D27" s="49">
        <f t="shared" ref="D27:E31" si="2">+D6*D20</f>
        <v>900000</v>
      </c>
      <c r="E27" s="49">
        <f t="shared" si="2"/>
        <v>900000</v>
      </c>
    </row>
    <row r="28" spans="1:5">
      <c r="A28" s="66"/>
      <c r="B28" s="48" t="s">
        <v>312</v>
      </c>
      <c r="C28" s="66" t="s">
        <v>339</v>
      </c>
      <c r="D28" s="49">
        <f t="shared" si="2"/>
        <v>287500</v>
      </c>
      <c r="E28" s="49">
        <f t="shared" si="2"/>
        <v>287500</v>
      </c>
    </row>
    <row r="29" spans="1:5">
      <c r="A29" s="45"/>
      <c r="B29" s="50" t="s">
        <v>313</v>
      </c>
      <c r="C29" s="66" t="s">
        <v>339</v>
      </c>
      <c r="D29" s="49">
        <f t="shared" si="2"/>
        <v>181500</v>
      </c>
      <c r="E29" s="49">
        <f t="shared" si="2"/>
        <v>181500</v>
      </c>
    </row>
    <row r="30" spans="1:5">
      <c r="A30" s="45"/>
      <c r="B30" s="50" t="s">
        <v>315</v>
      </c>
      <c r="C30" s="66" t="s">
        <v>339</v>
      </c>
      <c r="D30" s="49">
        <f t="shared" si="2"/>
        <v>0</v>
      </c>
      <c r="E30" s="49">
        <f t="shared" si="2"/>
        <v>0</v>
      </c>
    </row>
    <row r="31" spans="1:5">
      <c r="A31" s="45"/>
      <c r="B31" s="48" t="s">
        <v>316</v>
      </c>
      <c r="C31" s="66" t="s">
        <v>339</v>
      </c>
      <c r="D31" s="49">
        <f t="shared" si="2"/>
        <v>0</v>
      </c>
      <c r="E31" s="49">
        <f t="shared" si="2"/>
        <v>0</v>
      </c>
    </row>
    <row r="32" spans="1:5">
      <c r="A32" s="66"/>
      <c r="B32" s="50" t="s">
        <v>321</v>
      </c>
      <c r="C32" s="66" t="s">
        <v>339</v>
      </c>
      <c r="D32" s="49">
        <f>++D13*D$26</f>
        <v>0</v>
      </c>
      <c r="E32" s="49">
        <f>++E13*E$26</f>
        <v>65337</v>
      </c>
    </row>
    <row r="33" spans="1:5">
      <c r="A33" s="66"/>
      <c r="B33" s="50" t="s">
        <v>323</v>
      </c>
      <c r="C33" s="66" t="s">
        <v>339</v>
      </c>
      <c r="D33" s="49">
        <f t="shared" ref="D33:E37" si="3">++D14*D$26</f>
        <v>140000</v>
      </c>
      <c r="E33" s="49">
        <f t="shared" si="3"/>
        <v>0</v>
      </c>
    </row>
    <row r="34" spans="1:5">
      <c r="A34" s="66"/>
      <c r="B34" s="45" t="s">
        <v>324</v>
      </c>
      <c r="C34" s="66" t="s">
        <v>339</v>
      </c>
      <c r="D34" s="49">
        <f t="shared" si="3"/>
        <v>23000</v>
      </c>
      <c r="E34" s="49">
        <f t="shared" si="3"/>
        <v>23000</v>
      </c>
    </row>
    <row r="35" spans="1:5">
      <c r="A35" s="66"/>
      <c r="B35" s="45" t="s">
        <v>325</v>
      </c>
      <c r="C35" s="66" t="s">
        <v>339</v>
      </c>
      <c r="D35" s="49">
        <f t="shared" si="3"/>
        <v>80000</v>
      </c>
      <c r="E35" s="49">
        <f t="shared" si="3"/>
        <v>80000</v>
      </c>
    </row>
    <row r="36" spans="1:5">
      <c r="A36" s="66"/>
      <c r="B36" s="45" t="s">
        <v>326</v>
      </c>
      <c r="C36" s="66" t="s">
        <v>339</v>
      </c>
      <c r="D36" s="49">
        <f t="shared" si="3"/>
        <v>80000</v>
      </c>
      <c r="E36" s="49">
        <f t="shared" si="3"/>
        <v>80000</v>
      </c>
    </row>
    <row r="37" spans="1:5">
      <c r="A37" s="66"/>
      <c r="B37" s="45" t="s">
        <v>327</v>
      </c>
      <c r="C37" s="66" t="s">
        <v>339</v>
      </c>
      <c r="D37" s="49">
        <f t="shared" si="3"/>
        <v>22500.000000000004</v>
      </c>
      <c r="E37" s="49">
        <f t="shared" si="3"/>
        <v>22500.000000000004</v>
      </c>
    </row>
    <row r="38" spans="1:5">
      <c r="A38" s="45"/>
      <c r="B38" s="45"/>
      <c r="C38" s="45"/>
      <c r="D38" s="49"/>
    </row>
    <row r="39" spans="1:5">
      <c r="A39" s="45" t="s">
        <v>340</v>
      </c>
      <c r="B39" s="45" t="s">
        <v>341</v>
      </c>
      <c r="C39" s="45" t="s">
        <v>339</v>
      </c>
      <c r="D39" s="49">
        <v>0</v>
      </c>
      <c r="E39" s="49">
        <v>1</v>
      </c>
    </row>
    <row r="40" spans="1:5">
      <c r="A40" s="45"/>
      <c r="B40" s="45" t="s">
        <v>342</v>
      </c>
      <c r="C40" s="45" t="s">
        <v>339</v>
      </c>
      <c r="D40" s="49">
        <f>SUM(D20:D31)</f>
        <v>1409729</v>
      </c>
      <c r="E40" s="49">
        <f>SUM(E20:E31)</f>
        <v>1409729</v>
      </c>
    </row>
    <row r="41" spans="1:5">
      <c r="A41" s="56"/>
      <c r="B41" s="56" t="s">
        <v>343</v>
      </c>
      <c r="C41" s="45" t="s">
        <v>339</v>
      </c>
      <c r="D41" s="49">
        <f>SUM(D32:D37)</f>
        <v>345500</v>
      </c>
      <c r="E41" s="49">
        <f>SUM(E32:E37)</f>
        <v>270837</v>
      </c>
    </row>
    <row r="42" spans="1:5">
      <c r="A42" s="66"/>
      <c r="B42" s="66" t="s">
        <v>386</v>
      </c>
      <c r="C42" s="66" t="s">
        <v>339</v>
      </c>
      <c r="D42" s="49">
        <f>+SUM(D39:D40)*D25*D11*50%</f>
        <v>0</v>
      </c>
      <c r="E42" s="49">
        <f>+SUM(E39:E40)*E25*E11*50%</f>
        <v>0</v>
      </c>
    </row>
    <row r="43" spans="1:5">
      <c r="A43" s="66"/>
      <c r="B43" s="66"/>
      <c r="C43" s="66"/>
      <c r="D43" s="49"/>
    </row>
    <row r="44" spans="1:5">
      <c r="A44" s="48" t="s">
        <v>345</v>
      </c>
      <c r="B44" s="50" t="s">
        <v>346</v>
      </c>
      <c r="C44" s="48" t="s">
        <v>347</v>
      </c>
      <c r="D44" s="49">
        <v>13000</v>
      </c>
      <c r="E44" s="214">
        <f>D44*1.05</f>
        <v>13650</v>
      </c>
    </row>
    <row r="45" spans="1:5">
      <c r="A45" s="48"/>
      <c r="B45" s="56" t="s">
        <v>348</v>
      </c>
      <c r="C45" s="45" t="s">
        <v>349</v>
      </c>
      <c r="D45" s="49">
        <v>359</v>
      </c>
      <c r="E45" s="71">
        <f>D45</f>
        <v>359</v>
      </c>
    </row>
    <row r="46" spans="1:5">
      <c r="A46" s="66"/>
      <c r="B46" s="66" t="s">
        <v>350</v>
      </c>
      <c r="C46" s="66" t="s">
        <v>339</v>
      </c>
      <c r="D46" s="49">
        <f>+D45*D44</f>
        <v>4667000</v>
      </c>
      <c r="E46" s="49">
        <f>+E45*E44</f>
        <v>4900350</v>
      </c>
    </row>
    <row r="47" spans="1:5">
      <c r="A47" s="56"/>
      <c r="B47" s="56"/>
      <c r="C47" s="45"/>
      <c r="D47" s="49"/>
    </row>
    <row r="48" spans="1:5">
      <c r="A48" s="66" t="str">
        <f>RiceAromatic!A48</f>
        <v>Performance</v>
      </c>
      <c r="B48" s="66" t="str">
        <f>RiceAromatic!B48</f>
        <v>Gross margin (before family labour) [cash flow]</v>
      </c>
      <c r="C48" s="66" t="str">
        <f>RiceAromatic!C48</f>
        <v>Riel/ha</v>
      </c>
      <c r="D48" s="58">
        <f>D46-D39-D40-D42</f>
        <v>3257271</v>
      </c>
      <c r="E48" s="58">
        <f>E46-E39-E40-E42</f>
        <v>3490620</v>
      </c>
    </row>
    <row r="49" spans="1:5">
      <c r="B49" s="66" t="str">
        <f>RiceAromatic!B49</f>
        <v>Net margin (after family labour)</v>
      </c>
      <c r="C49" s="66" t="str">
        <f>RiceAromatic!C49</f>
        <v>Riel/ha</v>
      </c>
      <c r="D49" s="60">
        <f>D48-D41</f>
        <v>2911771</v>
      </c>
      <c r="E49" s="60">
        <f>E48-E41</f>
        <v>3219783</v>
      </c>
    </row>
    <row r="50" spans="1:5">
      <c r="B50" s="66" t="str">
        <f>RiceAromatic!B50</f>
        <v>Net margin (after family labour)</v>
      </c>
      <c r="C50" s="66" t="str">
        <f>RiceAromatic!C50</f>
        <v>$/ha</v>
      </c>
      <c r="D50" s="61">
        <f>D49/CF!$I$6</f>
        <v>716.12666010821442</v>
      </c>
      <c r="E50" s="58">
        <f>E49/CF!$I$6</f>
        <v>791.87973438268568</v>
      </c>
    </row>
    <row r="51" spans="1:5">
      <c r="B51" s="66" t="str">
        <f>RiceAromatic!B51</f>
        <v>Returns to family labour</v>
      </c>
      <c r="C51" s="66" t="str">
        <f>RiceAromatic!C51</f>
        <v>Riel/person day</v>
      </c>
      <c r="D51" s="58">
        <f>D48/SUM(D13:D18)</f>
        <v>205325.91927351666</v>
      </c>
      <c r="E51" s="58">
        <f>E48/SUM(E13:E18)</f>
        <v>280693.60161277815</v>
      </c>
    </row>
    <row r="52" spans="1:5">
      <c r="B52" s="66" t="s">
        <v>356</v>
      </c>
      <c r="C52" s="66" t="str">
        <f>RiceAromatic!C52</f>
        <v>$/ha</v>
      </c>
      <c r="D52" s="58">
        <f>NPV(CF!$F$5,D50)</f>
        <v>676.3249375343197</v>
      </c>
      <c r="E52" s="58">
        <f>NPV(CF!$F$5,E50)</f>
        <v>747.8677191128919</v>
      </c>
    </row>
    <row r="53" spans="1:5">
      <c r="B53" s="66"/>
      <c r="C53" s="66"/>
    </row>
    <row r="54" spans="1:5" s="104" customFormat="1">
      <c r="A54" s="104" t="s">
        <v>76</v>
      </c>
    </row>
    <row r="55" spans="1:5">
      <c r="A55" s="45" t="s">
        <v>309</v>
      </c>
      <c r="B55" s="45" t="str">
        <f>B6</f>
        <v>Seed rate</v>
      </c>
      <c r="C55" s="46" t="str">
        <f>C6</f>
        <v>tree/ha</v>
      </c>
      <c r="D55" s="209">
        <f>D6</f>
        <v>6000</v>
      </c>
      <c r="E55" s="71">
        <f>E6</f>
        <v>6000</v>
      </c>
    </row>
    <row r="56" spans="1:5">
      <c r="A56" s="45"/>
      <c r="B56" s="45" t="str">
        <f t="shared" ref="B56:C60" si="4">B7</f>
        <v>Fertilizer</v>
      </c>
      <c r="C56" s="46" t="str">
        <f t="shared" si="4"/>
        <v>Kg/ha</v>
      </c>
      <c r="D56" s="209">
        <f t="shared" ref="D56:E66" si="5">D7</f>
        <v>125</v>
      </c>
      <c r="E56" s="71">
        <f t="shared" si="5"/>
        <v>125</v>
      </c>
    </row>
    <row r="57" spans="1:5">
      <c r="A57" s="45"/>
      <c r="B57" s="45" t="str">
        <f t="shared" si="4"/>
        <v>Insecticides and weedicides</v>
      </c>
      <c r="C57" s="46" t="str">
        <f t="shared" si="4"/>
        <v>bottle/ha</v>
      </c>
      <c r="D57" s="209">
        <f t="shared" si="5"/>
        <v>11</v>
      </c>
      <c r="E57" s="71">
        <f t="shared" si="5"/>
        <v>11</v>
      </c>
    </row>
    <row r="58" spans="1:5">
      <c r="A58" s="45"/>
      <c r="B58" s="45" t="str">
        <f t="shared" si="4"/>
        <v>Crop suplement</v>
      </c>
      <c r="C58" s="46" t="str">
        <f t="shared" si="4"/>
        <v>bottle/ha</v>
      </c>
      <c r="D58" s="209">
        <f t="shared" si="5"/>
        <v>0</v>
      </c>
      <c r="E58" s="71">
        <f t="shared" si="5"/>
        <v>0</v>
      </c>
    </row>
    <row r="59" spans="1:5">
      <c r="A59" s="45"/>
      <c r="B59" s="45" t="str">
        <f t="shared" si="4"/>
        <v>Water pumping</v>
      </c>
      <c r="C59" s="46" t="str">
        <f t="shared" si="4"/>
        <v>time/ha</v>
      </c>
      <c r="D59" s="209">
        <f t="shared" si="5"/>
        <v>0</v>
      </c>
      <c r="E59" s="71">
        <f t="shared" si="5"/>
        <v>0</v>
      </c>
    </row>
    <row r="60" spans="1:5">
      <c r="A60" s="45"/>
      <c r="B60" s="45" t="str">
        <f t="shared" si="4"/>
        <v>Interest period</v>
      </c>
      <c r="C60" s="46" t="str">
        <f t="shared" si="4"/>
        <v>month</v>
      </c>
      <c r="D60" s="209">
        <f t="shared" si="5"/>
        <v>6</v>
      </c>
      <c r="E60" s="71">
        <f t="shared" si="5"/>
        <v>6</v>
      </c>
    </row>
    <row r="61" spans="1:5">
      <c r="A61" s="66"/>
      <c r="B61" s="45"/>
      <c r="C61" s="46"/>
      <c r="D61" s="209"/>
      <c r="E61" s="71">
        <f t="shared" ref="E61" si="6">E12</f>
        <v>0</v>
      </c>
    </row>
    <row r="62" spans="1:5">
      <c r="A62" s="45" t="s">
        <v>320</v>
      </c>
      <c r="B62" s="45" t="str">
        <f t="shared" ref="B62:C67" si="7">B13</f>
        <v>Land preparation/ripping</v>
      </c>
      <c r="C62" s="46" t="str">
        <f t="shared" si="7"/>
        <v>person-days/ha</v>
      </c>
      <c r="D62" s="209">
        <f t="shared" si="5"/>
        <v>0</v>
      </c>
      <c r="E62" s="71">
        <f t="shared" ref="E62" si="8">E13</f>
        <v>3</v>
      </c>
    </row>
    <row r="63" spans="1:5">
      <c r="A63" s="48"/>
      <c r="B63" s="45" t="str">
        <f t="shared" si="7"/>
        <v>Land preparation/ridging</v>
      </c>
      <c r="C63" s="46" t="str">
        <f t="shared" si="7"/>
        <v>person-days/ha</v>
      </c>
      <c r="D63" s="209">
        <f t="shared" si="5"/>
        <v>6.4282106616465402</v>
      </c>
      <c r="E63" s="71">
        <f t="shared" ref="E63" si="9">E14</f>
        <v>0</v>
      </c>
    </row>
    <row r="64" spans="1:5">
      <c r="A64" s="50"/>
      <c r="B64" s="45" t="str">
        <f t="shared" si="7"/>
        <v>Sowing/planting</v>
      </c>
      <c r="C64" s="46" t="str">
        <f t="shared" si="7"/>
        <v>person-days/ha</v>
      </c>
      <c r="D64" s="209">
        <f t="shared" si="5"/>
        <v>1.0560631801276459</v>
      </c>
      <c r="E64" s="71">
        <f t="shared" ref="E64" si="10">E15</f>
        <v>1.0560631801276459</v>
      </c>
    </row>
    <row r="65" spans="1:9">
      <c r="A65" s="53"/>
      <c r="B65" s="45" t="str">
        <f t="shared" si="7"/>
        <v>Fertilizer application</v>
      </c>
      <c r="C65" s="46" t="str">
        <f t="shared" si="7"/>
        <v>person-days/ha</v>
      </c>
      <c r="D65" s="209">
        <f t="shared" si="5"/>
        <v>3.6732632352265946</v>
      </c>
      <c r="E65" s="71">
        <f t="shared" ref="E65" si="11">E16</f>
        <v>3.6732632352265946</v>
      </c>
    </row>
    <row r="66" spans="1:9">
      <c r="A66" s="53"/>
      <c r="B66" s="45" t="str">
        <f t="shared" si="7"/>
        <v>Pesticides application</v>
      </c>
      <c r="C66" s="46" t="str">
        <f t="shared" si="7"/>
        <v>person-days/ha</v>
      </c>
      <c r="D66" s="209">
        <f t="shared" si="5"/>
        <v>3.6732632352265946</v>
      </c>
      <c r="E66" s="71">
        <f t="shared" ref="E66:E67" si="12">E17</f>
        <v>3.6732632352265946</v>
      </c>
    </row>
    <row r="67" spans="1:9">
      <c r="A67" s="53"/>
      <c r="B67" s="45" t="str">
        <f t="shared" si="7"/>
        <v>Harvesting</v>
      </c>
      <c r="C67" s="46" t="str">
        <f t="shared" si="7"/>
        <v>person-days/ha</v>
      </c>
      <c r="D67" s="209">
        <f>D18</f>
        <v>1.0331052849074798</v>
      </c>
      <c r="E67" s="71">
        <f t="shared" si="12"/>
        <v>1.0331052849074798</v>
      </c>
    </row>
    <row r="68" spans="1:9">
      <c r="A68" s="53"/>
      <c r="B68" s="45"/>
      <c r="C68" s="46"/>
      <c r="D68" s="209"/>
    </row>
    <row r="69" spans="1:9">
      <c r="A69" s="45" t="s">
        <v>328</v>
      </c>
      <c r="B69" s="45" t="str">
        <f t="shared" ref="B69:C86" si="13">B20</f>
        <v>Seed, purchase price</v>
      </c>
      <c r="C69" s="46" t="str">
        <f t="shared" si="13"/>
        <v>Riel/Kg</v>
      </c>
      <c r="D69" s="209">
        <f t="shared" ref="D69:E69" si="14">D20</f>
        <v>150</v>
      </c>
      <c r="E69" s="209">
        <f t="shared" si="14"/>
        <v>150</v>
      </c>
    </row>
    <row r="70" spans="1:9">
      <c r="A70" s="45"/>
      <c r="B70" s="45" t="str">
        <f t="shared" si="13"/>
        <v>Fertilizer</v>
      </c>
      <c r="C70" s="46" t="str">
        <f t="shared" si="13"/>
        <v>Riel/Kg</v>
      </c>
      <c r="D70" s="105">
        <f t="shared" ref="D70:E72" si="15">D21*$I$72</f>
        <v>2008.9847465783346</v>
      </c>
      <c r="E70" s="105">
        <f t="shared" si="15"/>
        <v>2008.9847465783346</v>
      </c>
      <c r="H70" s="65" t="str">
        <f>CF!A7</f>
        <v>Shadow exchange rate Factor (SERF)</v>
      </c>
      <c r="I70" s="202">
        <f>CF!B7</f>
        <v>1.1490704748349865</v>
      </c>
    </row>
    <row r="71" spans="1:9">
      <c r="A71" s="45"/>
      <c r="B71" s="45" t="str">
        <f t="shared" si="13"/>
        <v>Insecticides and weedicides</v>
      </c>
      <c r="C71" s="46" t="str">
        <f t="shared" si="13"/>
        <v>Riel/bottle</v>
      </c>
      <c r="D71" s="105">
        <f t="shared" si="15"/>
        <v>14412.281877627182</v>
      </c>
      <c r="E71" s="105">
        <f t="shared" si="15"/>
        <v>14412.281877627182</v>
      </c>
      <c r="H71" s="65" t="str">
        <f>CF!A8</f>
        <v>Standard Conversion Factor (SCF)</v>
      </c>
      <c r="I71" s="202">
        <f>CF!B8</f>
        <v>0.87026864052320729</v>
      </c>
    </row>
    <row r="72" spans="1:9">
      <c r="A72" s="45"/>
      <c r="B72" s="45" t="str">
        <f t="shared" si="13"/>
        <v>Crop suplement</v>
      </c>
      <c r="C72" s="46" t="str">
        <f t="shared" si="13"/>
        <v>Riel/bottle</v>
      </c>
      <c r="D72" s="105">
        <f t="shared" si="15"/>
        <v>0</v>
      </c>
      <c r="E72" s="105">
        <f t="shared" si="15"/>
        <v>0</v>
      </c>
      <c r="H72" s="65" t="str">
        <f>CF!A9</f>
        <v>Conversion Factor for imported chemicals</v>
      </c>
      <c r="I72" s="202">
        <f>CF!B9</f>
        <v>0.87347162894710195</v>
      </c>
    </row>
    <row r="73" spans="1:9">
      <c r="A73" s="66"/>
      <c r="B73" s="45" t="str">
        <f t="shared" si="13"/>
        <v>Water pumping</v>
      </c>
      <c r="C73" s="46" t="str">
        <f t="shared" si="13"/>
        <v>Riel/time/ha</v>
      </c>
      <c r="D73" s="105">
        <f>D24*$I$71</f>
        <v>0</v>
      </c>
      <c r="E73" s="105">
        <f>E24*$I$71</f>
        <v>0</v>
      </c>
      <c r="H73" s="65" t="str">
        <f>CF!A10</f>
        <v>Conversion Factor for exported agric/ products</v>
      </c>
      <c r="I73" s="202">
        <f>CF!B10</f>
        <v>0.95557383066686152</v>
      </c>
    </row>
    <row r="74" spans="1:9">
      <c r="A74" s="66"/>
      <c r="B74" s="45" t="str">
        <f t="shared" si="13"/>
        <v>Interest rate</v>
      </c>
      <c r="C74" s="46" t="str">
        <f t="shared" si="13"/>
        <v>% per month</v>
      </c>
      <c r="D74" s="207">
        <v>0</v>
      </c>
      <c r="E74" s="208"/>
      <c r="H74" s="65" t="str">
        <f>CF!A11</f>
        <v>Shadow Wage Rate Factor (SWRF) a/</v>
      </c>
      <c r="I74" s="202">
        <f>CF!B11</f>
        <v>0.75</v>
      </c>
    </row>
    <row r="75" spans="1:9">
      <c r="A75" s="66"/>
      <c r="B75" s="45" t="str">
        <f t="shared" si="13"/>
        <v>Labour</v>
      </c>
      <c r="C75" s="46" t="str">
        <f t="shared" si="13"/>
        <v>Riel/person day</v>
      </c>
      <c r="D75" s="105">
        <f>RiceAromatic!D75</f>
        <v>16334.25</v>
      </c>
      <c r="E75" s="105">
        <f>D75</f>
        <v>16334.25</v>
      </c>
    </row>
    <row r="76" spans="1:9">
      <c r="A76" s="66" t="s">
        <v>337</v>
      </c>
      <c r="B76" s="45" t="str">
        <f t="shared" si="13"/>
        <v>Seed</v>
      </c>
      <c r="C76" s="46" t="str">
        <f t="shared" si="13"/>
        <v>Riel/ha</v>
      </c>
      <c r="D76" s="49">
        <f t="shared" ref="D76:E80" si="16">+D55*D69</f>
        <v>900000</v>
      </c>
      <c r="E76" s="49">
        <f t="shared" si="16"/>
        <v>900000</v>
      </c>
    </row>
    <row r="77" spans="1:9">
      <c r="A77" s="66"/>
      <c r="B77" s="45" t="str">
        <f t="shared" si="13"/>
        <v>Fertilizer</v>
      </c>
      <c r="C77" s="46" t="str">
        <f t="shared" si="13"/>
        <v>Riel/ha</v>
      </c>
      <c r="D77" s="49">
        <f t="shared" si="16"/>
        <v>251123.09332229182</v>
      </c>
      <c r="E77" s="49">
        <f t="shared" si="16"/>
        <v>251123.09332229182</v>
      </c>
    </row>
    <row r="78" spans="1:9">
      <c r="A78" s="45"/>
      <c r="B78" s="45" t="str">
        <f t="shared" si="13"/>
        <v>Insecticides and weedicides</v>
      </c>
      <c r="C78" s="46" t="str">
        <f t="shared" si="13"/>
        <v>Riel/ha</v>
      </c>
      <c r="D78" s="49">
        <f t="shared" si="16"/>
        <v>158535.10065389899</v>
      </c>
      <c r="E78" s="49">
        <f t="shared" si="16"/>
        <v>158535.10065389899</v>
      </c>
    </row>
    <row r="79" spans="1:9">
      <c r="A79" s="45"/>
      <c r="B79" s="45" t="str">
        <f t="shared" si="13"/>
        <v>Crop suplement</v>
      </c>
      <c r="C79" s="46" t="str">
        <f t="shared" si="13"/>
        <v>Riel/ha</v>
      </c>
      <c r="D79" s="49">
        <f t="shared" si="16"/>
        <v>0</v>
      </c>
      <c r="E79" s="49">
        <f t="shared" si="16"/>
        <v>0</v>
      </c>
    </row>
    <row r="80" spans="1:9">
      <c r="A80" s="45"/>
      <c r="B80" s="45" t="str">
        <f t="shared" si="13"/>
        <v>Water pumping</v>
      </c>
      <c r="C80" s="46" t="str">
        <f t="shared" si="13"/>
        <v>Riel/ha</v>
      </c>
      <c r="D80" s="49">
        <f t="shared" si="16"/>
        <v>0</v>
      </c>
      <c r="E80" s="49">
        <f t="shared" si="16"/>
        <v>0</v>
      </c>
    </row>
    <row r="81" spans="1:5">
      <c r="A81" s="66"/>
      <c r="B81" s="45" t="str">
        <f t="shared" si="13"/>
        <v>Land preparation/ripping</v>
      </c>
      <c r="C81" s="46" t="str">
        <f t="shared" si="13"/>
        <v>Riel/ha</v>
      </c>
      <c r="D81" s="49">
        <f>++D62*D$26</f>
        <v>0</v>
      </c>
      <c r="E81" s="49">
        <f>++E62*E$26</f>
        <v>65337</v>
      </c>
    </row>
    <row r="82" spans="1:5">
      <c r="A82" s="66"/>
      <c r="B82" s="45" t="str">
        <f t="shared" si="13"/>
        <v>Land preparation/ridging</v>
      </c>
      <c r="C82" s="46" t="str">
        <f t="shared" si="13"/>
        <v>Riel/ha</v>
      </c>
      <c r="D82" s="49">
        <f t="shared" ref="D82:E86" si="17">++D63*D$26</f>
        <v>140000</v>
      </c>
      <c r="E82" s="49">
        <f t="shared" si="17"/>
        <v>0</v>
      </c>
    </row>
    <row r="83" spans="1:5">
      <c r="A83" s="66"/>
      <c r="B83" s="45" t="str">
        <f t="shared" si="13"/>
        <v>Sowing/planting</v>
      </c>
      <c r="C83" s="46" t="str">
        <f t="shared" si="13"/>
        <v>Riel/ha</v>
      </c>
      <c r="D83" s="49">
        <f t="shared" si="17"/>
        <v>23000</v>
      </c>
      <c r="E83" s="49">
        <f t="shared" si="17"/>
        <v>23000</v>
      </c>
    </row>
    <row r="84" spans="1:5">
      <c r="A84" s="66"/>
      <c r="B84" s="45" t="str">
        <f t="shared" si="13"/>
        <v>Fertilizer application</v>
      </c>
      <c r="C84" s="46" t="str">
        <f t="shared" si="13"/>
        <v>Riel/ha</v>
      </c>
      <c r="D84" s="49">
        <f t="shared" si="17"/>
        <v>80000</v>
      </c>
      <c r="E84" s="49">
        <f t="shared" si="17"/>
        <v>80000</v>
      </c>
    </row>
    <row r="85" spans="1:5">
      <c r="A85" s="66"/>
      <c r="B85" s="45" t="str">
        <f t="shared" si="13"/>
        <v>Pesticides application</v>
      </c>
      <c r="C85" s="46" t="str">
        <f t="shared" si="13"/>
        <v>Riel/ha</v>
      </c>
      <c r="D85" s="49">
        <f t="shared" si="17"/>
        <v>80000</v>
      </c>
      <c r="E85" s="49">
        <f t="shared" si="17"/>
        <v>80000</v>
      </c>
    </row>
    <row r="86" spans="1:5">
      <c r="A86" s="66"/>
      <c r="B86" s="45" t="str">
        <f t="shared" si="13"/>
        <v>Harvesting</v>
      </c>
      <c r="C86" s="46" t="str">
        <f t="shared" si="13"/>
        <v>Riel/ha</v>
      </c>
      <c r="D86" s="49">
        <f t="shared" si="17"/>
        <v>22500.000000000004</v>
      </c>
      <c r="E86" s="49">
        <f t="shared" si="17"/>
        <v>22500.000000000004</v>
      </c>
    </row>
    <row r="87" spans="1:5">
      <c r="A87" s="45"/>
      <c r="B87" s="45"/>
      <c r="C87" s="46"/>
      <c r="D87" s="49"/>
      <c r="E87" s="49"/>
    </row>
    <row r="88" spans="1:5">
      <c r="A88" s="45" t="s">
        <v>340</v>
      </c>
      <c r="B88" s="45" t="str">
        <f t="shared" ref="B88:C91" si="18">B39</f>
        <v>Land cost</v>
      </c>
      <c r="C88" s="46" t="str">
        <f t="shared" si="18"/>
        <v>Riel/ha</v>
      </c>
      <c r="D88" s="49">
        <v>0</v>
      </c>
      <c r="E88" s="49">
        <v>1</v>
      </c>
    </row>
    <row r="89" spans="1:5">
      <c r="A89" s="45"/>
      <c r="B89" s="45" t="str">
        <f t="shared" si="18"/>
        <v>Input cost</v>
      </c>
      <c r="C89" s="46" t="str">
        <f t="shared" si="18"/>
        <v>Riel/ha</v>
      </c>
      <c r="D89" s="49">
        <f>SUM(D69:D80)</f>
        <v>1342563.7106003962</v>
      </c>
      <c r="E89" s="49">
        <f>SUM(E69:E80)</f>
        <v>1342563.7106003962</v>
      </c>
    </row>
    <row r="90" spans="1:5">
      <c r="A90" s="56"/>
      <c r="B90" s="45" t="str">
        <f t="shared" si="18"/>
        <v>Labour cost</v>
      </c>
      <c r="C90" s="46" t="str">
        <f t="shared" si="18"/>
        <v>Riel/ha</v>
      </c>
      <c r="D90" s="49">
        <f>SUM(D81:D86)</f>
        <v>345500</v>
      </c>
      <c r="E90" s="49">
        <f>SUM(E81:E86)</f>
        <v>270837</v>
      </c>
    </row>
    <row r="91" spans="1:5">
      <c r="A91" s="66"/>
      <c r="B91" s="45" t="str">
        <f t="shared" si="18"/>
        <v>Interest</v>
      </c>
      <c r="C91" s="46" t="str">
        <f t="shared" si="18"/>
        <v>Riel/ha</v>
      </c>
      <c r="D91" s="49">
        <f>+SUM(D88:D89)*D74*D60*50%</f>
        <v>0</v>
      </c>
      <c r="E91" s="49">
        <f>+SUM(E88:E89)*E74*E60*50%</f>
        <v>0</v>
      </c>
    </row>
    <row r="92" spans="1:5">
      <c r="A92" s="66"/>
      <c r="B92" s="45"/>
      <c r="C92" s="46"/>
      <c r="D92" s="49"/>
    </row>
    <row r="93" spans="1:5">
      <c r="A93" s="48" t="s">
        <v>345</v>
      </c>
      <c r="B93" s="45" t="str">
        <f>B44</f>
        <v>Yield</v>
      </c>
      <c r="C93" s="46" t="str">
        <f>C44</f>
        <v>Kg/ha, wet</v>
      </c>
      <c r="D93" s="49">
        <f>D44</f>
        <v>13000</v>
      </c>
      <c r="E93" s="65">
        <f>E44</f>
        <v>13650</v>
      </c>
    </row>
    <row r="94" spans="1:5">
      <c r="A94" s="48"/>
      <c r="B94" s="45" t="str">
        <f>B45</f>
        <v>Main product, selling price @ farm gate</v>
      </c>
      <c r="C94" s="46" t="str">
        <f>C45</f>
        <v>Riel/Kg, wet</v>
      </c>
      <c r="D94" s="203">
        <f>359*I$73</f>
        <v>343.05100520940329</v>
      </c>
      <c r="E94" s="203">
        <f>D94</f>
        <v>343.05100520940329</v>
      </c>
    </row>
    <row r="95" spans="1:5">
      <c r="A95" s="66"/>
      <c r="B95" s="45" t="str">
        <f>B46</f>
        <v>Revenue</v>
      </c>
      <c r="C95" s="46" t="str">
        <f>C46</f>
        <v>Riel/ha</v>
      </c>
      <c r="D95" s="49">
        <f>+D94*D93</f>
        <v>4459663.0677222423</v>
      </c>
      <c r="E95" s="49">
        <f>+E94*E93</f>
        <v>4682646.2211083546</v>
      </c>
    </row>
    <row r="96" spans="1:5">
      <c r="A96" s="56"/>
      <c r="B96" s="45"/>
      <c r="C96" s="46"/>
      <c r="D96" s="49"/>
    </row>
    <row r="97" spans="1:5">
      <c r="A97" s="66" t="str">
        <f>RiceAromatic!A97</f>
        <v>Performance</v>
      </c>
      <c r="B97" s="45" t="str">
        <f t="shared" ref="B97:C100" si="19">B48</f>
        <v>Gross margin (before family labour) [cash flow]</v>
      </c>
      <c r="C97" s="46" t="str">
        <f t="shared" si="19"/>
        <v>Riel/ha</v>
      </c>
      <c r="D97" s="58">
        <f>D95-D88-D89-D91</f>
        <v>3117099.3571218462</v>
      </c>
      <c r="E97" s="58">
        <f>E95-E88-E89-E91</f>
        <v>3340081.5105079585</v>
      </c>
    </row>
    <row r="98" spans="1:5">
      <c r="B98" s="45" t="str">
        <f t="shared" si="19"/>
        <v>Net margin (after family labour)</v>
      </c>
      <c r="C98" s="46" t="str">
        <f t="shared" si="19"/>
        <v>Riel/ha</v>
      </c>
      <c r="D98" s="60">
        <f>D97-D90</f>
        <v>2771599.3571218462</v>
      </c>
      <c r="E98" s="60">
        <f>E97-E90</f>
        <v>3069244.5105079585</v>
      </c>
    </row>
    <row r="99" spans="1:5">
      <c r="B99" s="45" t="str">
        <f t="shared" si="19"/>
        <v>Net margin (after family labour)</v>
      </c>
      <c r="C99" s="46" t="str">
        <f t="shared" si="19"/>
        <v>$/ha</v>
      </c>
      <c r="D99" s="61">
        <f>D98/CF!$I$6</f>
        <v>681.65257184501877</v>
      </c>
      <c r="E99" s="58">
        <f>E98/CF!$I$6</f>
        <v>754.85600356811574</v>
      </c>
    </row>
    <row r="100" spans="1:5">
      <c r="B100" s="45" t="str">
        <f t="shared" si="19"/>
        <v>Returns to family labour</v>
      </c>
      <c r="C100" s="46" t="str">
        <f t="shared" si="19"/>
        <v>Riel/person day</v>
      </c>
      <c r="D100" s="58">
        <f>D97/SUM(D62:D67)</f>
        <v>196490.03443923788</v>
      </c>
      <c r="E100" s="58">
        <f>E97/SUM(E62:E67)</f>
        <v>268588.24760779669</v>
      </c>
    </row>
  </sheetData>
  <hyperlinks>
    <hyperlink ref="A1" location="ToC!A1" display=" Back to TOC" xr:uid="{0B29DE66-D454-43B9-AE4E-38A4D1B66AF2}"/>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E7021-BBCD-4212-B08A-F6FE3DB08644}">
  <dimension ref="A1:I100"/>
  <sheetViews>
    <sheetView topLeftCell="A28" zoomScale="71" zoomScaleNormal="71" workbookViewId="0">
      <selection activeCell="D45" sqref="D45"/>
    </sheetView>
  </sheetViews>
  <sheetFormatPr defaultColWidth="8.7109375" defaultRowHeight="14.1"/>
  <cols>
    <col min="1" max="1" width="40" style="65" bestFit="1" customWidth="1"/>
    <col min="2" max="2" width="40.28515625" style="65" bestFit="1" customWidth="1"/>
    <col min="3" max="3" width="17.85546875" style="65" bestFit="1" customWidth="1"/>
    <col min="4" max="4" width="17.28515625" style="65" customWidth="1"/>
    <col min="5" max="7" width="8.7109375" style="65"/>
    <col min="8" max="8" width="37.85546875" style="65" customWidth="1"/>
    <col min="9" max="16384" width="8.7109375" style="65"/>
  </cols>
  <sheetData>
    <row r="1" spans="1:5" s="30" customFormat="1" ht="12.95">
      <c r="A1" s="29" t="s">
        <v>31</v>
      </c>
    </row>
    <row r="3" spans="1:5" s="95" customFormat="1">
      <c r="A3" s="97" t="s">
        <v>75</v>
      </c>
      <c r="E3" s="65"/>
    </row>
    <row r="4" spans="1:5" s="70" customFormat="1">
      <c r="A4" s="62" t="s">
        <v>391</v>
      </c>
      <c r="B4" s="62"/>
      <c r="C4" s="62"/>
      <c r="D4" s="69"/>
    </row>
    <row r="5" spans="1:5">
      <c r="A5" s="41" t="s">
        <v>306</v>
      </c>
      <c r="B5" s="42"/>
      <c r="C5" s="43" t="s">
        <v>71</v>
      </c>
      <c r="D5" s="44"/>
      <c r="E5" s="205"/>
    </row>
    <row r="6" spans="1:5" ht="15.95">
      <c r="A6" s="45" t="s">
        <v>309</v>
      </c>
      <c r="B6" s="45" t="s">
        <v>310</v>
      </c>
      <c r="C6" s="46" t="s">
        <v>392</v>
      </c>
      <c r="D6" s="47">
        <v>3500</v>
      </c>
    </row>
    <row r="7" spans="1:5" ht="15.95">
      <c r="A7" s="45"/>
      <c r="B7" s="48" t="s">
        <v>312</v>
      </c>
      <c r="C7" s="46" t="s">
        <v>372</v>
      </c>
      <c r="D7" s="49">
        <v>0</v>
      </c>
    </row>
    <row r="8" spans="1:5" ht="15.95">
      <c r="A8" s="45"/>
      <c r="B8" s="50" t="s">
        <v>313</v>
      </c>
      <c r="C8" s="46" t="s">
        <v>373</v>
      </c>
      <c r="D8" s="49">
        <v>0</v>
      </c>
    </row>
    <row r="9" spans="1:5" ht="15.95">
      <c r="A9" s="45"/>
      <c r="B9" s="50" t="s">
        <v>315</v>
      </c>
      <c r="C9" s="46" t="s">
        <v>374</v>
      </c>
      <c r="D9" s="49">
        <v>0</v>
      </c>
    </row>
    <row r="10" spans="1:5" ht="15.95">
      <c r="A10" s="45"/>
      <c r="B10" s="48" t="s">
        <v>316</v>
      </c>
      <c r="C10" s="46" t="s">
        <v>375</v>
      </c>
      <c r="D10" s="49">
        <v>0</v>
      </c>
    </row>
    <row r="11" spans="1:5">
      <c r="A11" s="45"/>
      <c r="B11" s="48" t="s">
        <v>318</v>
      </c>
      <c r="C11" s="50" t="s">
        <v>319</v>
      </c>
      <c r="D11" s="49">
        <v>3</v>
      </c>
    </row>
    <row r="12" spans="1:5">
      <c r="A12" s="66"/>
      <c r="B12" s="66"/>
      <c r="C12" s="66"/>
      <c r="D12" s="49"/>
    </row>
    <row r="13" spans="1:5" ht="15.95">
      <c r="A13" s="45" t="s">
        <v>320</v>
      </c>
      <c r="B13" s="50" t="s">
        <v>321</v>
      </c>
      <c r="C13" s="46" t="s">
        <v>376</v>
      </c>
      <c r="D13" s="74">
        <f>WaterConvolvulus!D13</f>
        <v>1</v>
      </c>
    </row>
    <row r="14" spans="1:5" ht="15.95">
      <c r="A14" s="48"/>
      <c r="B14" s="50" t="s">
        <v>323</v>
      </c>
      <c r="C14" s="46" t="s">
        <v>376</v>
      </c>
      <c r="D14" s="74">
        <f>WaterConvolvulus!D14</f>
        <v>0</v>
      </c>
    </row>
    <row r="15" spans="1:5" ht="15.95">
      <c r="A15" s="50"/>
      <c r="B15" s="45" t="s">
        <v>324</v>
      </c>
      <c r="C15" s="46" t="s">
        <v>376</v>
      </c>
      <c r="D15" s="74">
        <f>WaterConvolvulus!D15</f>
        <v>1.5</v>
      </c>
    </row>
    <row r="16" spans="1:5" ht="15.95">
      <c r="A16" s="53"/>
      <c r="B16" s="45" t="s">
        <v>325</v>
      </c>
      <c r="C16" s="46" t="s">
        <v>376</v>
      </c>
      <c r="D16" s="74">
        <f>WaterConvolvulus!D16</f>
        <v>1</v>
      </c>
    </row>
    <row r="17" spans="1:4" ht="15.95">
      <c r="A17" s="53"/>
      <c r="B17" s="45" t="s">
        <v>326</v>
      </c>
      <c r="C17" s="46" t="s">
        <v>376</v>
      </c>
      <c r="D17" s="74">
        <f>WaterConvolvulus!D17</f>
        <v>1</v>
      </c>
    </row>
    <row r="18" spans="1:4" ht="15.95">
      <c r="A18" s="53"/>
      <c r="B18" s="45" t="s">
        <v>327</v>
      </c>
      <c r="C18" s="46" t="s">
        <v>376</v>
      </c>
      <c r="D18" s="74">
        <f>WaterConvolvulus!D18</f>
        <v>2</v>
      </c>
    </row>
    <row r="19" spans="1:4">
      <c r="A19" s="53"/>
      <c r="B19" s="66"/>
      <c r="C19" s="66"/>
      <c r="D19" s="49"/>
    </row>
    <row r="20" spans="1:4">
      <c r="A20" s="45" t="s">
        <v>328</v>
      </c>
      <c r="B20" s="45" t="s">
        <v>329</v>
      </c>
      <c r="C20" s="46" t="s">
        <v>393</v>
      </c>
      <c r="D20" s="49">
        <v>8</v>
      </c>
    </row>
    <row r="21" spans="1:4">
      <c r="A21" s="45"/>
      <c r="B21" s="48" t="s">
        <v>312</v>
      </c>
      <c r="C21" s="46" t="s">
        <v>118</v>
      </c>
      <c r="D21" s="49">
        <v>0</v>
      </c>
    </row>
    <row r="22" spans="1:4">
      <c r="A22" s="45"/>
      <c r="B22" s="50" t="s">
        <v>313</v>
      </c>
      <c r="C22" s="46" t="s">
        <v>378</v>
      </c>
      <c r="D22" s="49">
        <v>0</v>
      </c>
    </row>
    <row r="23" spans="1:4">
      <c r="A23" s="45"/>
      <c r="B23" s="50" t="s">
        <v>315</v>
      </c>
      <c r="C23" s="46" t="s">
        <v>330</v>
      </c>
      <c r="D23" s="49">
        <v>0</v>
      </c>
    </row>
    <row r="24" spans="1:4" ht="15.95">
      <c r="A24" s="66"/>
      <c r="B24" s="48" t="s">
        <v>316</v>
      </c>
      <c r="C24" s="50" t="s">
        <v>379</v>
      </c>
      <c r="D24" s="49">
        <v>0</v>
      </c>
    </row>
    <row r="25" spans="1:4">
      <c r="A25" s="66"/>
      <c r="B25" s="66" t="s">
        <v>333</v>
      </c>
      <c r="C25" s="66" t="s">
        <v>334</v>
      </c>
      <c r="D25" s="73">
        <v>0</v>
      </c>
    </row>
    <row r="26" spans="1:4">
      <c r="A26" s="66"/>
      <c r="B26" s="66" t="s">
        <v>335</v>
      </c>
      <c r="C26" s="46" t="s">
        <v>336</v>
      </c>
      <c r="D26" s="49">
        <v>21779</v>
      </c>
    </row>
    <row r="27" spans="1:4" ht="15.95">
      <c r="A27" s="66" t="s">
        <v>337</v>
      </c>
      <c r="B27" s="66" t="s">
        <v>338</v>
      </c>
      <c r="C27" s="46" t="s">
        <v>380</v>
      </c>
      <c r="D27" s="49">
        <f>+D6*D20</f>
        <v>28000</v>
      </c>
    </row>
    <row r="28" spans="1:4" ht="15.95">
      <c r="A28" s="66"/>
      <c r="B28" s="48" t="s">
        <v>312</v>
      </c>
      <c r="C28" s="46" t="s">
        <v>380</v>
      </c>
      <c r="D28" s="49">
        <f>+D7*D21</f>
        <v>0</v>
      </c>
    </row>
    <row r="29" spans="1:4" ht="15.95">
      <c r="A29" s="45"/>
      <c r="B29" s="50" t="s">
        <v>313</v>
      </c>
      <c r="C29" s="46" t="s">
        <v>380</v>
      </c>
      <c r="D29" s="49">
        <f>+D8*D22</f>
        <v>0</v>
      </c>
    </row>
    <row r="30" spans="1:4" ht="15.95">
      <c r="A30" s="45"/>
      <c r="B30" s="50" t="s">
        <v>315</v>
      </c>
      <c r="C30" s="46" t="s">
        <v>380</v>
      </c>
      <c r="D30" s="49">
        <f>+D9*D23</f>
        <v>0</v>
      </c>
    </row>
    <row r="31" spans="1:4" ht="15.95">
      <c r="A31" s="45"/>
      <c r="B31" s="48" t="s">
        <v>316</v>
      </c>
      <c r="C31" s="46" t="s">
        <v>380</v>
      </c>
      <c r="D31" s="49">
        <f>+D10*D24</f>
        <v>0</v>
      </c>
    </row>
    <row r="32" spans="1:4" ht="15.95">
      <c r="A32" s="66"/>
      <c r="B32" s="50" t="s">
        <v>321</v>
      </c>
      <c r="C32" s="46" t="s">
        <v>380</v>
      </c>
      <c r="D32" s="49">
        <f>++D13*D$26</f>
        <v>21779</v>
      </c>
    </row>
    <row r="33" spans="1:4" ht="15.95">
      <c r="A33" s="66"/>
      <c r="B33" s="50" t="s">
        <v>323</v>
      </c>
      <c r="C33" s="46" t="s">
        <v>380</v>
      </c>
      <c r="D33" s="49">
        <f t="shared" ref="D33:D37" si="0">++D14*D$26</f>
        <v>0</v>
      </c>
    </row>
    <row r="34" spans="1:4" ht="15.95">
      <c r="A34" s="66"/>
      <c r="B34" s="45" t="s">
        <v>324</v>
      </c>
      <c r="C34" s="46" t="s">
        <v>380</v>
      </c>
      <c r="D34" s="49">
        <f t="shared" si="0"/>
        <v>32668.5</v>
      </c>
    </row>
    <row r="35" spans="1:4" ht="15.95">
      <c r="A35" s="66"/>
      <c r="B35" s="45" t="s">
        <v>325</v>
      </c>
      <c r="C35" s="46" t="s">
        <v>380</v>
      </c>
      <c r="D35" s="49">
        <f t="shared" si="0"/>
        <v>21779</v>
      </c>
    </row>
    <row r="36" spans="1:4" ht="15.95">
      <c r="A36" s="66"/>
      <c r="B36" s="45" t="s">
        <v>326</v>
      </c>
      <c r="C36" s="46" t="s">
        <v>380</v>
      </c>
      <c r="D36" s="49">
        <f t="shared" si="0"/>
        <v>21779</v>
      </c>
    </row>
    <row r="37" spans="1:4" ht="15.95">
      <c r="A37" s="66"/>
      <c r="B37" s="45" t="s">
        <v>327</v>
      </c>
      <c r="C37" s="46" t="s">
        <v>380</v>
      </c>
      <c r="D37" s="49">
        <f t="shared" si="0"/>
        <v>43558</v>
      </c>
    </row>
    <row r="38" spans="1:4">
      <c r="A38" s="45"/>
      <c r="B38" s="45"/>
      <c r="C38" s="45"/>
      <c r="D38" s="49"/>
    </row>
    <row r="39" spans="1:4" ht="15.95">
      <c r="A39" s="45" t="s">
        <v>340</v>
      </c>
      <c r="B39" s="45" t="s">
        <v>341</v>
      </c>
      <c r="C39" s="46" t="s">
        <v>380</v>
      </c>
      <c r="D39" s="49">
        <v>0</v>
      </c>
    </row>
    <row r="40" spans="1:4" ht="15.95">
      <c r="A40" s="45"/>
      <c r="B40" s="45" t="s">
        <v>342</v>
      </c>
      <c r="C40" s="46" t="s">
        <v>380</v>
      </c>
      <c r="D40" s="49">
        <f>SUM(D27:D31)</f>
        <v>28000</v>
      </c>
    </row>
    <row r="41" spans="1:4" ht="15.95">
      <c r="A41" s="56"/>
      <c r="B41" s="56" t="s">
        <v>343</v>
      </c>
      <c r="C41" s="46" t="s">
        <v>380</v>
      </c>
      <c r="D41" s="49">
        <f>SUM(D32:D37)</f>
        <v>141563.5</v>
      </c>
    </row>
    <row r="42" spans="1:4" ht="15.95">
      <c r="A42" s="66"/>
      <c r="B42" s="66" t="s">
        <v>358</v>
      </c>
      <c r="C42" s="46" t="s">
        <v>380</v>
      </c>
      <c r="D42" s="49">
        <f>+SUM(D39:D40)*D25*D11*50%</f>
        <v>0</v>
      </c>
    </row>
    <row r="43" spans="1:4">
      <c r="A43" s="66"/>
      <c r="B43" s="66"/>
      <c r="C43" s="66"/>
      <c r="D43" s="49"/>
    </row>
    <row r="44" spans="1:4" ht="15.95">
      <c r="A44" s="48" t="s">
        <v>345</v>
      </c>
      <c r="B44" s="50" t="s">
        <v>346</v>
      </c>
      <c r="C44" s="46" t="s">
        <v>381</v>
      </c>
      <c r="D44" s="49">
        <v>67</v>
      </c>
    </row>
    <row r="45" spans="1:4">
      <c r="A45" s="48"/>
      <c r="B45" s="56" t="s">
        <v>348</v>
      </c>
      <c r="C45" s="45" t="s">
        <v>349</v>
      </c>
      <c r="D45" s="49">
        <v>1400</v>
      </c>
    </row>
    <row r="46" spans="1:4" ht="15.95">
      <c r="A46" s="66"/>
      <c r="B46" s="66" t="s">
        <v>350</v>
      </c>
      <c r="C46" s="46" t="s">
        <v>380</v>
      </c>
      <c r="D46" s="49">
        <f>+D45*D44</f>
        <v>93800</v>
      </c>
    </row>
    <row r="47" spans="1:4">
      <c r="A47" s="56"/>
      <c r="B47" s="56"/>
      <c r="C47" s="45"/>
      <c r="D47" s="49"/>
    </row>
    <row r="48" spans="1:4">
      <c r="A48" s="66" t="str">
        <f>RiceAromatic!A48</f>
        <v>Performance</v>
      </c>
      <c r="B48" s="66" t="str">
        <f>RiceAromatic!B48</f>
        <v>Gross margin (before family labour) [cash flow]</v>
      </c>
      <c r="C48" s="66" t="str">
        <f>RiceAromatic!C48</f>
        <v>Riel/ha</v>
      </c>
      <c r="D48" s="58">
        <f>(D46-D39-D40-D42)*10</f>
        <v>658000</v>
      </c>
    </row>
    <row r="49" spans="1:5">
      <c r="B49" s="66" t="str">
        <f>RiceAromatic!B49</f>
        <v>Net margin (after family labour)</v>
      </c>
      <c r="C49" s="66" t="str">
        <f>RiceAromatic!C49</f>
        <v>Riel/ha</v>
      </c>
      <c r="D49" s="60">
        <f>D48-D41</f>
        <v>516436.5</v>
      </c>
    </row>
    <row r="50" spans="1:5">
      <c r="B50" s="66" t="str">
        <f>RiceAromatic!B50</f>
        <v>Net margin (after family labour)</v>
      </c>
      <c r="C50" s="66" t="str">
        <f>RiceAromatic!C50</f>
        <v>$/ha</v>
      </c>
      <c r="D50" s="61">
        <f>D49/CF!I6</f>
        <v>127.01340383669454</v>
      </c>
    </row>
    <row r="51" spans="1:5">
      <c r="B51" s="66" t="str">
        <f>RiceAromatic!B51</f>
        <v>Returns to family labour</v>
      </c>
      <c r="C51" s="66" t="str">
        <f>RiceAromatic!C51</f>
        <v>Riel/person day</v>
      </c>
      <c r="D51" s="58">
        <f>D48/SUM(D13:D18)</f>
        <v>101230.76923076923</v>
      </c>
    </row>
    <row r="52" spans="1:5">
      <c r="B52" s="66" t="s">
        <v>356</v>
      </c>
      <c r="C52" s="66" t="str">
        <f>RiceAromatic!C52</f>
        <v>$/ha</v>
      </c>
      <c r="D52" s="58">
        <f>NPV(CF!$F$5,D50)</f>
        <v>119.95410477092555</v>
      </c>
    </row>
    <row r="53" spans="1:5">
      <c r="B53" s="66"/>
      <c r="C53" s="66"/>
    </row>
    <row r="54" spans="1:5" s="104" customFormat="1">
      <c r="A54" s="104" t="s">
        <v>76</v>
      </c>
      <c r="E54" s="204"/>
    </row>
    <row r="55" spans="1:5">
      <c r="A55" s="45" t="s">
        <v>309</v>
      </c>
      <c r="B55" s="45" t="str">
        <f>B6</f>
        <v>Seed rate</v>
      </c>
      <c r="C55" s="46" t="str">
        <f>C6</f>
        <v>slip/1000m2</v>
      </c>
      <c r="D55" s="209">
        <f>D6</f>
        <v>3500</v>
      </c>
    </row>
    <row r="56" spans="1:5">
      <c r="A56" s="45"/>
      <c r="B56" s="45" t="str">
        <f t="shared" ref="B56:C60" si="1">B7</f>
        <v>Fertilizer</v>
      </c>
      <c r="C56" s="46" t="str">
        <f t="shared" si="1"/>
        <v>Kg/1000m2</v>
      </c>
      <c r="D56" s="209">
        <f t="shared" ref="D56:D66" si="2">D7</f>
        <v>0</v>
      </c>
    </row>
    <row r="57" spans="1:5">
      <c r="A57" s="45"/>
      <c r="B57" s="45" t="str">
        <f t="shared" si="1"/>
        <v>Insecticides and weedicides</v>
      </c>
      <c r="C57" s="46" t="str">
        <f t="shared" si="1"/>
        <v>pack/1000m2</v>
      </c>
      <c r="D57" s="209">
        <f t="shared" si="2"/>
        <v>0</v>
      </c>
    </row>
    <row r="58" spans="1:5">
      <c r="A58" s="45"/>
      <c r="B58" s="45" t="str">
        <f t="shared" si="1"/>
        <v>Crop suplement</v>
      </c>
      <c r="C58" s="46" t="str">
        <f t="shared" si="1"/>
        <v>bottle/1000m2</v>
      </c>
      <c r="D58" s="209">
        <f t="shared" si="2"/>
        <v>0</v>
      </c>
    </row>
    <row r="59" spans="1:5">
      <c r="A59" s="45"/>
      <c r="B59" s="45" t="str">
        <f t="shared" si="1"/>
        <v>Water pumping</v>
      </c>
      <c r="C59" s="46" t="str">
        <f t="shared" si="1"/>
        <v>time/1000m2</v>
      </c>
      <c r="D59" s="209">
        <f t="shared" si="2"/>
        <v>0</v>
      </c>
    </row>
    <row r="60" spans="1:5">
      <c r="A60" s="45"/>
      <c r="B60" s="45" t="str">
        <f t="shared" si="1"/>
        <v>Interest period</v>
      </c>
      <c r="C60" s="46" t="str">
        <f t="shared" si="1"/>
        <v>month</v>
      </c>
      <c r="D60" s="209">
        <f t="shared" si="2"/>
        <v>3</v>
      </c>
    </row>
    <row r="61" spans="1:5">
      <c r="A61" s="66"/>
      <c r="B61" s="45"/>
      <c r="C61" s="46"/>
      <c r="D61" s="209"/>
    </row>
    <row r="62" spans="1:5">
      <c r="A62" s="45" t="s">
        <v>320</v>
      </c>
      <c r="B62" s="45" t="str">
        <f t="shared" ref="B62:C67" si="3">B13</f>
        <v>Land preparation/ripping</v>
      </c>
      <c r="C62" s="46" t="str">
        <f t="shared" si="3"/>
        <v>person-days/1000m2</v>
      </c>
      <c r="D62" s="209">
        <f t="shared" si="2"/>
        <v>1</v>
      </c>
    </row>
    <row r="63" spans="1:5">
      <c r="A63" s="48"/>
      <c r="B63" s="45" t="str">
        <f t="shared" si="3"/>
        <v>Land preparation/ridging</v>
      </c>
      <c r="C63" s="46" t="str">
        <f t="shared" si="3"/>
        <v>person-days/1000m2</v>
      </c>
      <c r="D63" s="209">
        <f t="shared" si="2"/>
        <v>0</v>
      </c>
    </row>
    <row r="64" spans="1:5">
      <c r="A64" s="50"/>
      <c r="B64" s="45" t="str">
        <f t="shared" si="3"/>
        <v>Sowing/planting</v>
      </c>
      <c r="C64" s="46" t="str">
        <f t="shared" si="3"/>
        <v>person-days/1000m2</v>
      </c>
      <c r="D64" s="209">
        <f t="shared" si="2"/>
        <v>1.5</v>
      </c>
    </row>
    <row r="65" spans="1:9">
      <c r="A65" s="53"/>
      <c r="B65" s="45" t="str">
        <f t="shared" si="3"/>
        <v>Fertilizer application</v>
      </c>
      <c r="C65" s="46" t="str">
        <f t="shared" si="3"/>
        <v>person-days/1000m2</v>
      </c>
      <c r="D65" s="209">
        <f t="shared" si="2"/>
        <v>1</v>
      </c>
    </row>
    <row r="66" spans="1:9">
      <c r="A66" s="53"/>
      <c r="B66" s="45" t="str">
        <f t="shared" si="3"/>
        <v>Pesticides application</v>
      </c>
      <c r="C66" s="46" t="str">
        <f t="shared" si="3"/>
        <v>person-days/1000m2</v>
      </c>
      <c r="D66" s="209">
        <f t="shared" si="2"/>
        <v>1</v>
      </c>
    </row>
    <row r="67" spans="1:9">
      <c r="A67" s="53"/>
      <c r="B67" s="45" t="str">
        <f t="shared" si="3"/>
        <v>Harvesting</v>
      </c>
      <c r="C67" s="46" t="str">
        <f t="shared" si="3"/>
        <v>person-days/1000m2</v>
      </c>
      <c r="D67" s="209">
        <f>D18</f>
        <v>2</v>
      </c>
    </row>
    <row r="68" spans="1:9">
      <c r="A68" s="53"/>
      <c r="B68" s="45"/>
      <c r="C68" s="46"/>
      <c r="D68" s="209"/>
    </row>
    <row r="69" spans="1:9">
      <c r="A69" s="45" t="s">
        <v>328</v>
      </c>
      <c r="B69" s="45" t="str">
        <f t="shared" ref="B69:C86" si="4">B20</f>
        <v>Seed, purchase price</v>
      </c>
      <c r="C69" s="46" t="str">
        <f t="shared" si="4"/>
        <v>Riel/slip</v>
      </c>
      <c r="D69" s="209">
        <f t="shared" ref="D69" si="5">D20</f>
        <v>8</v>
      </c>
    </row>
    <row r="70" spans="1:9">
      <c r="A70" s="45"/>
      <c r="B70" s="45" t="str">
        <f t="shared" si="4"/>
        <v>Fertilizer</v>
      </c>
      <c r="C70" s="46" t="str">
        <f t="shared" si="4"/>
        <v>Riel/Kg</v>
      </c>
      <c r="D70" s="105">
        <f>D21*I$72</f>
        <v>0</v>
      </c>
      <c r="H70" s="65" t="str">
        <f>CF!A7</f>
        <v>Shadow exchange rate Factor (SERF)</v>
      </c>
      <c r="I70" s="202">
        <f>CF!B7</f>
        <v>1.1490704748349865</v>
      </c>
    </row>
    <row r="71" spans="1:9">
      <c r="A71" s="45"/>
      <c r="B71" s="45" t="str">
        <f t="shared" si="4"/>
        <v>Insecticides and weedicides</v>
      </c>
      <c r="C71" s="46" t="str">
        <f t="shared" si="4"/>
        <v>Riel/pack</v>
      </c>
      <c r="D71" s="105">
        <f>D22*I$72</f>
        <v>0</v>
      </c>
      <c r="H71" s="65" t="str">
        <f>CF!A8</f>
        <v>Standard Conversion Factor (SCF)</v>
      </c>
      <c r="I71" s="202">
        <f>CF!B8</f>
        <v>0.87026864052320729</v>
      </c>
    </row>
    <row r="72" spans="1:9">
      <c r="A72" s="45"/>
      <c r="B72" s="45" t="str">
        <f t="shared" si="4"/>
        <v>Crop suplement</v>
      </c>
      <c r="C72" s="46" t="str">
        <f t="shared" si="4"/>
        <v>Riel/bottle</v>
      </c>
      <c r="D72" s="105">
        <f>D23*I$72</f>
        <v>0</v>
      </c>
      <c r="H72" s="65" t="str">
        <f>CF!A9</f>
        <v>Conversion Factor for imported chemicals</v>
      </c>
      <c r="I72" s="202">
        <f>CF!B9</f>
        <v>0.87347162894710195</v>
      </c>
    </row>
    <row r="73" spans="1:9">
      <c r="A73" s="66"/>
      <c r="B73" s="45" t="str">
        <f t="shared" si="4"/>
        <v>Water pumping</v>
      </c>
      <c r="C73" s="46" t="str">
        <f t="shared" si="4"/>
        <v>Riel/time/1000m2</v>
      </c>
      <c r="D73" s="105">
        <f>D24*I$71</f>
        <v>0</v>
      </c>
      <c r="H73" s="65" t="str">
        <f>CF!A10</f>
        <v>Conversion Factor for exported agric/ products</v>
      </c>
      <c r="I73" s="202">
        <f>CF!B10</f>
        <v>0.95557383066686152</v>
      </c>
    </row>
    <row r="74" spans="1:9">
      <c r="A74" s="66"/>
      <c r="B74" s="45" t="str">
        <f t="shared" si="4"/>
        <v>Interest rate</v>
      </c>
      <c r="C74" s="46" t="str">
        <f t="shared" si="4"/>
        <v>% per month</v>
      </c>
      <c r="D74" s="207">
        <v>0</v>
      </c>
      <c r="E74" s="208"/>
      <c r="H74" s="65" t="str">
        <f>CF!A11</f>
        <v>Shadow Wage Rate Factor (SWRF) a/</v>
      </c>
      <c r="I74" s="202">
        <f>CF!B11</f>
        <v>0.75</v>
      </c>
    </row>
    <row r="75" spans="1:9">
      <c r="A75" s="66"/>
      <c r="B75" s="45" t="str">
        <f t="shared" si="4"/>
        <v>Labour</v>
      </c>
      <c r="C75" s="46" t="str">
        <f t="shared" si="4"/>
        <v>Riel/person day</v>
      </c>
      <c r="D75" s="105">
        <f>RiceAromatic!D75</f>
        <v>16334.25</v>
      </c>
    </row>
    <row r="76" spans="1:9">
      <c r="A76" s="66" t="s">
        <v>337</v>
      </c>
      <c r="B76" s="45" t="str">
        <f t="shared" si="4"/>
        <v>Seed</v>
      </c>
      <c r="C76" s="46" t="str">
        <f t="shared" si="4"/>
        <v>Riel/1000m2</v>
      </c>
      <c r="D76" s="49">
        <f>+D55*D69</f>
        <v>28000</v>
      </c>
    </row>
    <row r="77" spans="1:9">
      <c r="A77" s="66"/>
      <c r="B77" s="45" t="str">
        <f t="shared" si="4"/>
        <v>Fertilizer</v>
      </c>
      <c r="C77" s="46" t="str">
        <f t="shared" si="4"/>
        <v>Riel/1000m2</v>
      </c>
      <c r="D77" s="49">
        <f>+D56*D70</f>
        <v>0</v>
      </c>
    </row>
    <row r="78" spans="1:9">
      <c r="A78" s="45"/>
      <c r="B78" s="45" t="str">
        <f t="shared" si="4"/>
        <v>Insecticides and weedicides</v>
      </c>
      <c r="C78" s="46" t="str">
        <f t="shared" si="4"/>
        <v>Riel/1000m2</v>
      </c>
      <c r="D78" s="49">
        <f>+D57*D71</f>
        <v>0</v>
      </c>
    </row>
    <row r="79" spans="1:9">
      <c r="A79" s="45"/>
      <c r="B79" s="45" t="str">
        <f t="shared" si="4"/>
        <v>Crop suplement</v>
      </c>
      <c r="C79" s="46" t="str">
        <f t="shared" si="4"/>
        <v>Riel/1000m2</v>
      </c>
      <c r="D79" s="49">
        <f>+D58*D72</f>
        <v>0</v>
      </c>
    </row>
    <row r="80" spans="1:9">
      <c r="A80" s="45"/>
      <c r="B80" s="45" t="str">
        <f t="shared" si="4"/>
        <v>Water pumping</v>
      </c>
      <c r="C80" s="46" t="str">
        <f t="shared" si="4"/>
        <v>Riel/1000m2</v>
      </c>
      <c r="D80" s="49">
        <f>+D59*D73</f>
        <v>0</v>
      </c>
    </row>
    <row r="81" spans="1:4">
      <c r="A81" s="66"/>
      <c r="B81" s="45" t="str">
        <f t="shared" si="4"/>
        <v>Land preparation/ripping</v>
      </c>
      <c r="C81" s="46" t="str">
        <f t="shared" si="4"/>
        <v>Riel/1000m2</v>
      </c>
      <c r="D81" s="49">
        <f>++D62*D$26</f>
        <v>21779</v>
      </c>
    </row>
    <row r="82" spans="1:4">
      <c r="A82" s="66"/>
      <c r="B82" s="45" t="str">
        <f t="shared" si="4"/>
        <v>Land preparation/ridging</v>
      </c>
      <c r="C82" s="46" t="str">
        <f t="shared" si="4"/>
        <v>Riel/1000m2</v>
      </c>
      <c r="D82" s="49">
        <f t="shared" ref="D82:D86" si="6">++D63*D$26</f>
        <v>0</v>
      </c>
    </row>
    <row r="83" spans="1:4">
      <c r="A83" s="66"/>
      <c r="B83" s="45" t="str">
        <f t="shared" si="4"/>
        <v>Sowing/planting</v>
      </c>
      <c r="C83" s="46" t="str">
        <f t="shared" si="4"/>
        <v>Riel/1000m2</v>
      </c>
      <c r="D83" s="49">
        <f t="shared" si="6"/>
        <v>32668.5</v>
      </c>
    </row>
    <row r="84" spans="1:4">
      <c r="A84" s="66"/>
      <c r="B84" s="45" t="str">
        <f t="shared" si="4"/>
        <v>Fertilizer application</v>
      </c>
      <c r="C84" s="46" t="str">
        <f t="shared" si="4"/>
        <v>Riel/1000m2</v>
      </c>
      <c r="D84" s="49">
        <f t="shared" si="6"/>
        <v>21779</v>
      </c>
    </row>
    <row r="85" spans="1:4">
      <c r="A85" s="66"/>
      <c r="B85" s="45" t="str">
        <f t="shared" si="4"/>
        <v>Pesticides application</v>
      </c>
      <c r="C85" s="46" t="str">
        <f t="shared" si="4"/>
        <v>Riel/1000m2</v>
      </c>
      <c r="D85" s="49">
        <f t="shared" si="6"/>
        <v>21779</v>
      </c>
    </row>
    <row r="86" spans="1:4">
      <c r="A86" s="66"/>
      <c r="B86" s="45" t="str">
        <f t="shared" si="4"/>
        <v>Harvesting</v>
      </c>
      <c r="C86" s="46" t="str">
        <f t="shared" si="4"/>
        <v>Riel/1000m2</v>
      </c>
      <c r="D86" s="49">
        <f t="shared" si="6"/>
        <v>43558</v>
      </c>
    </row>
    <row r="87" spans="1:4">
      <c r="A87" s="45"/>
      <c r="B87" s="45"/>
      <c r="C87" s="46"/>
      <c r="D87" s="49"/>
    </row>
    <row r="88" spans="1:4">
      <c r="A88" s="45" t="s">
        <v>340</v>
      </c>
      <c r="B88" s="45" t="str">
        <f t="shared" ref="B88:C91" si="7">B39</f>
        <v>Land cost</v>
      </c>
      <c r="C88" s="46" t="str">
        <f t="shared" si="7"/>
        <v>Riel/1000m2</v>
      </c>
      <c r="D88" s="49">
        <v>0</v>
      </c>
    </row>
    <row r="89" spans="1:4">
      <c r="A89" s="45"/>
      <c r="B89" s="45" t="str">
        <f t="shared" si="7"/>
        <v>Input cost</v>
      </c>
      <c r="C89" s="46" t="str">
        <f t="shared" si="7"/>
        <v>Riel/1000m2</v>
      </c>
      <c r="D89" s="49">
        <f>SUM(D76:D80)</f>
        <v>28000</v>
      </c>
    </row>
    <row r="90" spans="1:4">
      <c r="A90" s="56"/>
      <c r="B90" s="45" t="str">
        <f t="shared" si="7"/>
        <v>Labour cost</v>
      </c>
      <c r="C90" s="46" t="str">
        <f t="shared" si="7"/>
        <v>Riel/1000m2</v>
      </c>
      <c r="D90" s="49">
        <f>SUM(D81:D86)</f>
        <v>141563.5</v>
      </c>
    </row>
    <row r="91" spans="1:4">
      <c r="A91" s="66"/>
      <c r="B91" s="45" t="str">
        <f t="shared" si="7"/>
        <v>Interest (50% of total costs)</v>
      </c>
      <c r="C91" s="46" t="str">
        <f t="shared" si="7"/>
        <v>Riel/1000m2</v>
      </c>
      <c r="D91" s="49">
        <f>+SUM(D88:D89)*D74*D60*50%</f>
        <v>0</v>
      </c>
    </row>
    <row r="92" spans="1:4">
      <c r="A92" s="66"/>
      <c r="B92" s="45"/>
      <c r="C92" s="46"/>
      <c r="D92" s="49"/>
    </row>
    <row r="93" spans="1:4">
      <c r="A93" s="48" t="s">
        <v>345</v>
      </c>
      <c r="B93" s="45" t="str">
        <f>B44</f>
        <v>Yield</v>
      </c>
      <c r="C93" s="46" t="str">
        <f>C44</f>
        <v>Kg/1000m2, wet</v>
      </c>
      <c r="D93" s="49">
        <f>D44</f>
        <v>67</v>
      </c>
    </row>
    <row r="94" spans="1:4">
      <c r="A94" s="48"/>
      <c r="B94" s="45" t="str">
        <f>B45</f>
        <v>Main product, selling price @ farm gate</v>
      </c>
      <c r="C94" s="46" t="str">
        <f>C45</f>
        <v>Riel/Kg, wet</v>
      </c>
      <c r="D94" s="203">
        <f>1400*I$73</f>
        <v>1337.8033629336062</v>
      </c>
    </row>
    <row r="95" spans="1:4">
      <c r="A95" s="66"/>
      <c r="B95" s="45" t="str">
        <f>B46</f>
        <v>Revenue</v>
      </c>
      <c r="C95" s="46" t="str">
        <f>C46</f>
        <v>Riel/1000m2</v>
      </c>
      <c r="D95" s="49">
        <f>+D94*D93</f>
        <v>89632.825316551622</v>
      </c>
    </row>
    <row r="96" spans="1:4">
      <c r="A96" s="56"/>
      <c r="B96" s="45"/>
      <c r="C96" s="46"/>
      <c r="D96" s="49"/>
    </row>
    <row r="97" spans="1:4">
      <c r="A97" s="66" t="str">
        <f>RiceAromatic!A97</f>
        <v>Performance</v>
      </c>
      <c r="B97" s="45" t="str">
        <f t="shared" ref="B97:C100" si="8">B48</f>
        <v>Gross margin (before family labour) [cash flow]</v>
      </c>
      <c r="C97" s="46" t="str">
        <f t="shared" si="8"/>
        <v>Riel/ha</v>
      </c>
      <c r="D97" s="58">
        <f>(D95-D88-D89-D91)*10</f>
        <v>616328.25316551619</v>
      </c>
    </row>
    <row r="98" spans="1:4">
      <c r="B98" s="45" t="str">
        <f t="shared" si="8"/>
        <v>Net margin (after family labour)</v>
      </c>
      <c r="C98" s="46" t="str">
        <f t="shared" si="8"/>
        <v>Riel/ha</v>
      </c>
      <c r="D98" s="60">
        <f>D97-D90</f>
        <v>474764.75316551619</v>
      </c>
    </row>
    <row r="99" spans="1:4">
      <c r="B99" s="45" t="str">
        <f t="shared" si="8"/>
        <v>Net margin (after family labour)</v>
      </c>
      <c r="C99" s="46" t="str">
        <f t="shared" si="8"/>
        <v>$/ha</v>
      </c>
      <c r="D99" s="61">
        <f>D98/CF!$I$6</f>
        <v>116.76457283952685</v>
      </c>
    </row>
    <row r="100" spans="1:4">
      <c r="B100" s="45" t="str">
        <f t="shared" si="8"/>
        <v>Returns to family labour</v>
      </c>
      <c r="C100" s="46" t="str">
        <f t="shared" si="8"/>
        <v>Riel/person day</v>
      </c>
      <c r="D100" s="58">
        <f>D97/SUM(D62:D67)</f>
        <v>94819.731256233266</v>
      </c>
    </row>
  </sheetData>
  <hyperlinks>
    <hyperlink ref="A1" location="ToC!A1" display=" Back to TOC" xr:uid="{6E5B3EF9-4DD1-4FE5-B670-FDE61CBE8F8C}"/>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45230-CEF2-44BB-9C01-8E5BF48F0F7B}">
  <dimension ref="A1:I100"/>
  <sheetViews>
    <sheetView topLeftCell="A64" zoomScale="65" zoomScaleNormal="65" workbookViewId="0">
      <selection activeCell="D14" sqref="D14"/>
    </sheetView>
  </sheetViews>
  <sheetFormatPr defaultColWidth="8.7109375" defaultRowHeight="14.1"/>
  <cols>
    <col min="1" max="1" width="36.7109375" style="65" bestFit="1" customWidth="1"/>
    <col min="2" max="2" width="36.140625" style="65" bestFit="1" customWidth="1"/>
    <col min="3" max="3" width="12.140625" style="65" bestFit="1" customWidth="1"/>
    <col min="4" max="4" width="14.7109375" style="65" bestFit="1" customWidth="1"/>
    <col min="5" max="7" width="8.7109375" style="65"/>
    <col min="8" max="8" width="37.85546875" style="65" customWidth="1"/>
    <col min="9" max="16384" width="8.7109375" style="65"/>
  </cols>
  <sheetData>
    <row r="1" spans="1:5" s="30" customFormat="1" ht="12.95">
      <c r="A1" s="29" t="s">
        <v>31</v>
      </c>
    </row>
    <row r="3" spans="1:5" s="95" customFormat="1">
      <c r="A3" s="97" t="s">
        <v>75</v>
      </c>
      <c r="E3" s="65"/>
    </row>
    <row r="4" spans="1:5" s="70" customFormat="1">
      <c r="A4" s="62" t="s">
        <v>28</v>
      </c>
      <c r="B4" s="62"/>
      <c r="C4" s="62"/>
      <c r="D4" s="69"/>
    </row>
    <row r="5" spans="1:5">
      <c r="A5" s="41" t="s">
        <v>306</v>
      </c>
      <c r="B5" s="42"/>
      <c r="C5" s="43" t="s">
        <v>71</v>
      </c>
      <c r="D5" s="44"/>
    </row>
    <row r="6" spans="1:5">
      <c r="A6" s="45" t="s">
        <v>309</v>
      </c>
      <c r="B6" s="45" t="s">
        <v>310</v>
      </c>
      <c r="C6" s="46" t="s">
        <v>311</v>
      </c>
      <c r="D6" s="47">
        <v>50</v>
      </c>
      <c r="E6" s="205"/>
    </row>
    <row r="7" spans="1:5">
      <c r="A7" s="45"/>
      <c r="B7" s="48" t="s">
        <v>312</v>
      </c>
      <c r="C7" s="48" t="s">
        <v>311</v>
      </c>
      <c r="D7" s="49">
        <v>0</v>
      </c>
    </row>
    <row r="8" spans="1:5">
      <c r="A8" s="45"/>
      <c r="B8" s="50" t="s">
        <v>313</v>
      </c>
      <c r="C8" s="50" t="s">
        <v>314</v>
      </c>
      <c r="D8" s="49">
        <v>2.5</v>
      </c>
    </row>
    <row r="9" spans="1:5">
      <c r="A9" s="45"/>
      <c r="B9" s="50" t="s">
        <v>315</v>
      </c>
      <c r="C9" s="50" t="s">
        <v>314</v>
      </c>
      <c r="D9" s="49">
        <v>0</v>
      </c>
    </row>
    <row r="10" spans="1:5">
      <c r="A10" s="45"/>
      <c r="B10" s="48" t="s">
        <v>316</v>
      </c>
      <c r="C10" s="50" t="s">
        <v>317</v>
      </c>
      <c r="D10" s="49">
        <v>0</v>
      </c>
    </row>
    <row r="11" spans="1:5">
      <c r="A11" s="45"/>
      <c r="B11" s="48" t="s">
        <v>318</v>
      </c>
      <c r="C11" s="50" t="s">
        <v>319</v>
      </c>
      <c r="D11" s="49">
        <v>3</v>
      </c>
    </row>
    <row r="12" spans="1:5">
      <c r="A12" s="66"/>
      <c r="B12" s="66"/>
      <c r="C12" s="66"/>
      <c r="D12" s="49"/>
    </row>
    <row r="13" spans="1:5">
      <c r="A13" s="45" t="s">
        <v>320</v>
      </c>
      <c r="B13" s="50" t="s">
        <v>321</v>
      </c>
      <c r="C13" s="48" t="str">
        <f>'Rice-non aromatic'!C13</f>
        <v>person-days/ha</v>
      </c>
      <c r="D13" s="76">
        <f>'Snake gourd'!D13</f>
        <v>10</v>
      </c>
    </row>
    <row r="14" spans="1:5">
      <c r="A14" s="48"/>
      <c r="B14" s="50" t="s">
        <v>323</v>
      </c>
      <c r="C14" s="48" t="str">
        <f>'Rice-non aromatic'!C14</f>
        <v>person-days/ha</v>
      </c>
      <c r="D14" s="76">
        <f>'Snake gourd'!D14</f>
        <v>0</v>
      </c>
    </row>
    <row r="15" spans="1:5">
      <c r="A15" s="50"/>
      <c r="B15" s="45" t="s">
        <v>324</v>
      </c>
      <c r="C15" s="48" t="str">
        <f>'Rice-non aromatic'!C15</f>
        <v>person-days/ha</v>
      </c>
      <c r="D15" s="76">
        <f>'Snake gourd'!D15</f>
        <v>15</v>
      </c>
    </row>
    <row r="16" spans="1:5">
      <c r="A16" s="53"/>
      <c r="B16" s="45" t="s">
        <v>325</v>
      </c>
      <c r="C16" s="48" t="str">
        <f>'Rice-non aromatic'!C16</f>
        <v>person-days/ha</v>
      </c>
      <c r="D16" s="76">
        <f>'Snake gourd'!D16</f>
        <v>10</v>
      </c>
    </row>
    <row r="17" spans="1:4">
      <c r="A17" s="53"/>
      <c r="B17" s="45" t="s">
        <v>326</v>
      </c>
      <c r="C17" s="48" t="str">
        <f>'Rice-non aromatic'!C17</f>
        <v>person-days/ha</v>
      </c>
      <c r="D17" s="76">
        <f>'Snake gourd'!D17</f>
        <v>10</v>
      </c>
    </row>
    <row r="18" spans="1:4">
      <c r="A18" s="53"/>
      <c r="B18" s="45" t="s">
        <v>327</v>
      </c>
      <c r="C18" s="48" t="str">
        <f>'Rice-non aromatic'!C18</f>
        <v>person-days/ha</v>
      </c>
      <c r="D18" s="76">
        <f>'Snake gourd'!D18</f>
        <v>20</v>
      </c>
    </row>
    <row r="19" spans="1:4">
      <c r="A19" s="53"/>
      <c r="B19" s="66"/>
      <c r="C19" s="66"/>
      <c r="D19" s="49"/>
    </row>
    <row r="20" spans="1:4">
      <c r="A20" s="45" t="s">
        <v>328</v>
      </c>
      <c r="B20" s="45" t="s">
        <v>329</v>
      </c>
      <c r="C20" s="46" t="s">
        <v>118</v>
      </c>
      <c r="D20" s="49">
        <v>7000</v>
      </c>
    </row>
    <row r="21" spans="1:4">
      <c r="A21" s="45"/>
      <c r="B21" s="48" t="s">
        <v>312</v>
      </c>
      <c r="C21" s="46" t="s">
        <v>118</v>
      </c>
      <c r="D21" s="49">
        <v>0</v>
      </c>
    </row>
    <row r="22" spans="1:4">
      <c r="A22" s="45"/>
      <c r="B22" s="50" t="s">
        <v>313</v>
      </c>
      <c r="C22" s="46" t="s">
        <v>330</v>
      </c>
      <c r="D22" s="49">
        <v>40000</v>
      </c>
    </row>
    <row r="23" spans="1:4">
      <c r="A23" s="45"/>
      <c r="B23" s="50" t="s">
        <v>315</v>
      </c>
      <c r="C23" s="46" t="s">
        <v>330</v>
      </c>
      <c r="D23" s="49">
        <v>0</v>
      </c>
    </row>
    <row r="24" spans="1:4">
      <c r="A24" s="66"/>
      <c r="B24" s="48" t="s">
        <v>316</v>
      </c>
      <c r="C24" s="50" t="s">
        <v>332</v>
      </c>
      <c r="D24" s="49">
        <v>0</v>
      </c>
    </row>
    <row r="25" spans="1:4">
      <c r="A25" s="66"/>
      <c r="B25" s="66" t="s">
        <v>333</v>
      </c>
      <c r="C25" s="66" t="s">
        <v>334</v>
      </c>
      <c r="D25" s="73">
        <v>0</v>
      </c>
    </row>
    <row r="26" spans="1:4" ht="27.95">
      <c r="A26" s="66"/>
      <c r="B26" s="66" t="s">
        <v>335</v>
      </c>
      <c r="C26" s="46" t="s">
        <v>336</v>
      </c>
      <c r="D26" s="49">
        <v>21779</v>
      </c>
    </row>
    <row r="27" spans="1:4">
      <c r="A27" s="66" t="s">
        <v>337</v>
      </c>
      <c r="B27" s="66" t="s">
        <v>338</v>
      </c>
      <c r="C27" s="66" t="s">
        <v>339</v>
      </c>
      <c r="D27" s="49">
        <f>+D6*D20</f>
        <v>350000</v>
      </c>
    </row>
    <row r="28" spans="1:4">
      <c r="A28" s="66"/>
      <c r="B28" s="48" t="s">
        <v>312</v>
      </c>
      <c r="C28" s="66" t="s">
        <v>339</v>
      </c>
      <c r="D28" s="49">
        <f>+D7*D21</f>
        <v>0</v>
      </c>
    </row>
    <row r="29" spans="1:4">
      <c r="A29" s="45"/>
      <c r="B29" s="50" t="s">
        <v>313</v>
      </c>
      <c r="C29" s="66" t="s">
        <v>339</v>
      </c>
      <c r="D29" s="49">
        <f>+D8*D22</f>
        <v>100000</v>
      </c>
    </row>
    <row r="30" spans="1:4">
      <c r="A30" s="45"/>
      <c r="B30" s="50" t="s">
        <v>315</v>
      </c>
      <c r="C30" s="66" t="s">
        <v>339</v>
      </c>
      <c r="D30" s="49">
        <f>+D9*D23</f>
        <v>0</v>
      </c>
    </row>
    <row r="31" spans="1:4">
      <c r="A31" s="45"/>
      <c r="B31" s="48" t="s">
        <v>316</v>
      </c>
      <c r="C31" s="66" t="s">
        <v>339</v>
      </c>
      <c r="D31" s="49">
        <f>+D10*D24</f>
        <v>0</v>
      </c>
    </row>
    <row r="32" spans="1:4">
      <c r="A32" s="66"/>
      <c r="B32" s="50" t="s">
        <v>321</v>
      </c>
      <c r="C32" s="66" t="s">
        <v>339</v>
      </c>
      <c r="D32" s="49">
        <f>++D13*D$26</f>
        <v>217790</v>
      </c>
    </row>
    <row r="33" spans="1:4">
      <c r="A33" s="66"/>
      <c r="B33" s="50" t="s">
        <v>323</v>
      </c>
      <c r="C33" s="66" t="s">
        <v>339</v>
      </c>
      <c r="D33" s="49">
        <f t="shared" ref="D33:D37" si="0">++D14*D$26</f>
        <v>0</v>
      </c>
    </row>
    <row r="34" spans="1:4">
      <c r="A34" s="66"/>
      <c r="B34" s="45" t="s">
        <v>324</v>
      </c>
      <c r="C34" s="66" t="s">
        <v>339</v>
      </c>
      <c r="D34" s="49">
        <f t="shared" si="0"/>
        <v>326685</v>
      </c>
    </row>
    <row r="35" spans="1:4">
      <c r="A35" s="66"/>
      <c r="B35" s="45" t="s">
        <v>325</v>
      </c>
      <c r="C35" s="66" t="s">
        <v>339</v>
      </c>
      <c r="D35" s="49">
        <f t="shared" si="0"/>
        <v>217790</v>
      </c>
    </row>
    <row r="36" spans="1:4">
      <c r="A36" s="66"/>
      <c r="B36" s="45" t="s">
        <v>326</v>
      </c>
      <c r="C36" s="66" t="s">
        <v>339</v>
      </c>
      <c r="D36" s="49">
        <f t="shared" si="0"/>
        <v>217790</v>
      </c>
    </row>
    <row r="37" spans="1:4">
      <c r="A37" s="66"/>
      <c r="B37" s="45" t="s">
        <v>327</v>
      </c>
      <c r="C37" s="66" t="s">
        <v>339</v>
      </c>
      <c r="D37" s="49">
        <f t="shared" si="0"/>
        <v>435580</v>
      </c>
    </row>
    <row r="38" spans="1:4">
      <c r="A38" s="45"/>
      <c r="B38" s="45"/>
      <c r="C38" s="45"/>
      <c r="D38" s="49"/>
    </row>
    <row r="39" spans="1:4">
      <c r="A39" s="45" t="s">
        <v>340</v>
      </c>
      <c r="B39" s="45" t="s">
        <v>341</v>
      </c>
      <c r="C39" s="45" t="s">
        <v>339</v>
      </c>
      <c r="D39" s="49">
        <v>0</v>
      </c>
    </row>
    <row r="40" spans="1:4">
      <c r="A40" s="45"/>
      <c r="B40" s="45" t="s">
        <v>342</v>
      </c>
      <c r="C40" s="45" t="s">
        <v>339</v>
      </c>
      <c r="D40" s="49">
        <f>SUM(D27:D31)</f>
        <v>450000</v>
      </c>
    </row>
    <row r="41" spans="1:4">
      <c r="A41" s="56"/>
      <c r="B41" s="56" t="s">
        <v>343</v>
      </c>
      <c r="C41" s="45" t="s">
        <v>339</v>
      </c>
      <c r="D41" s="49">
        <f>SUM(D32:D37)</f>
        <v>1415635</v>
      </c>
    </row>
    <row r="42" spans="1:4">
      <c r="A42" s="66"/>
      <c r="B42" s="66" t="s">
        <v>358</v>
      </c>
      <c r="C42" s="66" t="s">
        <v>339</v>
      </c>
      <c r="D42" s="49">
        <f>+SUM(D39:D40)*D25*D11*50%</f>
        <v>0</v>
      </c>
    </row>
    <row r="43" spans="1:4">
      <c r="A43" s="66"/>
      <c r="B43" s="66"/>
      <c r="C43" s="66"/>
      <c r="D43" s="49"/>
    </row>
    <row r="44" spans="1:4">
      <c r="A44" s="48" t="s">
        <v>345</v>
      </c>
      <c r="B44" s="50" t="s">
        <v>346</v>
      </c>
      <c r="C44" s="48" t="s">
        <v>347</v>
      </c>
      <c r="D44" s="49">
        <v>600</v>
      </c>
    </row>
    <row r="45" spans="1:4">
      <c r="A45" s="48"/>
      <c r="B45" s="56" t="s">
        <v>348</v>
      </c>
      <c r="C45" s="45" t="s">
        <v>349</v>
      </c>
      <c r="D45" s="49">
        <v>3500</v>
      </c>
    </row>
    <row r="46" spans="1:4">
      <c r="A46" s="66"/>
      <c r="B46" s="66" t="s">
        <v>350</v>
      </c>
      <c r="C46" s="66" t="s">
        <v>339</v>
      </c>
      <c r="D46" s="49">
        <f>+D45*D44</f>
        <v>2100000</v>
      </c>
    </row>
    <row r="47" spans="1:4">
      <c r="A47" s="56"/>
      <c r="B47" s="56"/>
      <c r="C47" s="45"/>
      <c r="D47" s="49"/>
    </row>
    <row r="48" spans="1:4">
      <c r="A48" s="66" t="str">
        <f>RiceAromatic!A48</f>
        <v>Performance</v>
      </c>
      <c r="B48" s="66" t="str">
        <f>RiceAromatic!B48</f>
        <v>Gross margin (before family labour) [cash flow]</v>
      </c>
      <c r="C48" s="66" t="str">
        <f>RiceAromatic!C48</f>
        <v>Riel/ha</v>
      </c>
      <c r="D48" s="58">
        <f>D46-D39-D40-D42</f>
        <v>1650000</v>
      </c>
    </row>
    <row r="49" spans="1:5">
      <c r="B49" s="66" t="str">
        <f>RiceAromatic!B49</f>
        <v>Net margin (after family labour)</v>
      </c>
      <c r="C49" s="66" t="str">
        <f>RiceAromatic!C49</f>
        <v>Riel/ha</v>
      </c>
      <c r="D49" s="60">
        <f>D48-D41</f>
        <v>234365</v>
      </c>
    </row>
    <row r="50" spans="1:5">
      <c r="B50" s="66" t="str">
        <f>RiceAromatic!B50</f>
        <v>Net margin (after family labour)</v>
      </c>
      <c r="C50" s="66" t="str">
        <f>RiceAromatic!C50</f>
        <v>$/ha</v>
      </c>
      <c r="D50" s="61">
        <f>D49/CF!I6</f>
        <v>57.640186915887853</v>
      </c>
    </row>
    <row r="51" spans="1:5">
      <c r="B51" s="66" t="str">
        <f>RiceAromatic!B51</f>
        <v>Returns to family labour</v>
      </c>
      <c r="C51" s="66" t="str">
        <f>RiceAromatic!C51</f>
        <v>Riel/person day</v>
      </c>
      <c r="D51" s="58">
        <f>D48/SUM(D13:D18)</f>
        <v>25384.615384615383</v>
      </c>
    </row>
    <row r="52" spans="1:5">
      <c r="B52" s="66" t="s">
        <v>356</v>
      </c>
      <c r="C52" s="66" t="str">
        <f>RiceAromatic!C52</f>
        <v>$/ha</v>
      </c>
      <c r="D52" s="58">
        <f>NPV(CF!$F$5,D50)</f>
        <v>54.436593394614768</v>
      </c>
    </row>
    <row r="53" spans="1:5">
      <c r="B53" s="66"/>
      <c r="C53" s="66"/>
    </row>
    <row r="54" spans="1:5" s="104" customFormat="1">
      <c r="A54" s="104" t="s">
        <v>76</v>
      </c>
      <c r="E54" s="204"/>
    </row>
    <row r="55" spans="1:5">
      <c r="A55" s="45" t="s">
        <v>309</v>
      </c>
      <c r="B55" s="45" t="str">
        <f>B6</f>
        <v>Seed rate</v>
      </c>
      <c r="C55" s="46" t="str">
        <f>C6</f>
        <v>Kg/ha</v>
      </c>
      <c r="D55" s="209">
        <f>D6</f>
        <v>50</v>
      </c>
      <c r="E55" s="205"/>
    </row>
    <row r="56" spans="1:5">
      <c r="A56" s="45"/>
      <c r="B56" s="45" t="str">
        <f t="shared" ref="B56:C60" si="1">B7</f>
        <v>Fertilizer</v>
      </c>
      <c r="C56" s="46" t="str">
        <f t="shared" si="1"/>
        <v>Kg/ha</v>
      </c>
      <c r="D56" s="209">
        <f t="shared" ref="D56:D66" si="2">D7</f>
        <v>0</v>
      </c>
    </row>
    <row r="57" spans="1:5">
      <c r="A57" s="45"/>
      <c r="B57" s="45" t="str">
        <f t="shared" si="1"/>
        <v>Insecticides and weedicides</v>
      </c>
      <c r="C57" s="46" t="str">
        <f t="shared" si="1"/>
        <v>bottle/ha</v>
      </c>
      <c r="D57" s="209">
        <f t="shared" si="2"/>
        <v>2.5</v>
      </c>
    </row>
    <row r="58" spans="1:5">
      <c r="A58" s="45"/>
      <c r="B58" s="45" t="str">
        <f t="shared" si="1"/>
        <v>Crop suplement</v>
      </c>
      <c r="C58" s="46" t="str">
        <f t="shared" si="1"/>
        <v>bottle/ha</v>
      </c>
      <c r="D58" s="209">
        <f t="shared" si="2"/>
        <v>0</v>
      </c>
    </row>
    <row r="59" spans="1:5">
      <c r="A59" s="45"/>
      <c r="B59" s="45" t="str">
        <f t="shared" si="1"/>
        <v>Water pumping</v>
      </c>
      <c r="C59" s="46" t="str">
        <f t="shared" si="1"/>
        <v>time/ha</v>
      </c>
      <c r="D59" s="209">
        <f t="shared" si="2"/>
        <v>0</v>
      </c>
    </row>
    <row r="60" spans="1:5">
      <c r="A60" s="45"/>
      <c r="B60" s="45" t="str">
        <f t="shared" si="1"/>
        <v>Interest period</v>
      </c>
      <c r="C60" s="46" t="str">
        <f t="shared" si="1"/>
        <v>month</v>
      </c>
      <c r="D60" s="209">
        <f t="shared" si="2"/>
        <v>3</v>
      </c>
    </row>
    <row r="61" spans="1:5">
      <c r="A61" s="66"/>
      <c r="B61" s="45"/>
      <c r="C61" s="46"/>
      <c r="D61" s="209"/>
    </row>
    <row r="62" spans="1:5" ht="27.95">
      <c r="A62" s="45" t="s">
        <v>320</v>
      </c>
      <c r="B62" s="45" t="str">
        <f t="shared" ref="B62:C67" si="3">B13</f>
        <v>Land preparation/ripping</v>
      </c>
      <c r="C62" s="46" t="str">
        <f t="shared" si="3"/>
        <v>person-days/ha</v>
      </c>
      <c r="D62" s="209">
        <f t="shared" si="2"/>
        <v>10</v>
      </c>
    </row>
    <row r="63" spans="1:5" ht="27.95">
      <c r="A63" s="48"/>
      <c r="B63" s="45" t="str">
        <f t="shared" si="3"/>
        <v>Land preparation/ridging</v>
      </c>
      <c r="C63" s="46" t="str">
        <f t="shared" si="3"/>
        <v>person-days/ha</v>
      </c>
      <c r="D63" s="209">
        <f t="shared" si="2"/>
        <v>0</v>
      </c>
    </row>
    <row r="64" spans="1:5" ht="27.95">
      <c r="A64" s="50"/>
      <c r="B64" s="45" t="str">
        <f t="shared" si="3"/>
        <v>Sowing/planting</v>
      </c>
      <c r="C64" s="46" t="str">
        <f t="shared" si="3"/>
        <v>person-days/ha</v>
      </c>
      <c r="D64" s="209">
        <f t="shared" si="2"/>
        <v>15</v>
      </c>
    </row>
    <row r="65" spans="1:9" ht="27.95">
      <c r="A65" s="53"/>
      <c r="B65" s="45" t="str">
        <f t="shared" si="3"/>
        <v>Fertilizer application</v>
      </c>
      <c r="C65" s="46" t="str">
        <f t="shared" si="3"/>
        <v>person-days/ha</v>
      </c>
      <c r="D65" s="209">
        <f t="shared" si="2"/>
        <v>10</v>
      </c>
    </row>
    <row r="66" spans="1:9" ht="27.95">
      <c r="A66" s="53"/>
      <c r="B66" s="45" t="str">
        <f t="shared" si="3"/>
        <v>Pesticides application</v>
      </c>
      <c r="C66" s="46" t="str">
        <f t="shared" si="3"/>
        <v>person-days/ha</v>
      </c>
      <c r="D66" s="209">
        <f t="shared" si="2"/>
        <v>10</v>
      </c>
    </row>
    <row r="67" spans="1:9" ht="27.95">
      <c r="A67" s="53"/>
      <c r="B67" s="45" t="str">
        <f t="shared" si="3"/>
        <v>Harvesting</v>
      </c>
      <c r="C67" s="46" t="str">
        <f t="shared" si="3"/>
        <v>person-days/ha</v>
      </c>
      <c r="D67" s="209">
        <f>D18</f>
        <v>20</v>
      </c>
    </row>
    <row r="68" spans="1:9">
      <c r="A68" s="53"/>
      <c r="B68" s="45"/>
      <c r="C68" s="46"/>
      <c r="D68" s="209"/>
    </row>
    <row r="69" spans="1:9">
      <c r="A69" s="45" t="s">
        <v>328</v>
      </c>
      <c r="B69" s="45" t="str">
        <f t="shared" ref="B69:C86" si="4">B20</f>
        <v>Seed, purchase price</v>
      </c>
      <c r="C69" s="46" t="str">
        <f t="shared" si="4"/>
        <v>Riel/Kg</v>
      </c>
      <c r="D69" s="209">
        <f t="shared" ref="D69" si="5">D20</f>
        <v>7000</v>
      </c>
    </row>
    <row r="70" spans="1:9">
      <c r="A70" s="45"/>
      <c r="B70" s="45" t="str">
        <f t="shared" si="4"/>
        <v>Fertilizer</v>
      </c>
      <c r="C70" s="46" t="str">
        <f t="shared" si="4"/>
        <v>Riel/Kg</v>
      </c>
      <c r="D70" s="105">
        <f>D21*I$72</f>
        <v>0</v>
      </c>
      <c r="H70" s="65" t="str">
        <f>CF!A7</f>
        <v>Shadow exchange rate Factor (SERF)</v>
      </c>
      <c r="I70" s="202">
        <f>CF!B7</f>
        <v>1.1490704748349865</v>
      </c>
    </row>
    <row r="71" spans="1:9">
      <c r="A71" s="45"/>
      <c r="B71" s="45" t="str">
        <f t="shared" si="4"/>
        <v>Insecticides and weedicides</v>
      </c>
      <c r="C71" s="46" t="str">
        <f t="shared" si="4"/>
        <v>Riel/bottle</v>
      </c>
      <c r="D71" s="105">
        <f>D22*I$72</f>
        <v>34938.86515788408</v>
      </c>
      <c r="H71" s="65" t="str">
        <f>CF!A8</f>
        <v>Standard Conversion Factor (SCF)</v>
      </c>
      <c r="I71" s="202">
        <f>CF!B8</f>
        <v>0.87026864052320729</v>
      </c>
    </row>
    <row r="72" spans="1:9">
      <c r="A72" s="45"/>
      <c r="B72" s="45" t="str">
        <f t="shared" si="4"/>
        <v>Crop suplement</v>
      </c>
      <c r="C72" s="46" t="str">
        <f t="shared" si="4"/>
        <v>Riel/bottle</v>
      </c>
      <c r="D72" s="105">
        <f>D23*I$72</f>
        <v>0</v>
      </c>
      <c r="H72" s="65" t="str">
        <f>CF!A9</f>
        <v>Conversion Factor for imported chemicals</v>
      </c>
      <c r="I72" s="202">
        <f>CF!B9</f>
        <v>0.87347162894710195</v>
      </c>
    </row>
    <row r="73" spans="1:9">
      <c r="A73" s="66"/>
      <c r="B73" s="45" t="str">
        <f t="shared" si="4"/>
        <v>Water pumping</v>
      </c>
      <c r="C73" s="46" t="str">
        <f t="shared" si="4"/>
        <v>Riel/time/ha</v>
      </c>
      <c r="D73" s="105">
        <f>D24*I$71</f>
        <v>0</v>
      </c>
      <c r="H73" s="65" t="str">
        <f>CF!A10</f>
        <v>Conversion Factor for exported agric/ products</v>
      </c>
      <c r="I73" s="202">
        <f>CF!B10</f>
        <v>0.95557383066686152</v>
      </c>
    </row>
    <row r="74" spans="1:9">
      <c r="A74" s="66"/>
      <c r="B74" s="45" t="str">
        <f t="shared" si="4"/>
        <v>Interest rate</v>
      </c>
      <c r="C74" s="46" t="str">
        <f t="shared" si="4"/>
        <v>% per month</v>
      </c>
      <c r="D74" s="207">
        <v>0</v>
      </c>
      <c r="E74" s="208"/>
      <c r="H74" s="65" t="str">
        <f>CF!A11</f>
        <v>Shadow Wage Rate Factor (SWRF) a/</v>
      </c>
      <c r="I74" s="202">
        <f>CF!B11</f>
        <v>0.75</v>
      </c>
    </row>
    <row r="75" spans="1:9" ht="27.95">
      <c r="A75" s="66"/>
      <c r="B75" s="45" t="str">
        <f t="shared" si="4"/>
        <v>Labour</v>
      </c>
      <c r="C75" s="46" t="str">
        <f t="shared" si="4"/>
        <v>Riel/person day</v>
      </c>
      <c r="D75" s="105">
        <f>RiceAromatic!D75</f>
        <v>16334.25</v>
      </c>
    </row>
    <row r="76" spans="1:9">
      <c r="A76" s="66" t="s">
        <v>337</v>
      </c>
      <c r="B76" s="45" t="str">
        <f t="shared" si="4"/>
        <v>Seed</v>
      </c>
      <c r="C76" s="46" t="str">
        <f t="shared" si="4"/>
        <v>Riel/ha</v>
      </c>
      <c r="D76" s="49">
        <f>+D55*D69</f>
        <v>350000</v>
      </c>
    </row>
    <row r="77" spans="1:9">
      <c r="A77" s="66"/>
      <c r="B77" s="45" t="str">
        <f t="shared" si="4"/>
        <v>Fertilizer</v>
      </c>
      <c r="C77" s="46" t="str">
        <f t="shared" si="4"/>
        <v>Riel/ha</v>
      </c>
      <c r="D77" s="49">
        <f>+D56*D70</f>
        <v>0</v>
      </c>
    </row>
    <row r="78" spans="1:9">
      <c r="A78" s="45"/>
      <c r="B78" s="45" t="str">
        <f t="shared" si="4"/>
        <v>Insecticides and weedicides</v>
      </c>
      <c r="C78" s="46" t="str">
        <f t="shared" si="4"/>
        <v>Riel/ha</v>
      </c>
      <c r="D78" s="49">
        <f>+D57*D71</f>
        <v>87347.1628947102</v>
      </c>
    </row>
    <row r="79" spans="1:9">
      <c r="A79" s="45"/>
      <c r="B79" s="45" t="str">
        <f t="shared" si="4"/>
        <v>Crop suplement</v>
      </c>
      <c r="C79" s="46" t="str">
        <f t="shared" si="4"/>
        <v>Riel/ha</v>
      </c>
      <c r="D79" s="49">
        <f>+D58*D72</f>
        <v>0</v>
      </c>
    </row>
    <row r="80" spans="1:9">
      <c r="A80" s="45"/>
      <c r="B80" s="45" t="str">
        <f t="shared" si="4"/>
        <v>Water pumping</v>
      </c>
      <c r="C80" s="46" t="str">
        <f t="shared" si="4"/>
        <v>Riel/ha</v>
      </c>
      <c r="D80" s="49">
        <f>+D59*D73</f>
        <v>0</v>
      </c>
    </row>
    <row r="81" spans="1:4">
      <c r="A81" s="66"/>
      <c r="B81" s="45" t="str">
        <f t="shared" si="4"/>
        <v>Land preparation/ripping</v>
      </c>
      <c r="C81" s="46" t="str">
        <f t="shared" si="4"/>
        <v>Riel/ha</v>
      </c>
      <c r="D81" s="49">
        <f>++D62*D$26</f>
        <v>217790</v>
      </c>
    </row>
    <row r="82" spans="1:4">
      <c r="A82" s="66"/>
      <c r="B82" s="45" t="str">
        <f t="shared" si="4"/>
        <v>Land preparation/ridging</v>
      </c>
      <c r="C82" s="46" t="str">
        <f t="shared" si="4"/>
        <v>Riel/ha</v>
      </c>
      <c r="D82" s="49">
        <f t="shared" ref="D82:D86" si="6">++D63*D$26</f>
        <v>0</v>
      </c>
    </row>
    <row r="83" spans="1:4">
      <c r="A83" s="66"/>
      <c r="B83" s="45" t="str">
        <f t="shared" si="4"/>
        <v>Sowing/planting</v>
      </c>
      <c r="C83" s="46" t="str">
        <f t="shared" si="4"/>
        <v>Riel/ha</v>
      </c>
      <c r="D83" s="49">
        <f t="shared" si="6"/>
        <v>326685</v>
      </c>
    </row>
    <row r="84" spans="1:4">
      <c r="A84" s="66"/>
      <c r="B84" s="45" t="str">
        <f t="shared" si="4"/>
        <v>Fertilizer application</v>
      </c>
      <c r="C84" s="46" t="str">
        <f t="shared" si="4"/>
        <v>Riel/ha</v>
      </c>
      <c r="D84" s="49">
        <f t="shared" si="6"/>
        <v>217790</v>
      </c>
    </row>
    <row r="85" spans="1:4">
      <c r="A85" s="66"/>
      <c r="B85" s="45" t="str">
        <f t="shared" si="4"/>
        <v>Pesticides application</v>
      </c>
      <c r="C85" s="46" t="str">
        <f t="shared" si="4"/>
        <v>Riel/ha</v>
      </c>
      <c r="D85" s="49">
        <f t="shared" si="6"/>
        <v>217790</v>
      </c>
    </row>
    <row r="86" spans="1:4">
      <c r="A86" s="66"/>
      <c r="B86" s="45" t="str">
        <f t="shared" si="4"/>
        <v>Harvesting</v>
      </c>
      <c r="C86" s="46" t="str">
        <f t="shared" si="4"/>
        <v>Riel/ha</v>
      </c>
      <c r="D86" s="49">
        <f t="shared" si="6"/>
        <v>435580</v>
      </c>
    </row>
    <row r="87" spans="1:4">
      <c r="A87" s="45"/>
      <c r="B87" s="45"/>
      <c r="C87" s="46"/>
      <c r="D87" s="49"/>
    </row>
    <row r="88" spans="1:4">
      <c r="A88" s="45" t="s">
        <v>340</v>
      </c>
      <c r="B88" s="45" t="str">
        <f t="shared" ref="B88:C91" si="7">B39</f>
        <v>Land cost</v>
      </c>
      <c r="C88" s="46" t="str">
        <f t="shared" si="7"/>
        <v>Riel/ha</v>
      </c>
      <c r="D88" s="49">
        <v>0</v>
      </c>
    </row>
    <row r="89" spans="1:4">
      <c r="A89" s="45"/>
      <c r="B89" s="45" t="str">
        <f t="shared" si="7"/>
        <v>Input cost</v>
      </c>
      <c r="C89" s="46" t="str">
        <f t="shared" si="7"/>
        <v>Riel/ha</v>
      </c>
      <c r="D89" s="49">
        <f>SUM(D76:D80)</f>
        <v>437347.1628947102</v>
      </c>
    </row>
    <row r="90" spans="1:4">
      <c r="A90" s="56"/>
      <c r="B90" s="45" t="str">
        <f t="shared" si="7"/>
        <v>Labour cost</v>
      </c>
      <c r="C90" s="46" t="str">
        <f t="shared" si="7"/>
        <v>Riel/ha</v>
      </c>
      <c r="D90" s="49">
        <f>SUM(D81:D86)</f>
        <v>1415635</v>
      </c>
    </row>
    <row r="91" spans="1:4">
      <c r="A91" s="66"/>
      <c r="B91" s="45" t="str">
        <f t="shared" si="7"/>
        <v>Interest (50% of total costs)</v>
      </c>
      <c r="C91" s="46" t="str">
        <f t="shared" si="7"/>
        <v>Riel/ha</v>
      </c>
      <c r="D91" s="49">
        <f>+SUM(D88:D89)*D74*D60*50%</f>
        <v>0</v>
      </c>
    </row>
    <row r="92" spans="1:4">
      <c r="A92" s="66"/>
      <c r="B92" s="45"/>
      <c r="C92" s="46"/>
      <c r="D92" s="49"/>
    </row>
    <row r="93" spans="1:4">
      <c r="A93" s="48" t="s">
        <v>345</v>
      </c>
      <c r="B93" s="45" t="str">
        <f>B44</f>
        <v>Yield</v>
      </c>
      <c r="C93" s="46" t="str">
        <f>C44</f>
        <v>Kg/ha, wet</v>
      </c>
      <c r="D93" s="49">
        <f>D44</f>
        <v>600</v>
      </c>
    </row>
    <row r="94" spans="1:4">
      <c r="A94" s="48"/>
      <c r="B94" s="45" t="str">
        <f>B45</f>
        <v>Main product, selling price @ farm gate</v>
      </c>
      <c r="C94" s="46" t="str">
        <f>C45</f>
        <v>Riel/Kg, wet</v>
      </c>
      <c r="D94" s="203">
        <f>3500*I$73</f>
        <v>3344.5084073340154</v>
      </c>
    </row>
    <row r="95" spans="1:4">
      <c r="A95" s="66"/>
      <c r="B95" s="45" t="str">
        <f>B46</f>
        <v>Revenue</v>
      </c>
      <c r="C95" s="46" t="str">
        <f>C46</f>
        <v>Riel/ha</v>
      </c>
      <c r="D95" s="49">
        <f>+D94*D93</f>
        <v>2006705.0444004093</v>
      </c>
    </row>
    <row r="96" spans="1:4">
      <c r="A96" s="56"/>
      <c r="B96" s="45"/>
      <c r="C96" s="46"/>
      <c r="D96" s="49"/>
    </row>
    <row r="97" spans="1:4">
      <c r="A97" s="66" t="str">
        <f>RiceAromatic!A97</f>
        <v>Performance</v>
      </c>
      <c r="B97" s="45" t="str">
        <f t="shared" ref="B97:C100" si="8">B48</f>
        <v>Gross margin (before family labour) [cash flow]</v>
      </c>
      <c r="C97" s="46" t="str">
        <f t="shared" si="8"/>
        <v>Riel/ha</v>
      </c>
      <c r="D97" s="58">
        <f>D95-D88-D89-D91</f>
        <v>1569357.8815056991</v>
      </c>
    </row>
    <row r="98" spans="1:4">
      <c r="B98" s="45" t="str">
        <f t="shared" si="8"/>
        <v>Net margin (after family labour)</v>
      </c>
      <c r="C98" s="46" t="str">
        <f t="shared" si="8"/>
        <v>Riel/ha</v>
      </c>
      <c r="D98" s="60">
        <f>D97-D90</f>
        <v>153722.88150569913</v>
      </c>
    </row>
    <row r="99" spans="1:4">
      <c r="B99" s="45" t="str">
        <f t="shared" si="8"/>
        <v>Net margin (after family labour)</v>
      </c>
      <c r="C99" s="46" t="str">
        <f t="shared" si="8"/>
        <v>$/ha</v>
      </c>
      <c r="D99" s="61">
        <f>D98/CF!$I$6</f>
        <v>37.806906420486754</v>
      </c>
    </row>
    <row r="100" spans="1:4" ht="27.95">
      <c r="B100" s="45" t="str">
        <f t="shared" si="8"/>
        <v>Returns to family labour</v>
      </c>
      <c r="C100" s="46" t="str">
        <f t="shared" si="8"/>
        <v>Riel/person day</v>
      </c>
      <c r="D100" s="58">
        <f>D97/SUM(D62:D67)</f>
        <v>24143.967407779986</v>
      </c>
    </row>
  </sheetData>
  <hyperlinks>
    <hyperlink ref="A1" location="ToC!A1" display=" Back to TOC" xr:uid="{0B9E4916-E28F-4B86-8FBB-3765E50BDE2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CF69A-CD4E-4DBB-B6F4-14AF98E006A3}">
  <sheetPr>
    <tabColor rgb="FF00B0F0"/>
  </sheetPr>
  <dimension ref="A1:R89"/>
  <sheetViews>
    <sheetView zoomScale="75" zoomScaleNormal="75" workbookViewId="0">
      <selection activeCell="C31" sqref="C31"/>
    </sheetView>
  </sheetViews>
  <sheetFormatPr defaultColWidth="8.7109375" defaultRowHeight="12.95"/>
  <cols>
    <col min="1" max="1" width="43" style="11" customWidth="1"/>
    <col min="2" max="2" width="20.42578125" style="11" customWidth="1"/>
    <col min="3" max="3" width="20.7109375" style="11" customWidth="1"/>
    <col min="4" max="4" width="13.85546875" style="11" bestFit="1" customWidth="1"/>
    <col min="5" max="5" width="23.7109375" style="11" customWidth="1"/>
    <col min="6" max="6" width="12.140625" style="11" bestFit="1" customWidth="1"/>
    <col min="7" max="7" width="13.85546875" style="11" bestFit="1" customWidth="1"/>
    <col min="8" max="8" width="12.42578125" style="11" customWidth="1"/>
    <col min="9" max="9" width="18.5703125" style="11" customWidth="1"/>
    <col min="10" max="10" width="24.5703125" style="11" customWidth="1"/>
    <col min="11" max="11" width="11.42578125" style="11" bestFit="1" customWidth="1"/>
    <col min="12" max="13" width="8.7109375" style="11"/>
    <col min="14" max="14" width="11.140625" style="11" customWidth="1"/>
    <col min="15" max="15" width="12.7109375" style="11" customWidth="1"/>
    <col min="16" max="16384" width="8.7109375" style="11"/>
  </cols>
  <sheetData>
    <row r="1" spans="1:18" s="30" customFormat="1">
      <c r="A1" s="29" t="s">
        <v>31</v>
      </c>
    </row>
    <row r="2" spans="1:18" s="31" customFormat="1"/>
    <row r="3" spans="1:18" s="31" customFormat="1"/>
    <row r="4" spans="1:18" s="35" customFormat="1" ht="14.1">
      <c r="A4" s="32" t="s">
        <v>32</v>
      </c>
      <c r="B4" s="33"/>
      <c r="C4" s="33"/>
      <c r="D4" s="33"/>
      <c r="E4" s="34"/>
      <c r="F4" s="34"/>
      <c r="G4" s="34"/>
      <c r="H4" s="34"/>
      <c r="I4" s="34"/>
      <c r="M4" s="34"/>
      <c r="N4" s="34"/>
      <c r="O4" s="34"/>
      <c r="P4" s="34"/>
      <c r="Q4" s="34"/>
      <c r="R4" s="34"/>
    </row>
    <row r="5" spans="1:18" s="5" customFormat="1" ht="14.1">
      <c r="A5" s="109"/>
      <c r="B5" s="109"/>
      <c r="C5" s="132"/>
      <c r="D5" s="147" t="s">
        <v>33</v>
      </c>
      <c r="E5" s="148"/>
      <c r="F5" s="149">
        <f>K10</f>
        <v>5.885E-2</v>
      </c>
      <c r="G5" s="109"/>
      <c r="H5" s="25" t="s">
        <v>34</v>
      </c>
      <c r="I5" s="26" t="s">
        <v>35</v>
      </c>
    </row>
    <row r="6" spans="1:18" s="5" customFormat="1" ht="14.1">
      <c r="A6" s="150" t="s">
        <v>36</v>
      </c>
      <c r="B6" s="151"/>
      <c r="C6" s="132"/>
      <c r="D6" s="152" t="s">
        <v>37</v>
      </c>
      <c r="E6" s="153"/>
      <c r="F6" s="154">
        <v>0.05</v>
      </c>
      <c r="G6" s="109"/>
      <c r="H6" s="27"/>
      <c r="I6" s="28">
        <v>4066</v>
      </c>
      <c r="K6" s="8"/>
    </row>
    <row r="7" spans="1:18" s="5" customFormat="1" ht="14.1">
      <c r="A7" s="155" t="s">
        <v>38</v>
      </c>
      <c r="B7" s="156">
        <f>1/B8</f>
        <v>1.1490704748349865</v>
      </c>
      <c r="C7" s="132"/>
      <c r="D7" s="109"/>
      <c r="E7" s="109"/>
      <c r="F7" s="109"/>
      <c r="G7" s="109"/>
      <c r="H7" s="109"/>
      <c r="K7" s="8"/>
    </row>
    <row r="8" spans="1:18" s="5" customFormat="1" ht="14.1">
      <c r="A8" s="157" t="s">
        <v>39</v>
      </c>
      <c r="B8" s="158">
        <f>B25</f>
        <v>0.87026864052320729</v>
      </c>
      <c r="C8" s="109"/>
      <c r="D8" s="109"/>
      <c r="E8" s="109"/>
      <c r="F8" s="109"/>
      <c r="G8" s="109"/>
      <c r="H8" s="31" t="s">
        <v>40</v>
      </c>
      <c r="I8" s="11"/>
      <c r="J8" s="11"/>
      <c r="K8" s="11"/>
    </row>
    <row r="9" spans="1:18" s="5" customFormat="1" ht="14.1">
      <c r="A9" s="159" t="s">
        <v>41</v>
      </c>
      <c r="B9" s="158">
        <f>AVERAGE(C48:H48)</f>
        <v>0.87347162894710195</v>
      </c>
      <c r="C9" s="109"/>
      <c r="D9" s="109"/>
      <c r="E9" s="109"/>
      <c r="F9" s="109"/>
      <c r="G9" s="109"/>
      <c r="H9" s="341" t="s">
        <v>42</v>
      </c>
      <c r="I9" s="342" t="s">
        <v>43</v>
      </c>
      <c r="J9" s="342" t="s">
        <v>44</v>
      </c>
      <c r="K9" s="343" t="s">
        <v>45</v>
      </c>
    </row>
    <row r="10" spans="1:18" s="5" customFormat="1" ht="14.1">
      <c r="A10" s="159" t="s">
        <v>46</v>
      </c>
      <c r="B10" s="158">
        <f>+C69</f>
        <v>0.95557383066686152</v>
      </c>
      <c r="C10" s="109"/>
      <c r="D10" s="109"/>
      <c r="E10" s="109"/>
      <c r="F10" s="109"/>
      <c r="G10" s="109"/>
      <c r="H10" s="344" t="s">
        <v>47</v>
      </c>
      <c r="I10" s="107">
        <v>1.4880000000000001E-2</v>
      </c>
      <c r="J10" s="107">
        <v>0.10281999999999999</v>
      </c>
      <c r="K10" s="345">
        <f>AVERAGE(I10:J10)</f>
        <v>5.885E-2</v>
      </c>
    </row>
    <row r="11" spans="1:18" s="5" customFormat="1" ht="14.1">
      <c r="A11" s="160" t="s">
        <v>48</v>
      </c>
      <c r="B11" s="161">
        <f>+C75</f>
        <v>0.75</v>
      </c>
      <c r="C11" s="162"/>
      <c r="D11" s="109"/>
      <c r="E11" s="109"/>
      <c r="F11" s="109"/>
      <c r="G11" s="109"/>
      <c r="H11" s="108" t="s">
        <v>49</v>
      </c>
      <c r="I11" s="109"/>
      <c r="J11" s="108"/>
      <c r="K11" s="108"/>
    </row>
    <row r="12" spans="1:18" s="5" customFormat="1" ht="14.1">
      <c r="A12" s="109" t="s">
        <v>50</v>
      </c>
      <c r="B12" s="109"/>
      <c r="C12" s="162"/>
      <c r="D12" s="109"/>
      <c r="E12" s="109"/>
      <c r="F12" s="109"/>
      <c r="G12" s="109"/>
      <c r="H12" s="109"/>
    </row>
    <row r="13" spans="1:18" s="5" customFormat="1" ht="14.1">
      <c r="A13" s="109"/>
      <c r="B13" s="109"/>
      <c r="C13" s="109"/>
      <c r="D13" s="109"/>
      <c r="E13" s="109"/>
      <c r="F13" s="109"/>
      <c r="G13" s="109"/>
      <c r="H13" s="109"/>
    </row>
    <row r="14" spans="1:18" s="109" customFormat="1" ht="14.1">
      <c r="A14" s="110" t="s">
        <v>51</v>
      </c>
      <c r="B14" s="110"/>
      <c r="C14" s="110"/>
      <c r="E14" s="111"/>
      <c r="F14" s="111"/>
      <c r="G14" s="111"/>
      <c r="H14" s="111"/>
    </row>
    <row r="15" spans="1:18" s="109" customFormat="1" ht="14.1">
      <c r="A15" s="121"/>
      <c r="B15" s="119" t="s">
        <v>52</v>
      </c>
      <c r="C15" s="120" t="s">
        <v>53</v>
      </c>
      <c r="E15" s="113"/>
    </row>
    <row r="16" spans="1:18" s="109" customFormat="1" ht="14.1">
      <c r="A16" s="118" t="s">
        <v>54</v>
      </c>
      <c r="B16" s="125">
        <v>16160.46</v>
      </c>
      <c r="C16" s="112" t="s">
        <v>55</v>
      </c>
      <c r="E16" s="114"/>
      <c r="F16" s="114"/>
      <c r="G16" s="114"/>
      <c r="I16" s="115"/>
    </row>
    <row r="17" spans="1:11" s="109" customFormat="1" ht="14.1">
      <c r="A17" s="118" t="s">
        <v>56</v>
      </c>
      <c r="B17" s="125">
        <v>15793.23</v>
      </c>
      <c r="C17" s="112" t="s">
        <v>55</v>
      </c>
      <c r="E17" s="114"/>
      <c r="F17" s="114"/>
      <c r="G17" s="114"/>
    </row>
    <row r="18" spans="1:11" s="109" customFormat="1" ht="14.1">
      <c r="A18" s="118" t="s">
        <v>57</v>
      </c>
      <c r="B18" s="126">
        <f>B16*D18</f>
        <v>2892.7223399999998</v>
      </c>
      <c r="C18" s="112" t="s">
        <v>58</v>
      </c>
      <c r="D18" s="116">
        <v>0.17899999999999999</v>
      </c>
      <c r="E18" s="114" t="s">
        <v>59</v>
      </c>
      <c r="F18" s="114"/>
      <c r="G18" s="114"/>
      <c r="I18" s="117"/>
      <c r="J18" s="117"/>
    </row>
    <row r="19" spans="1:11" s="5" customFormat="1" ht="14.1">
      <c r="A19" s="118" t="s">
        <v>60</v>
      </c>
      <c r="B19" s="127">
        <f>B17*D19</f>
        <v>3948.3074999999999</v>
      </c>
      <c r="C19" s="112" t="s">
        <v>58</v>
      </c>
      <c r="D19" s="122">
        <v>0.25</v>
      </c>
      <c r="E19" s="31" t="s">
        <v>61</v>
      </c>
      <c r="F19" s="114"/>
      <c r="G19" s="114"/>
      <c r="H19" s="109"/>
    </row>
    <row r="20" spans="1:11" s="5" customFormat="1" ht="14.1">
      <c r="A20" s="118"/>
      <c r="B20" s="85"/>
      <c r="C20" s="123"/>
      <c r="D20" s="109"/>
      <c r="E20" s="114"/>
      <c r="F20" s="114"/>
      <c r="G20" s="114"/>
      <c r="H20" s="109"/>
      <c r="I20" s="393"/>
      <c r="J20" s="10"/>
      <c r="K20" s="1"/>
    </row>
    <row r="21" spans="1:11" s="5" customFormat="1" ht="42">
      <c r="A21" s="118" t="s">
        <v>62</v>
      </c>
      <c r="B21" s="126">
        <f>((B17+B18)+(B16-B19))/(B16+B17)*B22</f>
        <v>3931.680324852623</v>
      </c>
      <c r="C21" s="130" t="s">
        <v>63</v>
      </c>
      <c r="D21" s="109"/>
      <c r="E21" s="114"/>
      <c r="F21" s="114"/>
      <c r="G21" s="114"/>
      <c r="H21" s="109"/>
      <c r="I21" s="393"/>
      <c r="J21" s="10"/>
      <c r="K21" s="1"/>
    </row>
    <row r="22" spans="1:11" s="5" customFormat="1" ht="14.1">
      <c r="A22" s="118" t="s">
        <v>34</v>
      </c>
      <c r="B22" s="126">
        <f>I6</f>
        <v>4066</v>
      </c>
      <c r="C22" s="130" t="s">
        <v>64</v>
      </c>
      <c r="D22" s="109"/>
      <c r="E22" s="114"/>
      <c r="F22" s="114"/>
      <c r="G22" s="114"/>
      <c r="H22" s="109"/>
      <c r="K22" s="1"/>
    </row>
    <row r="23" spans="1:11" s="5" customFormat="1" ht="14.1">
      <c r="A23" s="118" t="s">
        <v>65</v>
      </c>
      <c r="B23" s="128">
        <f>B21/B22</f>
        <v>0.96696515613689693</v>
      </c>
      <c r="C23" s="130" t="s">
        <v>66</v>
      </c>
      <c r="D23" s="109"/>
      <c r="E23" s="109"/>
      <c r="F23" s="109"/>
      <c r="G23" s="109"/>
      <c r="H23" s="109"/>
      <c r="K23" s="1"/>
    </row>
    <row r="24" spans="1:11" s="5" customFormat="1" ht="14.1">
      <c r="A24" s="118" t="s">
        <v>67</v>
      </c>
      <c r="B24" s="128">
        <v>0.1</v>
      </c>
      <c r="C24" s="130"/>
      <c r="D24" s="109"/>
      <c r="E24" s="109"/>
      <c r="F24" s="109"/>
      <c r="G24" s="109"/>
      <c r="H24" s="109"/>
      <c r="K24" s="1"/>
    </row>
    <row r="25" spans="1:11" s="5" customFormat="1" ht="42">
      <c r="A25" s="124" t="s">
        <v>65</v>
      </c>
      <c r="B25" s="129">
        <f>(1-B24)*B23</f>
        <v>0.87026864052320729</v>
      </c>
      <c r="C25" s="131" t="s">
        <v>68</v>
      </c>
      <c r="D25" s="109"/>
      <c r="E25" s="109"/>
      <c r="F25" s="109"/>
      <c r="G25" s="109"/>
      <c r="H25" s="109"/>
      <c r="K25" s="1"/>
    </row>
    <row r="26" spans="1:11" s="5" customFormat="1" ht="14.1">
      <c r="A26" s="108"/>
      <c r="B26" s="108"/>
      <c r="C26" s="132"/>
      <c r="D26" s="109"/>
      <c r="E26" s="108"/>
      <c r="F26" s="109"/>
      <c r="G26" s="109"/>
      <c r="H26" s="109"/>
      <c r="K26" s="1"/>
    </row>
    <row r="27" spans="1:11" s="109" customFormat="1" ht="14.1">
      <c r="A27" s="390" t="s">
        <v>69</v>
      </c>
      <c r="B27" s="390"/>
      <c r="C27" s="390"/>
      <c r="D27" s="390"/>
      <c r="K27" s="139"/>
    </row>
    <row r="28" spans="1:11" s="109" customFormat="1" ht="14.1">
      <c r="A28" s="391" t="s">
        <v>70</v>
      </c>
      <c r="B28" s="391" t="s">
        <v>71</v>
      </c>
      <c r="C28" s="389" t="s">
        <v>72</v>
      </c>
      <c r="D28" s="389"/>
      <c r="E28" s="389" t="s">
        <v>73</v>
      </c>
      <c r="F28" s="389"/>
      <c r="G28" s="404" t="s">
        <v>74</v>
      </c>
      <c r="H28" s="405"/>
      <c r="K28" s="140"/>
    </row>
    <row r="29" spans="1:11" s="109" customFormat="1" ht="14.1">
      <c r="A29" s="392"/>
      <c r="B29" s="392"/>
      <c r="C29" s="133" t="s">
        <v>75</v>
      </c>
      <c r="D29" s="134" t="s">
        <v>76</v>
      </c>
      <c r="E29" s="134" t="s">
        <v>75</v>
      </c>
      <c r="F29" s="134" t="s">
        <v>76</v>
      </c>
      <c r="G29" s="134" t="s">
        <v>75</v>
      </c>
      <c r="H29" s="134" t="s">
        <v>76</v>
      </c>
      <c r="K29" s="141"/>
    </row>
    <row r="30" spans="1:11" s="109" customFormat="1" ht="14.1">
      <c r="A30" s="135" t="s">
        <v>77</v>
      </c>
      <c r="B30" s="136" t="s">
        <v>78</v>
      </c>
      <c r="C30" s="143">
        <v>483.2</v>
      </c>
      <c r="D30" s="143">
        <f>C30</f>
        <v>483.2</v>
      </c>
      <c r="E30" s="143">
        <v>123.2</v>
      </c>
      <c r="F30" s="143">
        <f>E30</f>
        <v>123.2</v>
      </c>
      <c r="G30" s="144">
        <v>210.2</v>
      </c>
      <c r="H30" s="143">
        <f>G30</f>
        <v>210.2</v>
      </c>
    </row>
    <row r="31" spans="1:11" s="109" customFormat="1" ht="14.1">
      <c r="A31" s="137" t="s">
        <v>79</v>
      </c>
      <c r="B31" s="138"/>
      <c r="C31" s="145"/>
      <c r="D31" s="145"/>
      <c r="E31" s="145"/>
      <c r="F31" s="145"/>
      <c r="G31" s="146"/>
      <c r="H31" s="145"/>
    </row>
    <row r="32" spans="1:11" s="109" customFormat="1" ht="14.1">
      <c r="A32" s="142" t="s">
        <v>80</v>
      </c>
      <c r="B32" s="138" t="s">
        <v>78</v>
      </c>
      <c r="C32" s="145">
        <f>C30*0.21125</f>
        <v>102.07599999999999</v>
      </c>
      <c r="D32" s="145">
        <f>C32</f>
        <v>102.07599999999999</v>
      </c>
      <c r="E32" s="145">
        <f>D32</f>
        <v>102.07599999999999</v>
      </c>
      <c r="F32" s="145">
        <f>E32</f>
        <v>102.07599999999999</v>
      </c>
      <c r="G32" s="145">
        <f>F32</f>
        <v>102.07599999999999</v>
      </c>
      <c r="H32" s="145">
        <f>G32</f>
        <v>102.07599999999999</v>
      </c>
    </row>
    <row r="33" spans="1:8" s="109" customFormat="1" ht="14.1">
      <c r="A33" s="142" t="s">
        <v>81</v>
      </c>
      <c r="B33" s="138" t="s">
        <v>78</v>
      </c>
      <c r="C33" s="145">
        <f>2.5%*C30</f>
        <v>12.08</v>
      </c>
      <c r="D33" s="145">
        <f t="shared" ref="D33:H33" si="0">2.5%*D30</f>
        <v>12.08</v>
      </c>
      <c r="E33" s="145">
        <f t="shared" si="0"/>
        <v>3.08</v>
      </c>
      <c r="F33" s="145">
        <f t="shared" si="0"/>
        <v>3.08</v>
      </c>
      <c r="G33" s="145">
        <f t="shared" si="0"/>
        <v>5.2549999999999999</v>
      </c>
      <c r="H33" s="145">
        <f t="shared" si="0"/>
        <v>5.2549999999999999</v>
      </c>
    </row>
    <row r="34" spans="1:8" s="109" customFormat="1" ht="14.1">
      <c r="A34" s="137" t="s">
        <v>82</v>
      </c>
      <c r="B34" s="138" t="s">
        <v>78</v>
      </c>
      <c r="C34" s="145">
        <f t="shared" ref="C34:H34" si="1">SUM(C30:C33)</f>
        <v>597.35599999999999</v>
      </c>
      <c r="D34" s="145">
        <f t="shared" si="1"/>
        <v>597.35599999999999</v>
      </c>
      <c r="E34" s="145">
        <f t="shared" si="1"/>
        <v>228.35600000000002</v>
      </c>
      <c r="F34" s="145">
        <f t="shared" si="1"/>
        <v>228.35600000000002</v>
      </c>
      <c r="G34" s="146">
        <f t="shared" si="1"/>
        <v>317.53099999999995</v>
      </c>
      <c r="H34" s="145">
        <f t="shared" si="1"/>
        <v>317.53099999999995</v>
      </c>
    </row>
    <row r="35" spans="1:8" s="5" customFormat="1" ht="14.1">
      <c r="A35" s="137" t="s">
        <v>83</v>
      </c>
      <c r="B35" s="138" t="s">
        <v>84</v>
      </c>
      <c r="C35" s="145">
        <f>C34*B22</f>
        <v>2428849.4959999998</v>
      </c>
      <c r="D35" s="145">
        <f>D34*B21</f>
        <v>2348612.8321326636</v>
      </c>
      <c r="E35" s="145">
        <f>E34*B22</f>
        <v>928495.49600000004</v>
      </c>
      <c r="F35" s="145">
        <f>F34*B21</f>
        <v>897822.79226204567</v>
      </c>
      <c r="G35" s="145">
        <f>G34*B22</f>
        <v>1291081.0459999999</v>
      </c>
      <c r="H35" s="145">
        <f>H34*B21</f>
        <v>1248430.385230778</v>
      </c>
    </row>
    <row r="36" spans="1:8" s="5" customFormat="1" ht="14.1">
      <c r="A36" s="142" t="s">
        <v>85</v>
      </c>
      <c r="B36" s="138" t="s">
        <v>84</v>
      </c>
      <c r="C36" s="145">
        <f>B24*C35</f>
        <v>242884.94959999999</v>
      </c>
      <c r="D36" s="145" t="s">
        <v>86</v>
      </c>
      <c r="E36" s="145">
        <f>13%*E35</f>
        <v>120704.41448000001</v>
      </c>
      <c r="F36" s="145"/>
      <c r="G36" s="145">
        <f>13%*G35</f>
        <v>167840.53597999999</v>
      </c>
      <c r="H36" s="145"/>
    </row>
    <row r="37" spans="1:8" s="5" customFormat="1" ht="14.1">
      <c r="A37" s="142" t="s">
        <v>81</v>
      </c>
      <c r="B37" s="138" t="s">
        <v>84</v>
      </c>
      <c r="C37" s="145">
        <f>2.5%*C35</f>
        <v>60721.237399999998</v>
      </c>
      <c r="D37" s="145">
        <f t="shared" ref="D37:H37" si="2">2.5%*D35</f>
        <v>58715.320803316594</v>
      </c>
      <c r="E37" s="145">
        <f t="shared" si="2"/>
        <v>23212.387400000003</v>
      </c>
      <c r="F37" s="145">
        <f t="shared" si="2"/>
        <v>22445.569806551142</v>
      </c>
      <c r="G37" s="145">
        <f t="shared" si="2"/>
        <v>32277.026149999998</v>
      </c>
      <c r="H37" s="145">
        <f t="shared" si="2"/>
        <v>31210.759630769451</v>
      </c>
    </row>
    <row r="38" spans="1:8" s="5" customFormat="1" ht="14.1">
      <c r="A38" s="142" t="s">
        <v>87</v>
      </c>
      <c r="B38" s="138" t="s">
        <v>84</v>
      </c>
      <c r="C38" s="145">
        <f>17.9%*C35</f>
        <v>434764.05978399992</v>
      </c>
      <c r="D38" s="145" t="s">
        <v>86</v>
      </c>
      <c r="E38" s="145">
        <f>17.9%*E35</f>
        <v>166200.693784</v>
      </c>
      <c r="F38" s="145"/>
      <c r="G38" s="145">
        <f>17.9%*G35</f>
        <v>231103.50723399996</v>
      </c>
      <c r="H38" s="145"/>
    </row>
    <row r="39" spans="1:8" s="5" customFormat="1" ht="14.1">
      <c r="A39" s="137" t="s">
        <v>88</v>
      </c>
      <c r="B39" s="138" t="s">
        <v>84</v>
      </c>
      <c r="C39" s="145">
        <f t="shared" ref="C39:H39" si="3">SUM(C35:C37)</f>
        <v>2732455.6829999997</v>
      </c>
      <c r="D39" s="145">
        <f t="shared" si="3"/>
        <v>2407328.1529359804</v>
      </c>
      <c r="E39" s="145">
        <f t="shared" si="3"/>
        <v>1072412.29788</v>
      </c>
      <c r="F39" s="145">
        <f t="shared" si="3"/>
        <v>920268.36206859676</v>
      </c>
      <c r="G39" s="146">
        <f t="shared" si="3"/>
        <v>1491198.6081299998</v>
      </c>
      <c r="H39" s="145">
        <f t="shared" si="3"/>
        <v>1279641.1448615475</v>
      </c>
    </row>
    <row r="40" spans="1:8" s="5" customFormat="1" ht="14.1">
      <c r="A40" s="137" t="s">
        <v>89</v>
      </c>
      <c r="B40" s="138" t="s">
        <v>84</v>
      </c>
      <c r="C40" s="146">
        <f>400*187</f>
        <v>74800</v>
      </c>
      <c r="D40" s="145">
        <f>C40</f>
        <v>74800</v>
      </c>
      <c r="E40" s="145">
        <f>C40</f>
        <v>74800</v>
      </c>
      <c r="F40" s="145">
        <f t="shared" ref="F40:H41" si="4">D40</f>
        <v>74800</v>
      </c>
      <c r="G40" s="145">
        <f t="shared" si="4"/>
        <v>74800</v>
      </c>
      <c r="H40" s="145">
        <f t="shared" si="4"/>
        <v>74800</v>
      </c>
    </row>
    <row r="41" spans="1:8" s="5" customFormat="1" ht="14.1">
      <c r="A41" s="137" t="s">
        <v>90</v>
      </c>
      <c r="B41" s="138" t="s">
        <v>84</v>
      </c>
      <c r="C41" s="145">
        <f>100*187</f>
        <v>18700</v>
      </c>
      <c r="D41" s="145">
        <f>C41</f>
        <v>18700</v>
      </c>
      <c r="E41" s="145">
        <f>C41</f>
        <v>18700</v>
      </c>
      <c r="F41" s="145">
        <f t="shared" si="4"/>
        <v>18700</v>
      </c>
      <c r="G41" s="145">
        <f t="shared" si="4"/>
        <v>18700</v>
      </c>
      <c r="H41" s="145">
        <f t="shared" si="4"/>
        <v>18700</v>
      </c>
    </row>
    <row r="42" spans="1:8" s="5" customFormat="1" ht="14.1">
      <c r="A42" s="142" t="s">
        <v>91</v>
      </c>
      <c r="B42" s="138" t="s">
        <v>84</v>
      </c>
      <c r="C42" s="145">
        <f>2.5%*C39</f>
        <v>68311.392074999996</v>
      </c>
      <c r="D42" s="145">
        <f t="shared" ref="D42:H42" si="5">2.5%*D39</f>
        <v>60183.203823399512</v>
      </c>
      <c r="E42" s="145">
        <f t="shared" si="5"/>
        <v>26810.307446999999</v>
      </c>
      <c r="F42" s="145">
        <f t="shared" si="5"/>
        <v>23006.709051714919</v>
      </c>
      <c r="G42" s="145">
        <f t="shared" si="5"/>
        <v>37279.965203249994</v>
      </c>
      <c r="H42" s="145">
        <f t="shared" si="5"/>
        <v>31991.028621538688</v>
      </c>
    </row>
    <row r="43" spans="1:8" s="5" customFormat="1" ht="14.1">
      <c r="A43" s="137" t="s">
        <v>92</v>
      </c>
      <c r="B43" s="138" t="s">
        <v>84</v>
      </c>
      <c r="C43" s="145">
        <f>SUM(C39:C42)</f>
        <v>2894267.0750749996</v>
      </c>
      <c r="D43" s="145">
        <f>SUM(D39:D42)</f>
        <v>2561011.3567593801</v>
      </c>
      <c r="E43" s="145">
        <f t="shared" ref="E43:H43" si="6">SUM(E39:E42)</f>
        <v>1192722.6053269999</v>
      </c>
      <c r="F43" s="145">
        <f t="shared" si="6"/>
        <v>1036775.0711203117</v>
      </c>
      <c r="G43" s="146">
        <f t="shared" si="6"/>
        <v>1621978.5733332499</v>
      </c>
      <c r="H43" s="145">
        <f t="shared" si="6"/>
        <v>1405132.1734830863</v>
      </c>
    </row>
    <row r="44" spans="1:8" s="5" customFormat="1" ht="14.1">
      <c r="A44" s="137" t="s">
        <v>92</v>
      </c>
      <c r="B44" s="138" t="s">
        <v>93</v>
      </c>
      <c r="C44" s="145">
        <f t="shared" ref="C44:H44" si="7">C43/1000</f>
        <v>2894.2670750749994</v>
      </c>
      <c r="D44" s="145">
        <f t="shared" si="7"/>
        <v>2561.0113567593803</v>
      </c>
      <c r="E44" s="145">
        <f t="shared" si="7"/>
        <v>1192.7226053269999</v>
      </c>
      <c r="F44" s="145">
        <f t="shared" si="7"/>
        <v>1036.7750711203118</v>
      </c>
      <c r="G44" s="146">
        <f t="shared" si="7"/>
        <v>1621.9785733332499</v>
      </c>
      <c r="H44" s="145">
        <f t="shared" si="7"/>
        <v>1405.1321734830863</v>
      </c>
    </row>
    <row r="45" spans="1:8" s="5" customFormat="1" ht="14.1">
      <c r="A45" s="137" t="s">
        <v>94</v>
      </c>
      <c r="B45" s="138" t="s">
        <v>95</v>
      </c>
      <c r="C45" s="163">
        <v>0.46</v>
      </c>
      <c r="D45" s="163">
        <f>C45</f>
        <v>0.46</v>
      </c>
      <c r="E45" s="163">
        <v>0.45</v>
      </c>
      <c r="F45" s="163">
        <v>0.45</v>
      </c>
      <c r="G45" s="164">
        <v>0.6</v>
      </c>
      <c r="H45" s="163">
        <v>0.6</v>
      </c>
    </row>
    <row r="46" spans="1:8" s="5" customFormat="1" ht="14.1">
      <c r="A46" s="137" t="s">
        <v>96</v>
      </c>
      <c r="B46" s="138" t="s">
        <v>93</v>
      </c>
      <c r="C46" s="145">
        <f>C44/C45*0</f>
        <v>0</v>
      </c>
      <c r="D46" s="145" t="s">
        <v>86</v>
      </c>
      <c r="E46" s="145">
        <f>E44/E45*0</f>
        <v>0</v>
      </c>
      <c r="F46" s="145"/>
      <c r="G46" s="145">
        <f>G44/G45*0</f>
        <v>0</v>
      </c>
      <c r="H46" s="145"/>
    </row>
    <row r="47" spans="1:8" s="5" customFormat="1" ht="14.1">
      <c r="A47" s="165" t="s">
        <v>97</v>
      </c>
      <c r="B47" s="166" t="s">
        <v>93</v>
      </c>
      <c r="C47" s="167">
        <f>C44/C45-C46</f>
        <v>6291.8849458152163</v>
      </c>
      <c r="D47" s="167">
        <f>D44/D45</f>
        <v>5567.4159929551743</v>
      </c>
      <c r="E47" s="167">
        <f>E44/E45-E46</f>
        <v>2650.494678504444</v>
      </c>
      <c r="F47" s="167">
        <f>F44/F45</f>
        <v>2303.9446024895819</v>
      </c>
      <c r="G47" s="167">
        <f>G44/G45-G46</f>
        <v>2703.2976222220832</v>
      </c>
      <c r="H47" s="167">
        <f>H44/H45</f>
        <v>2341.8869558051438</v>
      </c>
    </row>
    <row r="48" spans="1:8" s="5" customFormat="1" ht="14.1">
      <c r="A48" s="165" t="s">
        <v>98</v>
      </c>
      <c r="B48" s="165"/>
      <c r="C48" s="402">
        <f>D47/C47</f>
        <v>0.88485661147667805</v>
      </c>
      <c r="D48" s="403"/>
      <c r="E48" s="402">
        <f>F47/E47</f>
        <v>0.86925079351209833</v>
      </c>
      <c r="F48" s="403"/>
      <c r="G48" s="402">
        <f>H47/G47</f>
        <v>0.86630748185252959</v>
      </c>
      <c r="H48" s="403"/>
    </row>
    <row r="49" spans="1:18" s="109" customFormat="1" ht="14.1">
      <c r="A49" s="109" t="s">
        <v>99</v>
      </c>
      <c r="C49" s="132"/>
    </row>
    <row r="50" spans="1:18" s="5" customFormat="1" ht="14.1">
      <c r="A50" s="109" t="s">
        <v>100</v>
      </c>
      <c r="B50" s="109"/>
      <c r="C50" s="132"/>
      <c r="D50" s="109"/>
      <c r="E50" s="109"/>
      <c r="F50" s="109"/>
      <c r="G50" s="109"/>
      <c r="H50" s="109"/>
    </row>
    <row r="51" spans="1:18" s="5" customFormat="1" ht="14.1">
      <c r="A51" s="109" t="s">
        <v>101</v>
      </c>
      <c r="B51" s="109"/>
      <c r="C51" s="132"/>
      <c r="D51" s="109"/>
      <c r="E51" s="109"/>
      <c r="F51" s="109"/>
      <c r="G51" s="109"/>
      <c r="H51" s="109"/>
    </row>
    <row r="52" spans="1:18" s="5" customFormat="1" ht="14.1">
      <c r="A52" s="109" t="s">
        <v>102</v>
      </c>
      <c r="B52" s="109"/>
      <c r="C52" s="132"/>
      <c r="D52" s="109"/>
      <c r="E52" s="109"/>
      <c r="F52" s="109"/>
      <c r="G52" s="109"/>
      <c r="H52" s="109"/>
    </row>
    <row r="53" spans="1:18" s="5" customFormat="1" ht="14.1">
      <c r="C53" s="8"/>
    </row>
    <row r="54" spans="1:18" s="5" customFormat="1" ht="14.1">
      <c r="A54" s="168" t="s">
        <v>103</v>
      </c>
      <c r="B54" s="168"/>
      <c r="C54" s="168"/>
      <c r="D54" s="168"/>
      <c r="K54" s="7"/>
      <c r="L54" s="7"/>
      <c r="M54" s="7"/>
      <c r="N54" s="7"/>
      <c r="O54" s="7"/>
      <c r="P54" s="7"/>
      <c r="Q54" s="7"/>
      <c r="R54" s="7"/>
    </row>
    <row r="55" spans="1:18" s="5" customFormat="1" ht="14.1">
      <c r="A55" s="387" t="s">
        <v>70</v>
      </c>
      <c r="B55" s="387" t="s">
        <v>71</v>
      </c>
      <c r="C55" s="389" t="s">
        <v>104</v>
      </c>
      <c r="D55" s="389"/>
      <c r="E55" s="109" t="s">
        <v>105</v>
      </c>
      <c r="K55" s="7"/>
      <c r="L55" s="7"/>
      <c r="M55" s="7"/>
      <c r="N55" s="7"/>
      <c r="O55" s="7"/>
      <c r="P55" s="7"/>
      <c r="Q55" s="7"/>
      <c r="R55" s="7"/>
    </row>
    <row r="56" spans="1:18" s="5" customFormat="1" ht="13.5" customHeight="1">
      <c r="A56" s="388"/>
      <c r="B56" s="388"/>
      <c r="C56" s="169" t="s">
        <v>75</v>
      </c>
      <c r="D56" s="134" t="s">
        <v>76</v>
      </c>
      <c r="E56" s="9"/>
      <c r="K56" s="7"/>
      <c r="L56" s="7"/>
      <c r="M56" s="7"/>
      <c r="N56" s="7"/>
      <c r="O56" s="7"/>
      <c r="P56" s="7"/>
      <c r="Q56" s="7"/>
      <c r="R56" s="7"/>
    </row>
    <row r="57" spans="1:18" s="5" customFormat="1" ht="14.1">
      <c r="A57" s="170" t="s">
        <v>106</v>
      </c>
      <c r="B57" s="171" t="s">
        <v>78</v>
      </c>
      <c r="C57" s="172">
        <v>825</v>
      </c>
      <c r="D57" s="173">
        <f>+C57</f>
        <v>825</v>
      </c>
      <c r="E57" s="9"/>
      <c r="K57" s="7"/>
      <c r="L57" s="7"/>
      <c r="M57" s="7"/>
      <c r="N57" s="7"/>
      <c r="O57" s="7"/>
      <c r="P57" s="7"/>
      <c r="Q57" s="7"/>
      <c r="R57" s="7"/>
    </row>
    <row r="58" spans="1:18" s="5" customFormat="1" ht="14.1">
      <c r="A58" s="174" t="s">
        <v>107</v>
      </c>
      <c r="B58" s="171" t="s">
        <v>78</v>
      </c>
      <c r="C58" s="172">
        <v>50</v>
      </c>
      <c r="D58" s="173">
        <f>C58</f>
        <v>50</v>
      </c>
      <c r="E58" s="9"/>
      <c r="K58" s="7"/>
      <c r="L58" s="7"/>
      <c r="M58" s="7"/>
      <c r="N58" s="7"/>
      <c r="O58" s="7"/>
      <c r="P58" s="7"/>
      <c r="Q58" s="7"/>
      <c r="R58" s="7"/>
    </row>
    <row r="59" spans="1:18" s="5" customFormat="1" ht="14.1">
      <c r="A59" s="175" t="s">
        <v>108</v>
      </c>
      <c r="B59" s="171" t="s">
        <v>78</v>
      </c>
      <c r="C59" s="172">
        <f>2%*C57</f>
        <v>16.5</v>
      </c>
      <c r="D59" s="173">
        <f>C59</f>
        <v>16.5</v>
      </c>
      <c r="E59" s="9"/>
      <c r="K59" s="7"/>
      <c r="L59" s="7"/>
      <c r="M59" s="7"/>
      <c r="N59" s="7"/>
      <c r="O59" s="7"/>
      <c r="P59" s="7"/>
      <c r="Q59" s="7"/>
      <c r="R59" s="7"/>
    </row>
    <row r="60" spans="1:18" s="5" customFormat="1" ht="14.1">
      <c r="A60" s="170" t="s">
        <v>109</v>
      </c>
      <c r="B60" s="171" t="s">
        <v>35</v>
      </c>
      <c r="C60" s="176">
        <f>B22</f>
        <v>4066</v>
      </c>
      <c r="D60" s="177">
        <f>B21</f>
        <v>3931.680324852623</v>
      </c>
      <c r="E60" s="9"/>
      <c r="K60" s="7"/>
      <c r="L60" s="7"/>
      <c r="M60" s="7"/>
      <c r="N60" s="7"/>
      <c r="O60" s="7"/>
      <c r="P60" s="7"/>
      <c r="Q60" s="7"/>
      <c r="R60" s="7"/>
    </row>
    <row r="61" spans="1:18" s="5" customFormat="1" ht="14.1">
      <c r="A61" s="170" t="s">
        <v>110</v>
      </c>
      <c r="B61" s="171" t="s">
        <v>84</v>
      </c>
      <c r="C61" s="172">
        <f>(C57-C59)*C60</f>
        <v>3287361</v>
      </c>
      <c r="D61" s="173">
        <f>(D57-D59)*D60</f>
        <v>3178763.5426433459</v>
      </c>
      <c r="E61" s="9"/>
      <c r="K61" s="7"/>
      <c r="L61" s="7"/>
      <c r="M61" s="7"/>
      <c r="N61" s="7"/>
      <c r="O61" s="7"/>
      <c r="P61" s="7"/>
      <c r="Q61" s="7"/>
      <c r="R61" s="7"/>
    </row>
    <row r="62" spans="1:18" s="5" customFormat="1" ht="14.1">
      <c r="A62" s="170" t="s">
        <v>111</v>
      </c>
      <c r="B62" s="171" t="s">
        <v>112</v>
      </c>
      <c r="C62" s="172">
        <f>+C61*0.25</f>
        <v>821840.25</v>
      </c>
      <c r="D62" s="173">
        <f>+D61*0.25</f>
        <v>794690.88566083647</v>
      </c>
      <c r="E62" s="9"/>
      <c r="K62" s="7"/>
      <c r="L62" s="7"/>
      <c r="M62" s="7"/>
      <c r="N62" s="7"/>
      <c r="O62" s="7"/>
      <c r="P62" s="7"/>
      <c r="Q62" s="7"/>
      <c r="R62" s="7"/>
    </row>
    <row r="63" spans="1:18" s="5" customFormat="1" ht="14.1">
      <c r="A63" s="178" t="s">
        <v>113</v>
      </c>
      <c r="B63" s="171" t="s">
        <v>112</v>
      </c>
      <c r="C63" s="179">
        <f>2.5%*C61</f>
        <v>82184.025000000009</v>
      </c>
      <c r="D63" s="180">
        <f>+C63</f>
        <v>82184.025000000009</v>
      </c>
      <c r="E63" s="9"/>
      <c r="K63" s="7"/>
      <c r="L63" s="7"/>
      <c r="M63" s="7"/>
      <c r="N63" s="7"/>
      <c r="O63" s="7"/>
      <c r="P63" s="7"/>
      <c r="Q63" s="7"/>
      <c r="R63" s="7"/>
    </row>
    <row r="64" spans="1:18" s="5" customFormat="1" ht="14.1">
      <c r="A64" s="170" t="s">
        <v>114</v>
      </c>
      <c r="B64" s="171" t="s">
        <v>112</v>
      </c>
      <c r="C64" s="172">
        <f>0.01*(C61+C62)</f>
        <v>41092.012500000004</v>
      </c>
      <c r="D64" s="173">
        <f>0.01*(D61+D62)</f>
        <v>39734.544283041825</v>
      </c>
      <c r="E64" s="9"/>
      <c r="K64" s="7"/>
      <c r="L64" s="7"/>
      <c r="M64" s="7"/>
      <c r="N64" s="7"/>
      <c r="O64" s="7"/>
      <c r="P64" s="7"/>
      <c r="Q64" s="7"/>
      <c r="R64" s="7"/>
    </row>
    <row r="65" spans="1:18" s="5" customFormat="1" ht="14.1">
      <c r="A65" s="178" t="s">
        <v>115</v>
      </c>
      <c r="B65" s="171" t="s">
        <v>112</v>
      </c>
      <c r="C65" s="179">
        <f>(C63+C64)*0.5</f>
        <v>61638.018750000003</v>
      </c>
      <c r="D65" s="181">
        <f>(D63+D64)*0.5</f>
        <v>60959.284641520921</v>
      </c>
      <c r="E65" s="9"/>
      <c r="K65" s="7"/>
      <c r="L65" s="7"/>
      <c r="M65" s="7"/>
      <c r="N65" s="7"/>
      <c r="O65" s="7"/>
      <c r="P65" s="7"/>
      <c r="Q65" s="7"/>
      <c r="R65" s="7"/>
    </row>
    <row r="66" spans="1:18" s="5" customFormat="1" ht="14.1">
      <c r="A66" s="170" t="s">
        <v>116</v>
      </c>
      <c r="B66" s="171" t="s">
        <v>84</v>
      </c>
      <c r="C66" s="172">
        <f>0.15*C61</f>
        <v>493104.14999999997</v>
      </c>
      <c r="D66" s="182">
        <f>+C66</f>
        <v>493104.14999999997</v>
      </c>
      <c r="E66" s="9"/>
      <c r="K66" s="7"/>
      <c r="L66" s="7"/>
      <c r="M66" s="7"/>
      <c r="N66" s="7"/>
      <c r="O66" s="7"/>
      <c r="P66" s="7"/>
      <c r="Q66" s="7"/>
      <c r="R66" s="7"/>
    </row>
    <row r="67" spans="1:18" s="5" customFormat="1" ht="14.1">
      <c r="A67" s="183" t="s">
        <v>117</v>
      </c>
      <c r="B67" s="171" t="s">
        <v>84</v>
      </c>
      <c r="C67" s="184">
        <f>+C61-SUM(C62:C66)</f>
        <v>1787502.54375</v>
      </c>
      <c r="D67" s="185">
        <f>+D61-SUM(D62:D66)</f>
        <v>1708090.6530579466</v>
      </c>
      <c r="E67" s="9"/>
      <c r="K67" s="7"/>
      <c r="L67" s="7"/>
      <c r="M67" s="7"/>
      <c r="N67" s="7"/>
      <c r="O67" s="7"/>
      <c r="P67" s="7"/>
      <c r="Q67" s="7"/>
      <c r="R67" s="7"/>
    </row>
    <row r="68" spans="1:18" s="5" customFormat="1" ht="14.1">
      <c r="A68" s="186" t="s">
        <v>117</v>
      </c>
      <c r="B68" s="187" t="s">
        <v>118</v>
      </c>
      <c r="C68" s="188">
        <f>C67/1000</f>
        <v>1787.5025437499999</v>
      </c>
      <c r="D68" s="189">
        <f>D67/1000</f>
        <v>1708.0906530579466</v>
      </c>
      <c r="E68" s="9"/>
      <c r="K68" s="7"/>
      <c r="L68" s="7"/>
      <c r="M68" s="7"/>
      <c r="N68" s="7"/>
      <c r="O68" s="7"/>
      <c r="P68" s="7"/>
      <c r="Q68" s="7"/>
      <c r="R68" s="7"/>
    </row>
    <row r="69" spans="1:18" s="5" customFormat="1" ht="14.1">
      <c r="A69" s="190" t="s">
        <v>98</v>
      </c>
      <c r="B69" s="191"/>
      <c r="C69" s="394">
        <f>D68/C68</f>
        <v>0.95557383066686152</v>
      </c>
      <c r="D69" s="395"/>
      <c r="E69" s="9"/>
      <c r="K69" s="7"/>
      <c r="L69" s="7"/>
      <c r="M69" s="7"/>
      <c r="N69" s="7"/>
      <c r="O69" s="7"/>
      <c r="P69" s="7"/>
      <c r="Q69" s="7"/>
      <c r="R69" s="7"/>
    </row>
    <row r="70" spans="1:18" s="5" customFormat="1" ht="14.1">
      <c r="A70" s="109" t="s">
        <v>119</v>
      </c>
      <c r="B70" s="109"/>
      <c r="C70" s="132"/>
      <c r="D70" s="109"/>
    </row>
    <row r="71" spans="1:18" s="5" customFormat="1" ht="14.1">
      <c r="C71" s="8"/>
    </row>
    <row r="72" spans="1:18" s="5" customFormat="1" ht="14.1">
      <c r="A72" s="110" t="s">
        <v>120</v>
      </c>
      <c r="B72" s="110"/>
      <c r="C72" s="110"/>
      <c r="D72" s="110"/>
    </row>
    <row r="73" spans="1:18" s="5" customFormat="1" ht="14.1">
      <c r="A73" s="348"/>
      <c r="B73" s="349"/>
      <c r="C73" s="396" t="s">
        <v>121</v>
      </c>
      <c r="D73" s="397"/>
    </row>
    <row r="74" spans="1:18" s="5" customFormat="1" ht="14.1">
      <c r="A74" s="350" t="s">
        <v>122</v>
      </c>
      <c r="B74" s="351">
        <v>21779</v>
      </c>
      <c r="C74" s="398"/>
      <c r="D74" s="399"/>
    </row>
    <row r="75" spans="1:18" s="5" customFormat="1" ht="14.1">
      <c r="A75" s="352" t="s">
        <v>123</v>
      </c>
      <c r="B75" s="353">
        <f>+B74*0.75</f>
        <v>16334.25</v>
      </c>
      <c r="C75" s="400">
        <f>+B75/B74</f>
        <v>0.75</v>
      </c>
      <c r="D75" s="401"/>
    </row>
    <row r="78" spans="1:18">
      <c r="A78" s="192" t="s">
        <v>124</v>
      </c>
      <c r="B78" s="193" t="s">
        <v>125</v>
      </c>
      <c r="C78" s="193" t="s">
        <v>95</v>
      </c>
    </row>
    <row r="79" spans="1:18" s="12" customFormat="1">
      <c r="A79" s="194"/>
      <c r="B79" s="195">
        <v>2016</v>
      </c>
      <c r="C79" s="195">
        <v>6.9329999999999998</v>
      </c>
    </row>
    <row r="80" spans="1:18">
      <c r="A80" s="31"/>
      <c r="B80" s="195">
        <v>2017</v>
      </c>
      <c r="C80" s="195">
        <v>6.9770000000000003</v>
      </c>
    </row>
    <row r="81" spans="1:3">
      <c r="A81" s="31"/>
      <c r="B81" s="195">
        <v>2018</v>
      </c>
      <c r="C81" s="195">
        <v>7.4690000000000003</v>
      </c>
    </row>
    <row r="82" spans="1:3">
      <c r="A82" s="31"/>
      <c r="B82" s="195">
        <v>2019</v>
      </c>
      <c r="C82" s="196">
        <v>7.0540000000000003</v>
      </c>
    </row>
    <row r="83" spans="1:3">
      <c r="A83" s="31"/>
      <c r="B83" s="197">
        <v>2020</v>
      </c>
      <c r="C83" s="198">
        <v>-3.1480000000000001</v>
      </c>
    </row>
    <row r="84" spans="1:3">
      <c r="A84" s="31"/>
      <c r="B84" s="199" t="s">
        <v>45</v>
      </c>
      <c r="C84" s="200">
        <f>AVERAGE(C79:C83)</f>
        <v>5.0570000000000004</v>
      </c>
    </row>
    <row r="85" spans="1:3">
      <c r="A85" s="31" t="s">
        <v>126</v>
      </c>
      <c r="B85" s="31"/>
      <c r="C85" s="31"/>
    </row>
    <row r="88" spans="1:3">
      <c r="A88" s="331" t="s">
        <v>127</v>
      </c>
      <c r="B88" s="332">
        <v>192</v>
      </c>
    </row>
    <row r="89" spans="1:3">
      <c r="A89" s="331" t="s">
        <v>128</v>
      </c>
      <c r="B89" s="332">
        <f>B88*B22/25</f>
        <v>31226.880000000001</v>
      </c>
    </row>
  </sheetData>
  <mergeCells count="16">
    <mergeCell ref="I20:I21"/>
    <mergeCell ref="C69:D69"/>
    <mergeCell ref="C73:D74"/>
    <mergeCell ref="C75:D75"/>
    <mergeCell ref="C48:D48"/>
    <mergeCell ref="E48:F48"/>
    <mergeCell ref="G48:H48"/>
    <mergeCell ref="E28:F28"/>
    <mergeCell ref="G28:H28"/>
    <mergeCell ref="A55:A56"/>
    <mergeCell ref="B55:B56"/>
    <mergeCell ref="C55:D55"/>
    <mergeCell ref="A27:D27"/>
    <mergeCell ref="A28:A29"/>
    <mergeCell ref="B28:B29"/>
    <mergeCell ref="C28:D28"/>
  </mergeCells>
  <phoneticPr fontId="10" type="noConversion"/>
  <hyperlinks>
    <hyperlink ref="A1" location="ToC!A1" display=" Back to TOC" xr:uid="{D9F058D3-4166-4272-A8A8-E44CB2AF1C18}"/>
  </hyperlinks>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4307D4-276E-411F-A8CD-C48FC2DF0AF1}">
  <sheetPr>
    <tabColor rgb="FFFFC000"/>
  </sheetPr>
  <dimension ref="A1:AO102"/>
  <sheetViews>
    <sheetView tabSelected="1" zoomScale="80" zoomScaleNormal="80" workbookViewId="0">
      <selection activeCell="A97" sqref="A97:E102"/>
    </sheetView>
  </sheetViews>
  <sheetFormatPr defaultColWidth="9.140625" defaultRowHeight="12.95"/>
  <cols>
    <col min="1" max="1" width="39.85546875" style="23" customWidth="1"/>
    <col min="2" max="2" width="11.140625" style="23" customWidth="1"/>
    <col min="3" max="3" width="31.42578125" style="24" customWidth="1"/>
    <col min="4" max="4" width="7.140625" style="23" bestFit="1" customWidth="1"/>
    <col min="5" max="5" width="7.85546875" style="23" bestFit="1" customWidth="1"/>
    <col min="6" max="8" width="9.85546875" style="23" bestFit="1" customWidth="1"/>
    <col min="9" max="10" width="9.140625" style="23" bestFit="1" customWidth="1"/>
    <col min="11" max="11" width="9.85546875" style="23" bestFit="1" customWidth="1"/>
    <col min="12" max="12" width="9" style="23" bestFit="1" customWidth="1"/>
    <col min="13" max="21" width="9.85546875" style="23" bestFit="1" customWidth="1"/>
    <col min="22" max="22" width="9.140625" style="23"/>
    <col min="23" max="23" width="9.85546875" style="23" bestFit="1" customWidth="1"/>
    <col min="24" max="246" width="9.140625" style="23"/>
    <col min="247" max="247" width="47.5703125" style="23" bestFit="1" customWidth="1"/>
    <col min="248" max="248" width="16" style="23" bestFit="1" customWidth="1"/>
    <col min="249" max="267" width="9.85546875" style="23" bestFit="1" customWidth="1"/>
    <col min="268" max="268" width="9.140625" style="23" customWidth="1"/>
    <col min="269" max="502" width="9.140625" style="23"/>
    <col min="503" max="503" width="47.5703125" style="23" bestFit="1" customWidth="1"/>
    <col min="504" max="504" width="16" style="23" bestFit="1" customWidth="1"/>
    <col min="505" max="523" width="9.85546875" style="23" bestFit="1" customWidth="1"/>
    <col min="524" max="524" width="9.140625" style="23" customWidth="1"/>
    <col min="525" max="758" width="9.140625" style="23"/>
    <col min="759" max="759" width="47.5703125" style="23" bestFit="1" customWidth="1"/>
    <col min="760" max="760" width="16" style="23" bestFit="1" customWidth="1"/>
    <col min="761" max="779" width="9.85546875" style="23" bestFit="1" customWidth="1"/>
    <col min="780" max="780" width="9.140625" style="23" customWidth="1"/>
    <col min="781" max="1014" width="9.140625" style="23"/>
    <col min="1015" max="1015" width="47.5703125" style="23" bestFit="1" customWidth="1"/>
    <col min="1016" max="1016" width="16" style="23" bestFit="1" customWidth="1"/>
    <col min="1017" max="1035" width="9.85546875" style="23" bestFit="1" customWidth="1"/>
    <col min="1036" max="1036" width="9.140625" style="23" customWidth="1"/>
    <col min="1037" max="1270" width="9.140625" style="23"/>
    <col min="1271" max="1271" width="47.5703125" style="23" bestFit="1" customWidth="1"/>
    <col min="1272" max="1272" width="16" style="23" bestFit="1" customWidth="1"/>
    <col min="1273" max="1291" width="9.85546875" style="23" bestFit="1" customWidth="1"/>
    <col min="1292" max="1292" width="9.140625" style="23" customWidth="1"/>
    <col min="1293" max="1526" width="9.140625" style="23"/>
    <col min="1527" max="1527" width="47.5703125" style="23" bestFit="1" customWidth="1"/>
    <col min="1528" max="1528" width="16" style="23" bestFit="1" customWidth="1"/>
    <col min="1529" max="1547" width="9.85546875" style="23" bestFit="1" customWidth="1"/>
    <col min="1548" max="1548" width="9.140625" style="23" customWidth="1"/>
    <col min="1549" max="1782" width="9.140625" style="23"/>
    <col min="1783" max="1783" width="47.5703125" style="23" bestFit="1" customWidth="1"/>
    <col min="1784" max="1784" width="16" style="23" bestFit="1" customWidth="1"/>
    <col min="1785" max="1803" width="9.85546875" style="23" bestFit="1" customWidth="1"/>
    <col min="1804" max="1804" width="9.140625" style="23" customWidth="1"/>
    <col min="1805" max="2038" width="9.140625" style="23"/>
    <col min="2039" max="2039" width="47.5703125" style="23" bestFit="1" customWidth="1"/>
    <col min="2040" max="2040" width="16" style="23" bestFit="1" customWidth="1"/>
    <col min="2041" max="2059" width="9.85546875" style="23" bestFit="1" customWidth="1"/>
    <col min="2060" max="2060" width="9.140625" style="23" customWidth="1"/>
    <col min="2061" max="2294" width="9.140625" style="23"/>
    <col min="2295" max="2295" width="47.5703125" style="23" bestFit="1" customWidth="1"/>
    <col min="2296" max="2296" width="16" style="23" bestFit="1" customWidth="1"/>
    <col min="2297" max="2315" width="9.85546875" style="23" bestFit="1" customWidth="1"/>
    <col min="2316" max="2316" width="9.140625" style="23" customWidth="1"/>
    <col min="2317" max="2550" width="9.140625" style="23"/>
    <col min="2551" max="2551" width="47.5703125" style="23" bestFit="1" customWidth="1"/>
    <col min="2552" max="2552" width="16" style="23" bestFit="1" customWidth="1"/>
    <col min="2553" max="2571" width="9.85546875" style="23" bestFit="1" customWidth="1"/>
    <col min="2572" max="2572" width="9.140625" style="23" customWidth="1"/>
    <col min="2573" max="2806" width="9.140625" style="23"/>
    <col min="2807" max="2807" width="47.5703125" style="23" bestFit="1" customWidth="1"/>
    <col min="2808" max="2808" width="16" style="23" bestFit="1" customWidth="1"/>
    <col min="2809" max="2827" width="9.85546875" style="23" bestFit="1" customWidth="1"/>
    <col min="2828" max="2828" width="9.140625" style="23" customWidth="1"/>
    <col min="2829" max="3062" width="9.140625" style="23"/>
    <col min="3063" max="3063" width="47.5703125" style="23" bestFit="1" customWidth="1"/>
    <col min="3064" max="3064" width="16" style="23" bestFit="1" customWidth="1"/>
    <col min="3065" max="3083" width="9.85546875" style="23" bestFit="1" customWidth="1"/>
    <col min="3084" max="3084" width="9.140625" style="23" customWidth="1"/>
    <col min="3085" max="3318" width="9.140625" style="23"/>
    <col min="3319" max="3319" width="47.5703125" style="23" bestFit="1" customWidth="1"/>
    <col min="3320" max="3320" width="16" style="23" bestFit="1" customWidth="1"/>
    <col min="3321" max="3339" width="9.85546875" style="23" bestFit="1" customWidth="1"/>
    <col min="3340" max="3340" width="9.140625" style="23" customWidth="1"/>
    <col min="3341" max="3574" width="9.140625" style="23"/>
    <col min="3575" max="3575" width="47.5703125" style="23" bestFit="1" customWidth="1"/>
    <col min="3576" max="3576" width="16" style="23" bestFit="1" customWidth="1"/>
    <col min="3577" max="3595" width="9.85546875" style="23" bestFit="1" customWidth="1"/>
    <col min="3596" max="3596" width="9.140625" style="23" customWidth="1"/>
    <col min="3597" max="3830" width="9.140625" style="23"/>
    <col min="3831" max="3831" width="47.5703125" style="23" bestFit="1" customWidth="1"/>
    <col min="3832" max="3832" width="16" style="23" bestFit="1" customWidth="1"/>
    <col min="3833" max="3851" width="9.85546875" style="23" bestFit="1" customWidth="1"/>
    <col min="3852" max="3852" width="9.140625" style="23" customWidth="1"/>
    <col min="3853" max="4086" width="9.140625" style="23"/>
    <col min="4087" max="4087" width="47.5703125" style="23" bestFit="1" customWidth="1"/>
    <col min="4088" max="4088" width="16" style="23" bestFit="1" customWidth="1"/>
    <col min="4089" max="4107" width="9.85546875" style="23" bestFit="1" customWidth="1"/>
    <col min="4108" max="4108" width="9.140625" style="23" customWidth="1"/>
    <col min="4109" max="4342" width="9.140625" style="23"/>
    <col min="4343" max="4343" width="47.5703125" style="23" bestFit="1" customWidth="1"/>
    <col min="4344" max="4344" width="16" style="23" bestFit="1" customWidth="1"/>
    <col min="4345" max="4363" width="9.85546875" style="23" bestFit="1" customWidth="1"/>
    <col min="4364" max="4364" width="9.140625" style="23" customWidth="1"/>
    <col min="4365" max="4598" width="9.140625" style="23"/>
    <col min="4599" max="4599" width="47.5703125" style="23" bestFit="1" customWidth="1"/>
    <col min="4600" max="4600" width="16" style="23" bestFit="1" customWidth="1"/>
    <col min="4601" max="4619" width="9.85546875" style="23" bestFit="1" customWidth="1"/>
    <col min="4620" max="4620" width="9.140625" style="23" customWidth="1"/>
    <col min="4621" max="4854" width="9.140625" style="23"/>
    <col min="4855" max="4855" width="47.5703125" style="23" bestFit="1" customWidth="1"/>
    <col min="4856" max="4856" width="16" style="23" bestFit="1" customWidth="1"/>
    <col min="4857" max="4875" width="9.85546875" style="23" bestFit="1" customWidth="1"/>
    <col min="4876" max="4876" width="9.140625" style="23" customWidth="1"/>
    <col min="4877" max="5110" width="9.140625" style="23"/>
    <col min="5111" max="5111" width="47.5703125" style="23" bestFit="1" customWidth="1"/>
    <col min="5112" max="5112" width="16" style="23" bestFit="1" customWidth="1"/>
    <col min="5113" max="5131" width="9.85546875" style="23" bestFit="1" customWidth="1"/>
    <col min="5132" max="5132" width="9.140625" style="23" customWidth="1"/>
    <col min="5133" max="5366" width="9.140625" style="23"/>
    <col min="5367" max="5367" width="47.5703125" style="23" bestFit="1" customWidth="1"/>
    <col min="5368" max="5368" width="16" style="23" bestFit="1" customWidth="1"/>
    <col min="5369" max="5387" width="9.85546875" style="23" bestFit="1" customWidth="1"/>
    <col min="5388" max="5388" width="9.140625" style="23" customWidth="1"/>
    <col min="5389" max="5622" width="9.140625" style="23"/>
    <col min="5623" max="5623" width="47.5703125" style="23" bestFit="1" customWidth="1"/>
    <col min="5624" max="5624" width="16" style="23" bestFit="1" customWidth="1"/>
    <col min="5625" max="5643" width="9.85546875" style="23" bestFit="1" customWidth="1"/>
    <col min="5644" max="5644" width="9.140625" style="23" customWidth="1"/>
    <col min="5645" max="5878" width="9.140625" style="23"/>
    <col min="5879" max="5879" width="47.5703125" style="23" bestFit="1" customWidth="1"/>
    <col min="5880" max="5880" width="16" style="23" bestFit="1" customWidth="1"/>
    <col min="5881" max="5899" width="9.85546875" style="23" bestFit="1" customWidth="1"/>
    <col min="5900" max="5900" width="9.140625" style="23" customWidth="1"/>
    <col min="5901" max="6134" width="9.140625" style="23"/>
    <col min="6135" max="6135" width="47.5703125" style="23" bestFit="1" customWidth="1"/>
    <col min="6136" max="6136" width="16" style="23" bestFit="1" customWidth="1"/>
    <col min="6137" max="6155" width="9.85546875" style="23" bestFit="1" customWidth="1"/>
    <col min="6156" max="6156" width="9.140625" style="23" customWidth="1"/>
    <col min="6157" max="6390" width="9.140625" style="23"/>
    <col min="6391" max="6391" width="47.5703125" style="23" bestFit="1" customWidth="1"/>
    <col min="6392" max="6392" width="16" style="23" bestFit="1" customWidth="1"/>
    <col min="6393" max="6411" width="9.85546875" style="23" bestFit="1" customWidth="1"/>
    <col min="6412" max="6412" width="9.140625" style="23" customWidth="1"/>
    <col min="6413" max="6646" width="9.140625" style="23"/>
    <col min="6647" max="6647" width="47.5703125" style="23" bestFit="1" customWidth="1"/>
    <col min="6648" max="6648" width="16" style="23" bestFit="1" customWidth="1"/>
    <col min="6649" max="6667" width="9.85546875" style="23" bestFit="1" customWidth="1"/>
    <col min="6668" max="6668" width="9.140625" style="23" customWidth="1"/>
    <col min="6669" max="6902" width="9.140625" style="23"/>
    <col min="6903" max="6903" width="47.5703125" style="23" bestFit="1" customWidth="1"/>
    <col min="6904" max="6904" width="16" style="23" bestFit="1" customWidth="1"/>
    <col min="6905" max="6923" width="9.85546875" style="23" bestFit="1" customWidth="1"/>
    <col min="6924" max="6924" width="9.140625" style="23" customWidth="1"/>
    <col min="6925" max="7158" width="9.140625" style="23"/>
    <col min="7159" max="7159" width="47.5703125" style="23" bestFit="1" customWidth="1"/>
    <col min="7160" max="7160" width="16" style="23" bestFit="1" customWidth="1"/>
    <col min="7161" max="7179" width="9.85546875" style="23" bestFit="1" customWidth="1"/>
    <col min="7180" max="7180" width="9.140625" style="23" customWidth="1"/>
    <col min="7181" max="7414" width="9.140625" style="23"/>
    <col min="7415" max="7415" width="47.5703125" style="23" bestFit="1" customWidth="1"/>
    <col min="7416" max="7416" width="16" style="23" bestFit="1" customWidth="1"/>
    <col min="7417" max="7435" width="9.85546875" style="23" bestFit="1" customWidth="1"/>
    <col min="7436" max="7436" width="9.140625" style="23" customWidth="1"/>
    <col min="7437" max="7670" width="9.140625" style="23"/>
    <col min="7671" max="7671" width="47.5703125" style="23" bestFit="1" customWidth="1"/>
    <col min="7672" max="7672" width="16" style="23" bestFit="1" customWidth="1"/>
    <col min="7673" max="7691" width="9.85546875" style="23" bestFit="1" customWidth="1"/>
    <col min="7692" max="7692" width="9.140625" style="23" customWidth="1"/>
    <col min="7693" max="7926" width="9.140625" style="23"/>
    <col min="7927" max="7927" width="47.5703125" style="23" bestFit="1" customWidth="1"/>
    <col min="7928" max="7928" width="16" style="23" bestFit="1" customWidth="1"/>
    <col min="7929" max="7947" width="9.85546875" style="23" bestFit="1" customWidth="1"/>
    <col min="7948" max="7948" width="9.140625" style="23" customWidth="1"/>
    <col min="7949" max="8182" width="9.140625" style="23"/>
    <col min="8183" max="8183" width="47.5703125" style="23" bestFit="1" customWidth="1"/>
    <col min="8184" max="8184" width="16" style="23" bestFit="1" customWidth="1"/>
    <col min="8185" max="8203" width="9.85546875" style="23" bestFit="1" customWidth="1"/>
    <col min="8204" max="8204" width="9.140625" style="23" customWidth="1"/>
    <col min="8205" max="8438" width="9.140625" style="23"/>
    <col min="8439" max="8439" width="47.5703125" style="23" bestFit="1" customWidth="1"/>
    <col min="8440" max="8440" width="16" style="23" bestFit="1" customWidth="1"/>
    <col min="8441" max="8459" width="9.85546875" style="23" bestFit="1" customWidth="1"/>
    <col min="8460" max="8460" width="9.140625" style="23" customWidth="1"/>
    <col min="8461" max="8694" width="9.140625" style="23"/>
    <col min="8695" max="8695" width="47.5703125" style="23" bestFit="1" customWidth="1"/>
    <col min="8696" max="8696" width="16" style="23" bestFit="1" customWidth="1"/>
    <col min="8697" max="8715" width="9.85546875" style="23" bestFit="1" customWidth="1"/>
    <col min="8716" max="8716" width="9.140625" style="23" customWidth="1"/>
    <col min="8717" max="8950" width="9.140625" style="23"/>
    <col min="8951" max="8951" width="47.5703125" style="23" bestFit="1" customWidth="1"/>
    <col min="8952" max="8952" width="16" style="23" bestFit="1" customWidth="1"/>
    <col min="8953" max="8971" width="9.85546875" style="23" bestFit="1" customWidth="1"/>
    <col min="8972" max="8972" width="9.140625" style="23" customWidth="1"/>
    <col min="8973" max="9206" width="9.140625" style="23"/>
    <col min="9207" max="9207" width="47.5703125" style="23" bestFit="1" customWidth="1"/>
    <col min="9208" max="9208" width="16" style="23" bestFit="1" customWidth="1"/>
    <col min="9209" max="9227" width="9.85546875" style="23" bestFit="1" customWidth="1"/>
    <col min="9228" max="9228" width="9.140625" style="23" customWidth="1"/>
    <col min="9229" max="9462" width="9.140625" style="23"/>
    <col min="9463" max="9463" width="47.5703125" style="23" bestFit="1" customWidth="1"/>
    <col min="9464" max="9464" width="16" style="23" bestFit="1" customWidth="1"/>
    <col min="9465" max="9483" width="9.85546875" style="23" bestFit="1" customWidth="1"/>
    <col min="9484" max="9484" width="9.140625" style="23" customWidth="1"/>
    <col min="9485" max="9718" width="9.140625" style="23"/>
    <col min="9719" max="9719" width="47.5703125" style="23" bestFit="1" customWidth="1"/>
    <col min="9720" max="9720" width="16" style="23" bestFit="1" customWidth="1"/>
    <col min="9721" max="9739" width="9.85546875" style="23" bestFit="1" customWidth="1"/>
    <col min="9740" max="9740" width="9.140625" style="23" customWidth="1"/>
    <col min="9741" max="9974" width="9.140625" style="23"/>
    <col min="9975" max="9975" width="47.5703125" style="23" bestFit="1" customWidth="1"/>
    <col min="9976" max="9976" width="16" style="23" bestFit="1" customWidth="1"/>
    <col min="9977" max="9995" width="9.85546875" style="23" bestFit="1" customWidth="1"/>
    <col min="9996" max="9996" width="9.140625" style="23" customWidth="1"/>
    <col min="9997" max="10230" width="9.140625" style="23"/>
    <col min="10231" max="10231" width="47.5703125" style="23" bestFit="1" customWidth="1"/>
    <col min="10232" max="10232" width="16" style="23" bestFit="1" customWidth="1"/>
    <col min="10233" max="10251" width="9.85546875" style="23" bestFit="1" customWidth="1"/>
    <col min="10252" max="10252" width="9.140625" style="23" customWidth="1"/>
    <col min="10253" max="10486" width="9.140625" style="23"/>
    <col min="10487" max="10487" width="47.5703125" style="23" bestFit="1" customWidth="1"/>
    <col min="10488" max="10488" width="16" style="23" bestFit="1" customWidth="1"/>
    <col min="10489" max="10507" width="9.85546875" style="23" bestFit="1" customWidth="1"/>
    <col min="10508" max="10508" width="9.140625" style="23" customWidth="1"/>
    <col min="10509" max="10742" width="9.140625" style="23"/>
    <col min="10743" max="10743" width="47.5703125" style="23" bestFit="1" customWidth="1"/>
    <col min="10744" max="10744" width="16" style="23" bestFit="1" customWidth="1"/>
    <col min="10745" max="10763" width="9.85546875" style="23" bestFit="1" customWidth="1"/>
    <col min="10764" max="10764" width="9.140625" style="23" customWidth="1"/>
    <col min="10765" max="10998" width="9.140625" style="23"/>
    <col min="10999" max="10999" width="47.5703125" style="23" bestFit="1" customWidth="1"/>
    <col min="11000" max="11000" width="16" style="23" bestFit="1" customWidth="1"/>
    <col min="11001" max="11019" width="9.85546875" style="23" bestFit="1" customWidth="1"/>
    <col min="11020" max="11020" width="9.140625" style="23" customWidth="1"/>
    <col min="11021" max="11254" width="9.140625" style="23"/>
    <col min="11255" max="11255" width="47.5703125" style="23" bestFit="1" customWidth="1"/>
    <col min="11256" max="11256" width="16" style="23" bestFit="1" customWidth="1"/>
    <col min="11257" max="11275" width="9.85546875" style="23" bestFit="1" customWidth="1"/>
    <col min="11276" max="11276" width="9.140625" style="23" customWidth="1"/>
    <col min="11277" max="11510" width="9.140625" style="23"/>
    <col min="11511" max="11511" width="47.5703125" style="23" bestFit="1" customWidth="1"/>
    <col min="11512" max="11512" width="16" style="23" bestFit="1" customWidth="1"/>
    <col min="11513" max="11531" width="9.85546875" style="23" bestFit="1" customWidth="1"/>
    <col min="11532" max="11532" width="9.140625" style="23" customWidth="1"/>
    <col min="11533" max="11766" width="9.140625" style="23"/>
    <col min="11767" max="11767" width="47.5703125" style="23" bestFit="1" customWidth="1"/>
    <col min="11768" max="11768" width="16" style="23" bestFit="1" customWidth="1"/>
    <col min="11769" max="11787" width="9.85546875" style="23" bestFit="1" customWidth="1"/>
    <col min="11788" max="11788" width="9.140625" style="23" customWidth="1"/>
    <col min="11789" max="12022" width="9.140625" style="23"/>
    <col min="12023" max="12023" width="47.5703125" style="23" bestFit="1" customWidth="1"/>
    <col min="12024" max="12024" width="16" style="23" bestFit="1" customWidth="1"/>
    <col min="12025" max="12043" width="9.85546875" style="23" bestFit="1" customWidth="1"/>
    <col min="12044" max="12044" width="9.140625" style="23" customWidth="1"/>
    <col min="12045" max="12278" width="9.140625" style="23"/>
    <col min="12279" max="12279" width="47.5703125" style="23" bestFit="1" customWidth="1"/>
    <col min="12280" max="12280" width="16" style="23" bestFit="1" customWidth="1"/>
    <col min="12281" max="12299" width="9.85546875" style="23" bestFit="1" customWidth="1"/>
    <col min="12300" max="12300" width="9.140625" style="23" customWidth="1"/>
    <col min="12301" max="12534" width="9.140625" style="23"/>
    <col min="12535" max="12535" width="47.5703125" style="23" bestFit="1" customWidth="1"/>
    <col min="12536" max="12536" width="16" style="23" bestFit="1" customWidth="1"/>
    <col min="12537" max="12555" width="9.85546875" style="23" bestFit="1" customWidth="1"/>
    <col min="12556" max="12556" width="9.140625" style="23" customWidth="1"/>
    <col min="12557" max="12790" width="9.140625" style="23"/>
    <col min="12791" max="12791" width="47.5703125" style="23" bestFit="1" customWidth="1"/>
    <col min="12792" max="12792" width="16" style="23" bestFit="1" customWidth="1"/>
    <col min="12793" max="12811" width="9.85546875" style="23" bestFit="1" customWidth="1"/>
    <col min="12812" max="12812" width="9.140625" style="23" customWidth="1"/>
    <col min="12813" max="13046" width="9.140625" style="23"/>
    <col min="13047" max="13047" width="47.5703125" style="23" bestFit="1" customWidth="1"/>
    <col min="13048" max="13048" width="16" style="23" bestFit="1" customWidth="1"/>
    <col min="13049" max="13067" width="9.85546875" style="23" bestFit="1" customWidth="1"/>
    <col min="13068" max="13068" width="9.140625" style="23" customWidth="1"/>
    <col min="13069" max="13302" width="9.140625" style="23"/>
    <col min="13303" max="13303" width="47.5703125" style="23" bestFit="1" customWidth="1"/>
    <col min="13304" max="13304" width="16" style="23" bestFit="1" customWidth="1"/>
    <col min="13305" max="13323" width="9.85546875" style="23" bestFit="1" customWidth="1"/>
    <col min="13324" max="13324" width="9.140625" style="23" customWidth="1"/>
    <col min="13325" max="13558" width="9.140625" style="23"/>
    <col min="13559" max="13559" width="47.5703125" style="23" bestFit="1" customWidth="1"/>
    <col min="13560" max="13560" width="16" style="23" bestFit="1" customWidth="1"/>
    <col min="13561" max="13579" width="9.85546875" style="23" bestFit="1" customWidth="1"/>
    <col min="13580" max="13580" width="9.140625" style="23" customWidth="1"/>
    <col min="13581" max="13814" width="9.140625" style="23"/>
    <col min="13815" max="13815" width="47.5703125" style="23" bestFit="1" customWidth="1"/>
    <col min="13816" max="13816" width="16" style="23" bestFit="1" customWidth="1"/>
    <col min="13817" max="13835" width="9.85546875" style="23" bestFit="1" customWidth="1"/>
    <col min="13836" max="13836" width="9.140625" style="23" customWidth="1"/>
    <col min="13837" max="14070" width="9.140625" style="23"/>
    <col min="14071" max="14071" width="47.5703125" style="23" bestFit="1" customWidth="1"/>
    <col min="14072" max="14072" width="16" style="23" bestFit="1" customWidth="1"/>
    <col min="14073" max="14091" width="9.85546875" style="23" bestFit="1" customWidth="1"/>
    <col min="14092" max="14092" width="9.140625" style="23" customWidth="1"/>
    <col min="14093" max="14326" width="9.140625" style="23"/>
    <col min="14327" max="14327" width="47.5703125" style="23" bestFit="1" customWidth="1"/>
    <col min="14328" max="14328" width="16" style="23" bestFit="1" customWidth="1"/>
    <col min="14329" max="14347" width="9.85546875" style="23" bestFit="1" customWidth="1"/>
    <col min="14348" max="14348" width="9.140625" style="23" customWidth="1"/>
    <col min="14349" max="14582" width="9.140625" style="23"/>
    <col min="14583" max="14583" width="47.5703125" style="23" bestFit="1" customWidth="1"/>
    <col min="14584" max="14584" width="16" style="23" bestFit="1" customWidth="1"/>
    <col min="14585" max="14603" width="9.85546875" style="23" bestFit="1" customWidth="1"/>
    <col min="14604" max="14604" width="9.140625" style="23" customWidth="1"/>
    <col min="14605" max="14838" width="9.140625" style="23"/>
    <col min="14839" max="14839" width="47.5703125" style="23" bestFit="1" customWidth="1"/>
    <col min="14840" max="14840" width="16" style="23" bestFit="1" customWidth="1"/>
    <col min="14841" max="14859" width="9.85546875" style="23" bestFit="1" customWidth="1"/>
    <col min="14860" max="14860" width="9.140625" style="23" customWidth="1"/>
    <col min="14861" max="15094" width="9.140625" style="23"/>
    <col min="15095" max="15095" width="47.5703125" style="23" bestFit="1" customWidth="1"/>
    <col min="15096" max="15096" width="16" style="23" bestFit="1" customWidth="1"/>
    <col min="15097" max="15115" width="9.85546875" style="23" bestFit="1" customWidth="1"/>
    <col min="15116" max="15116" width="9.140625" style="23" customWidth="1"/>
    <col min="15117" max="15350" width="9.140625" style="23"/>
    <col min="15351" max="15351" width="47.5703125" style="23" bestFit="1" customWidth="1"/>
    <col min="15352" max="15352" width="16" style="23" bestFit="1" customWidth="1"/>
    <col min="15353" max="15371" width="9.85546875" style="23" bestFit="1" customWidth="1"/>
    <col min="15372" max="15372" width="9.140625" style="23" customWidth="1"/>
    <col min="15373" max="15606" width="9.140625" style="23"/>
    <col min="15607" max="15607" width="47.5703125" style="23" bestFit="1" customWidth="1"/>
    <col min="15608" max="15608" width="16" style="23" bestFit="1" customWidth="1"/>
    <col min="15609" max="15627" width="9.85546875" style="23" bestFit="1" customWidth="1"/>
    <col min="15628" max="15628" width="9.140625" style="23" customWidth="1"/>
    <col min="15629" max="15862" width="9.140625" style="23"/>
    <col min="15863" max="15863" width="47.5703125" style="23" bestFit="1" customWidth="1"/>
    <col min="15864" max="15864" width="16" style="23" bestFit="1" customWidth="1"/>
    <col min="15865" max="15883" width="9.85546875" style="23" bestFit="1" customWidth="1"/>
    <col min="15884" max="15884" width="9.140625" style="23" customWidth="1"/>
    <col min="15885" max="16118" width="9.140625" style="23"/>
    <col min="16119" max="16119" width="47.5703125" style="23" bestFit="1" customWidth="1"/>
    <col min="16120" max="16120" width="16" style="23" bestFit="1" customWidth="1"/>
    <col min="16121" max="16139" width="9.85546875" style="23" bestFit="1" customWidth="1"/>
    <col min="16140" max="16140" width="9.140625" style="23" customWidth="1"/>
    <col min="16141" max="16384" width="9.140625" style="23"/>
  </cols>
  <sheetData>
    <row r="1" spans="1:41" s="4" customFormat="1">
      <c r="A1" s="3" t="s">
        <v>31</v>
      </c>
    </row>
    <row r="2" spans="1:41" s="11" customFormat="1">
      <c r="A2" s="14"/>
    </row>
    <row r="3" spans="1:41" s="293" customFormat="1">
      <c r="A3" s="412" t="s">
        <v>129</v>
      </c>
      <c r="B3" s="412"/>
      <c r="C3" s="412"/>
      <c r="D3" s="412"/>
      <c r="E3" s="412"/>
      <c r="F3" s="412"/>
      <c r="G3" s="412"/>
      <c r="H3" s="412"/>
      <c r="I3" s="412"/>
      <c r="J3" s="412"/>
      <c r="K3" s="412"/>
      <c r="L3" s="412"/>
      <c r="M3" s="412"/>
      <c r="N3" s="412"/>
      <c r="O3" s="412"/>
      <c r="P3" s="412"/>
      <c r="Q3" s="412"/>
      <c r="R3" s="412"/>
      <c r="S3" s="412"/>
      <c r="T3" s="412"/>
      <c r="U3" s="412"/>
    </row>
    <row r="4" spans="1:41" s="283" customFormat="1">
      <c r="B4" s="284" t="s">
        <v>130</v>
      </c>
      <c r="C4" s="284" t="s">
        <v>131</v>
      </c>
      <c r="D4" s="284" t="s">
        <v>132</v>
      </c>
      <c r="E4" s="284" t="s">
        <v>133</v>
      </c>
      <c r="F4" s="284" t="s">
        <v>134</v>
      </c>
      <c r="G4" s="284" t="s">
        <v>135</v>
      </c>
      <c r="H4" s="284" t="s">
        <v>136</v>
      </c>
      <c r="I4" s="284" t="s">
        <v>137</v>
      </c>
      <c r="J4" s="284" t="s">
        <v>138</v>
      </c>
      <c r="K4" s="284" t="s">
        <v>139</v>
      </c>
      <c r="L4" s="284" t="s">
        <v>140</v>
      </c>
      <c r="M4" s="284" t="s">
        <v>141</v>
      </c>
      <c r="N4" s="284" t="s">
        <v>142</v>
      </c>
      <c r="O4" s="284" t="s">
        <v>143</v>
      </c>
      <c r="P4" s="284" t="s">
        <v>144</v>
      </c>
      <c r="Q4" s="284" t="s">
        <v>145</v>
      </c>
      <c r="R4" s="284" t="s">
        <v>146</v>
      </c>
      <c r="S4" s="284" t="s">
        <v>147</v>
      </c>
      <c r="T4" s="284" t="s">
        <v>148</v>
      </c>
      <c r="U4" s="284" t="s">
        <v>149</v>
      </c>
    </row>
    <row r="5" spans="1:41" s="287" customFormat="1">
      <c r="A5" s="285" t="s">
        <v>150</v>
      </c>
      <c r="B5" s="286">
        <v>0</v>
      </c>
      <c r="C5" s="286">
        <f>BENEFITS!Q51</f>
        <v>3696.2059235161496</v>
      </c>
      <c r="D5" s="286">
        <f>BENEFITS!R51</f>
        <v>11051.068572232885</v>
      </c>
      <c r="E5" s="286">
        <f>BENEFITS!S51</f>
        <v>13172.648665922647</v>
      </c>
      <c r="F5" s="286">
        <f>BENEFITS!T51</f>
        <v>9644.2786658695222</v>
      </c>
      <c r="G5" s="286">
        <f>BENEFITS!U51</f>
        <v>10925.192465768871</v>
      </c>
      <c r="H5" s="286">
        <f>G5</f>
        <v>10925.192465768871</v>
      </c>
      <c r="I5" s="286">
        <f t="shared" ref="I5:U5" si="0">H5</f>
        <v>10925.192465768871</v>
      </c>
      <c r="J5" s="286">
        <f t="shared" si="0"/>
        <v>10925.192465768871</v>
      </c>
      <c r="K5" s="286">
        <f t="shared" si="0"/>
        <v>10925.192465768871</v>
      </c>
      <c r="L5" s="286">
        <f t="shared" si="0"/>
        <v>10925.192465768871</v>
      </c>
      <c r="M5" s="286">
        <f t="shared" si="0"/>
        <v>10925.192465768871</v>
      </c>
      <c r="N5" s="286">
        <f t="shared" si="0"/>
        <v>10925.192465768871</v>
      </c>
      <c r="O5" s="286">
        <f t="shared" si="0"/>
        <v>10925.192465768871</v>
      </c>
      <c r="P5" s="286">
        <f t="shared" si="0"/>
        <v>10925.192465768871</v>
      </c>
      <c r="Q5" s="286">
        <f t="shared" si="0"/>
        <v>10925.192465768871</v>
      </c>
      <c r="R5" s="286">
        <f t="shared" si="0"/>
        <v>10925.192465768871</v>
      </c>
      <c r="S5" s="286">
        <f t="shared" si="0"/>
        <v>10925.192465768871</v>
      </c>
      <c r="T5" s="286">
        <f t="shared" si="0"/>
        <v>10925.192465768871</v>
      </c>
      <c r="U5" s="286">
        <f t="shared" si="0"/>
        <v>10925.192465768871</v>
      </c>
    </row>
    <row r="6" spans="1:41" s="287" customFormat="1">
      <c r="A6" s="285" t="s">
        <v>151</v>
      </c>
      <c r="B6" s="286">
        <f>COSTS!A24/1000</f>
        <v>5857.2875000000004</v>
      </c>
      <c r="C6" s="286">
        <f>COSTS!B24/1000</f>
        <v>10945.2245</v>
      </c>
      <c r="D6" s="286">
        <f>COSTS!C24/1000</f>
        <v>9488.3525000000009</v>
      </c>
      <c r="E6" s="286">
        <f>COSTS!D24/1000</f>
        <v>5878.0974999999999</v>
      </c>
      <c r="F6" s="286">
        <f>COSTS!E24/1000</f>
        <v>5410.277</v>
      </c>
      <c r="G6" s="286">
        <f>COSTS!F24/1000</f>
        <v>5270.9920000000002</v>
      </c>
      <c r="H6" s="286">
        <f>G6*B8</f>
        <v>263.5496</v>
      </c>
      <c r="I6" s="286">
        <f>H6</f>
        <v>263.5496</v>
      </c>
      <c r="J6" s="286">
        <f t="shared" ref="J6:U6" si="1">I6</f>
        <v>263.5496</v>
      </c>
      <c r="K6" s="286">
        <f t="shared" ref="K6" si="2">J6</f>
        <v>263.5496</v>
      </c>
      <c r="L6" s="286">
        <f t="shared" ref="L6" si="3">K6</f>
        <v>263.5496</v>
      </c>
      <c r="M6" s="286">
        <f t="shared" ref="M6" si="4">L6</f>
        <v>263.5496</v>
      </c>
      <c r="N6" s="286">
        <f t="shared" ref="N6" si="5">M6</f>
        <v>263.5496</v>
      </c>
      <c r="O6" s="286">
        <f t="shared" ref="O6" si="6">N6</f>
        <v>263.5496</v>
      </c>
      <c r="P6" s="286">
        <f t="shared" ref="P6" si="7">O6</f>
        <v>263.5496</v>
      </c>
      <c r="Q6" s="286">
        <f t="shared" ref="Q6" si="8">P6</f>
        <v>263.5496</v>
      </c>
      <c r="R6" s="286">
        <f t="shared" ref="R6" si="9">Q6</f>
        <v>263.5496</v>
      </c>
      <c r="S6" s="286">
        <f t="shared" ref="S6" si="10">R6</f>
        <v>263.5496</v>
      </c>
      <c r="T6" s="286">
        <f t="shared" ref="T6" si="11">S6</f>
        <v>263.5496</v>
      </c>
      <c r="U6" s="286">
        <f t="shared" ref="U6" si="12">T6</f>
        <v>263.5496</v>
      </c>
    </row>
    <row r="7" spans="1:41" s="282" customFormat="1">
      <c r="A7" s="282" t="s">
        <v>152</v>
      </c>
      <c r="B7" s="288">
        <f t="shared" ref="B7:U7" si="13">B5-B6</f>
        <v>-5857.2875000000004</v>
      </c>
      <c r="C7" s="288">
        <f t="shared" si="13"/>
        <v>-7249.0185764838507</v>
      </c>
      <c r="D7" s="288">
        <f t="shared" si="13"/>
        <v>1562.7160722328845</v>
      </c>
      <c r="E7" s="288">
        <f t="shared" si="13"/>
        <v>7294.5511659226468</v>
      </c>
      <c r="F7" s="288">
        <f t="shared" si="13"/>
        <v>4234.0016658695222</v>
      </c>
      <c r="G7" s="288">
        <f t="shared" si="13"/>
        <v>5654.2004657688703</v>
      </c>
      <c r="H7" s="288">
        <f t="shared" si="13"/>
        <v>10661.64286576887</v>
      </c>
      <c r="I7" s="288">
        <f t="shared" si="13"/>
        <v>10661.64286576887</v>
      </c>
      <c r="J7" s="288">
        <f t="shared" si="13"/>
        <v>10661.64286576887</v>
      </c>
      <c r="K7" s="288">
        <f t="shared" si="13"/>
        <v>10661.64286576887</v>
      </c>
      <c r="L7" s="288">
        <f t="shared" si="13"/>
        <v>10661.64286576887</v>
      </c>
      <c r="M7" s="288">
        <f t="shared" si="13"/>
        <v>10661.64286576887</v>
      </c>
      <c r="N7" s="288">
        <f t="shared" si="13"/>
        <v>10661.64286576887</v>
      </c>
      <c r="O7" s="288">
        <f t="shared" si="13"/>
        <v>10661.64286576887</v>
      </c>
      <c r="P7" s="288">
        <f t="shared" si="13"/>
        <v>10661.64286576887</v>
      </c>
      <c r="Q7" s="288">
        <f t="shared" si="13"/>
        <v>10661.64286576887</v>
      </c>
      <c r="R7" s="288">
        <f t="shared" si="13"/>
        <v>10661.64286576887</v>
      </c>
      <c r="S7" s="288">
        <f t="shared" si="13"/>
        <v>10661.64286576887</v>
      </c>
      <c r="T7" s="288">
        <f t="shared" si="13"/>
        <v>10661.64286576887</v>
      </c>
      <c r="U7" s="288">
        <f t="shared" si="13"/>
        <v>10661.64286576887</v>
      </c>
    </row>
    <row r="8" spans="1:41" s="282" customFormat="1">
      <c r="A8" s="289" t="s">
        <v>153</v>
      </c>
      <c r="B8" s="290">
        <v>0.05</v>
      </c>
      <c r="C8" s="288"/>
      <c r="D8" s="288"/>
      <c r="E8" s="288"/>
      <c r="F8" s="288"/>
      <c r="G8" s="288"/>
      <c r="H8" s="288"/>
      <c r="I8" s="288"/>
      <c r="J8" s="288"/>
      <c r="K8" s="288"/>
      <c r="L8" s="288"/>
      <c r="M8" s="288"/>
      <c r="N8" s="291"/>
      <c r="O8" s="292"/>
      <c r="P8" s="292"/>
      <c r="Q8" s="288"/>
      <c r="R8" s="288"/>
      <c r="S8" s="288"/>
      <c r="T8" s="288"/>
      <c r="U8" s="288"/>
    </row>
    <row r="9" spans="1:41" s="282" customFormat="1">
      <c r="A9" s="293" t="s">
        <v>154</v>
      </c>
      <c r="B9" s="294">
        <f>B53</f>
        <v>0.60000000000000009</v>
      </c>
      <c r="C9" s="295"/>
      <c r="D9" s="295"/>
      <c r="E9" s="295"/>
      <c r="F9" s="295"/>
      <c r="G9" s="295"/>
      <c r="H9" s="295"/>
      <c r="I9" s="295"/>
      <c r="J9" s="295"/>
      <c r="K9" s="295"/>
      <c r="L9" s="295"/>
      <c r="M9" s="295"/>
      <c r="N9" s="291"/>
      <c r="Q9" s="295"/>
      <c r="R9" s="295"/>
      <c r="S9" s="295"/>
      <c r="T9" s="295"/>
      <c r="U9" s="295"/>
    </row>
    <row r="10" spans="1:41" s="283" customFormat="1">
      <c r="B10" s="296"/>
      <c r="C10" s="411" t="s">
        <v>155</v>
      </c>
      <c r="D10" s="411"/>
      <c r="E10" s="411"/>
      <c r="F10" s="411"/>
      <c r="G10" s="411"/>
      <c r="H10" s="411"/>
      <c r="I10" s="411"/>
      <c r="J10" s="411"/>
      <c r="K10" s="411"/>
      <c r="L10" s="411"/>
      <c r="M10" s="287"/>
      <c r="N10" s="291"/>
      <c r="O10" s="282"/>
      <c r="P10" s="282"/>
      <c r="Q10" s="287"/>
      <c r="R10" s="287"/>
      <c r="S10" s="287"/>
      <c r="T10" s="287"/>
      <c r="U10" s="287"/>
      <c r="V10" s="282"/>
      <c r="W10" s="282"/>
      <c r="X10" s="282"/>
      <c r="Y10" s="282"/>
      <c r="Z10" s="282"/>
      <c r="AA10" s="282"/>
      <c r="AB10" s="282"/>
      <c r="AC10" s="282"/>
      <c r="AD10" s="282"/>
      <c r="AE10" s="282"/>
      <c r="AF10" s="282"/>
      <c r="AG10" s="282"/>
      <c r="AH10" s="282"/>
      <c r="AI10" s="282"/>
      <c r="AJ10" s="282"/>
      <c r="AK10" s="282"/>
      <c r="AL10" s="282"/>
      <c r="AM10" s="282"/>
      <c r="AN10" s="282"/>
      <c r="AO10" s="282"/>
    </row>
    <row r="11" spans="1:41" s="298" customFormat="1">
      <c r="A11" s="409" t="s">
        <v>156</v>
      </c>
      <c r="B11" s="409" t="s">
        <v>157</v>
      </c>
      <c r="C11" s="409" t="s">
        <v>158</v>
      </c>
      <c r="D11" s="409"/>
      <c r="E11" s="409" t="s">
        <v>159</v>
      </c>
      <c r="F11" s="409"/>
      <c r="G11" s="409" t="s">
        <v>160</v>
      </c>
      <c r="H11" s="409"/>
      <c r="I11" s="409" t="s">
        <v>161</v>
      </c>
      <c r="J11" s="409"/>
      <c r="K11" s="297"/>
      <c r="L11" s="297"/>
      <c r="M11" s="297"/>
      <c r="N11" s="291"/>
      <c r="O11" s="282"/>
      <c r="P11" s="282"/>
      <c r="Q11" s="297"/>
      <c r="R11" s="297"/>
      <c r="S11" s="297"/>
      <c r="T11" s="297"/>
      <c r="U11" s="297"/>
      <c r="V11" s="282"/>
      <c r="W11" s="282"/>
      <c r="X11" s="282"/>
      <c r="Y11" s="282"/>
      <c r="Z11" s="282"/>
      <c r="AA11" s="282"/>
      <c r="AB11" s="282"/>
      <c r="AC11" s="282"/>
      <c r="AD11" s="282"/>
      <c r="AE11" s="282"/>
      <c r="AF11" s="282"/>
      <c r="AG11" s="282"/>
      <c r="AH11" s="282"/>
      <c r="AI11" s="282"/>
      <c r="AJ11" s="282"/>
      <c r="AK11" s="282"/>
      <c r="AL11" s="282"/>
      <c r="AM11" s="282"/>
      <c r="AN11" s="282"/>
      <c r="AO11" s="282"/>
    </row>
    <row r="12" spans="1:41" s="298" customFormat="1">
      <c r="A12" s="410"/>
      <c r="B12" s="410"/>
      <c r="C12" s="299" t="s">
        <v>162</v>
      </c>
      <c r="D12" s="299" t="s">
        <v>163</v>
      </c>
      <c r="E12" s="300" t="s">
        <v>162</v>
      </c>
      <c r="F12" s="299" t="s">
        <v>163</v>
      </c>
      <c r="G12" s="299" t="s">
        <v>164</v>
      </c>
      <c r="H12" s="299" t="s">
        <v>165</v>
      </c>
      <c r="I12" s="301" t="s">
        <v>166</v>
      </c>
      <c r="J12" s="301" t="s">
        <v>167</v>
      </c>
      <c r="K12" s="297"/>
      <c r="L12" s="297"/>
      <c r="M12" s="297"/>
      <c r="N12" s="291"/>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row>
    <row r="13" spans="1:41" s="298" customFormat="1">
      <c r="A13" s="323" t="s">
        <v>168</v>
      </c>
      <c r="B13" s="324">
        <f>V34</f>
        <v>0.38746595305192089</v>
      </c>
      <c r="C13" s="302">
        <f>V35</f>
        <v>0.33843738370628684</v>
      </c>
      <c r="D13" s="302">
        <f>V36</f>
        <v>0.2989466421926501</v>
      </c>
      <c r="E13" s="302">
        <f>V38</f>
        <v>0.44344867636409613</v>
      </c>
      <c r="F13" s="302">
        <f>V39</f>
        <v>0.5014573586689326</v>
      </c>
      <c r="G13" s="302">
        <f>V40</f>
        <v>0.33363348972591189</v>
      </c>
      <c r="H13" s="302">
        <f>V41</f>
        <v>0.28195174226972552</v>
      </c>
      <c r="I13" s="302">
        <f>V43</f>
        <v>0.27329310120575712</v>
      </c>
      <c r="J13" s="302">
        <f>V44</f>
        <v>0.33919472046421228</v>
      </c>
      <c r="K13" s="297"/>
      <c r="L13" s="297"/>
      <c r="M13" s="297"/>
      <c r="N13" s="291"/>
      <c r="O13" s="282"/>
      <c r="P13" s="282"/>
      <c r="Q13" s="282"/>
      <c r="R13" s="282"/>
      <c r="S13" s="282"/>
      <c r="T13" s="282"/>
      <c r="U13" s="282"/>
      <c r="V13" s="282"/>
      <c r="W13" s="282"/>
      <c r="X13" s="282"/>
      <c r="Y13" s="282"/>
      <c r="Z13" s="282"/>
      <c r="AA13" s="282"/>
      <c r="AB13" s="282"/>
      <c r="AC13" s="282"/>
      <c r="AD13" s="282"/>
      <c r="AE13" s="282"/>
      <c r="AF13" s="282"/>
      <c r="AG13" s="282"/>
      <c r="AH13" s="282"/>
      <c r="AI13" s="282"/>
      <c r="AJ13" s="282"/>
      <c r="AK13" s="282"/>
      <c r="AL13" s="282"/>
      <c r="AM13" s="282"/>
      <c r="AN13" s="282"/>
      <c r="AO13" s="282"/>
    </row>
    <row r="14" spans="1:41" s="298" customFormat="1">
      <c r="A14" s="325" t="s">
        <v>169</v>
      </c>
      <c r="B14" s="326">
        <f>W34</f>
        <v>73136.629513622014</v>
      </c>
      <c r="C14" s="303">
        <f>W35</f>
        <v>41701.147527285721</v>
      </c>
      <c r="D14" s="303">
        <f>W36</f>
        <v>38406.685599800519</v>
      </c>
      <c r="E14" s="303">
        <f>W38</f>
        <v>52789.632327733256</v>
      </c>
      <c r="F14" s="303">
        <f>W39</f>
        <v>60583.655200695561</v>
      </c>
      <c r="G14" s="303">
        <f>W40</f>
        <v>37201.586581808639</v>
      </c>
      <c r="H14" s="303">
        <f>W41</f>
        <v>29407.563708846334</v>
      </c>
      <c r="I14" s="303">
        <f>W43</f>
        <v>36433.806620283453</v>
      </c>
      <c r="J14" s="303">
        <f>W44</f>
        <v>43622.029465525513</v>
      </c>
      <c r="K14" s="297"/>
      <c r="L14" s="297"/>
      <c r="M14" s="297"/>
      <c r="N14" s="291"/>
      <c r="O14" s="282"/>
      <c r="P14" s="282"/>
      <c r="Q14" s="282"/>
      <c r="R14" s="282"/>
      <c r="S14" s="282"/>
      <c r="T14" s="282"/>
      <c r="U14" s="282"/>
      <c r="V14" s="282"/>
      <c r="W14" s="282"/>
      <c r="X14" s="282"/>
      <c r="Y14" s="282"/>
      <c r="Z14" s="282"/>
      <c r="AA14" s="282"/>
      <c r="AB14" s="282"/>
      <c r="AC14" s="282"/>
      <c r="AD14" s="282"/>
      <c r="AE14" s="282"/>
      <c r="AF14" s="282"/>
      <c r="AG14" s="282"/>
      <c r="AH14" s="282"/>
      <c r="AI14" s="282"/>
      <c r="AJ14" s="282"/>
      <c r="AK14" s="282"/>
      <c r="AL14" s="282"/>
      <c r="AM14" s="282"/>
      <c r="AN14" s="282"/>
      <c r="AO14" s="282"/>
    </row>
    <row r="15" spans="1:41" s="282" customFormat="1">
      <c r="A15" s="304"/>
      <c r="B15" s="304"/>
      <c r="C15" s="305"/>
      <c r="D15" s="295"/>
      <c r="E15" s="295"/>
      <c r="F15" s="295"/>
      <c r="G15" s="295"/>
      <c r="H15" s="295"/>
      <c r="I15" s="295"/>
      <c r="J15" s="295"/>
      <c r="K15" s="297"/>
      <c r="L15" s="297"/>
      <c r="M15" s="297"/>
      <c r="N15" s="291"/>
      <c r="Q15" s="304"/>
      <c r="R15" s="304"/>
      <c r="S15" s="304"/>
      <c r="T15" s="304"/>
      <c r="U15" s="304"/>
    </row>
    <row r="16" spans="1:41" s="287" customFormat="1">
      <c r="A16" s="406" t="s">
        <v>170</v>
      </c>
      <c r="B16" s="406"/>
      <c r="C16" s="406"/>
      <c r="D16" s="406"/>
      <c r="E16" s="406"/>
      <c r="F16" s="406"/>
      <c r="G16" s="406"/>
      <c r="H16" s="406"/>
      <c r="I16" s="406"/>
      <c r="J16" s="406"/>
      <c r="K16" s="406"/>
      <c r="L16" s="406"/>
      <c r="M16" s="406"/>
      <c r="N16" s="406"/>
      <c r="O16" s="406"/>
      <c r="P16" s="406"/>
      <c r="Q16" s="406"/>
      <c r="R16" s="406"/>
      <c r="S16" s="406"/>
      <c r="T16" s="406"/>
      <c r="U16" s="406"/>
      <c r="V16" s="406"/>
      <c r="W16" s="406"/>
    </row>
    <row r="17" spans="1:23" s="306" customFormat="1">
      <c r="A17" s="407" t="s">
        <v>171</v>
      </c>
      <c r="B17" s="407"/>
      <c r="C17" s="407"/>
      <c r="D17" s="407"/>
      <c r="E17" s="407"/>
      <c r="F17" s="407"/>
      <c r="G17" s="407"/>
      <c r="H17" s="407"/>
      <c r="I17" s="407"/>
      <c r="J17" s="407"/>
      <c r="K17" s="407"/>
      <c r="L17" s="407"/>
      <c r="M17" s="407"/>
      <c r="N17" s="407"/>
      <c r="O17" s="407"/>
      <c r="P17" s="407"/>
      <c r="Q17" s="407"/>
      <c r="R17" s="407"/>
      <c r="S17" s="407"/>
      <c r="T17" s="407"/>
      <c r="U17" s="407"/>
    </row>
    <row r="18" spans="1:23" s="291" customFormat="1" ht="13.5" thickBot="1">
      <c r="A18" s="307" t="s">
        <v>125</v>
      </c>
      <c r="B18" s="308" t="s">
        <v>130</v>
      </c>
      <c r="C18" s="308" t="s">
        <v>131</v>
      </c>
      <c r="D18" s="308" t="s">
        <v>132</v>
      </c>
      <c r="E18" s="308" t="s">
        <v>133</v>
      </c>
      <c r="F18" s="308" t="s">
        <v>134</v>
      </c>
      <c r="G18" s="308" t="s">
        <v>135</v>
      </c>
      <c r="H18" s="308" t="s">
        <v>136</v>
      </c>
      <c r="I18" s="308" t="s">
        <v>137</v>
      </c>
      <c r="J18" s="308" t="s">
        <v>138</v>
      </c>
      <c r="K18" s="308" t="s">
        <v>139</v>
      </c>
      <c r="L18" s="308" t="s">
        <v>140</v>
      </c>
      <c r="M18" s="308" t="s">
        <v>141</v>
      </c>
      <c r="N18" s="308" t="s">
        <v>142</v>
      </c>
      <c r="O18" s="308" t="s">
        <v>143</v>
      </c>
      <c r="P18" s="308" t="s">
        <v>144</v>
      </c>
      <c r="Q18" s="308" t="s">
        <v>145</v>
      </c>
      <c r="R18" s="308" t="s">
        <v>146</v>
      </c>
      <c r="S18" s="308" t="s">
        <v>147</v>
      </c>
      <c r="T18" s="308" t="s">
        <v>148</v>
      </c>
      <c r="U18" s="308" t="s">
        <v>149</v>
      </c>
      <c r="V18" s="309" t="s">
        <v>172</v>
      </c>
      <c r="W18" s="310" t="s">
        <v>173</v>
      </c>
    </row>
    <row r="19" spans="1:23" s="291" customFormat="1">
      <c r="A19" s="311" t="s">
        <v>11</v>
      </c>
      <c r="V19" s="312"/>
      <c r="W19" s="313"/>
    </row>
    <row r="20" spans="1:23" s="291" customFormat="1">
      <c r="A20" s="312" t="s">
        <v>174</v>
      </c>
      <c r="B20" s="314">
        <f t="shared" ref="B20:U20" si="14">B5</f>
        <v>0</v>
      </c>
      <c r="C20" s="314">
        <f t="shared" si="14"/>
        <v>3696.2059235161496</v>
      </c>
      <c r="D20" s="314">
        <f t="shared" si="14"/>
        <v>11051.068572232885</v>
      </c>
      <c r="E20" s="314">
        <f t="shared" si="14"/>
        <v>13172.648665922647</v>
      </c>
      <c r="F20" s="314">
        <f t="shared" si="14"/>
        <v>9644.2786658695222</v>
      </c>
      <c r="G20" s="314">
        <f t="shared" si="14"/>
        <v>10925.192465768871</v>
      </c>
      <c r="H20" s="314">
        <f t="shared" si="14"/>
        <v>10925.192465768871</v>
      </c>
      <c r="I20" s="314">
        <f t="shared" si="14"/>
        <v>10925.192465768871</v>
      </c>
      <c r="J20" s="314">
        <f t="shared" si="14"/>
        <v>10925.192465768871</v>
      </c>
      <c r="K20" s="314">
        <f t="shared" si="14"/>
        <v>10925.192465768871</v>
      </c>
      <c r="L20" s="314">
        <f t="shared" si="14"/>
        <v>10925.192465768871</v>
      </c>
      <c r="M20" s="314">
        <f t="shared" si="14"/>
        <v>10925.192465768871</v>
      </c>
      <c r="N20" s="314">
        <f t="shared" si="14"/>
        <v>10925.192465768871</v>
      </c>
      <c r="O20" s="314">
        <f t="shared" si="14"/>
        <v>10925.192465768871</v>
      </c>
      <c r="P20" s="314">
        <f t="shared" si="14"/>
        <v>10925.192465768871</v>
      </c>
      <c r="Q20" s="314">
        <f t="shared" si="14"/>
        <v>10925.192465768871</v>
      </c>
      <c r="R20" s="314">
        <f t="shared" si="14"/>
        <v>10925.192465768871</v>
      </c>
      <c r="S20" s="314">
        <f t="shared" si="14"/>
        <v>10925.192465768871</v>
      </c>
      <c r="T20" s="314">
        <f t="shared" si="14"/>
        <v>10925.192465768871</v>
      </c>
      <c r="U20" s="314">
        <f t="shared" si="14"/>
        <v>10925.192465768871</v>
      </c>
      <c r="V20" s="312"/>
      <c r="W20" s="313"/>
    </row>
    <row r="21" spans="1:23" s="291" customFormat="1">
      <c r="A21" s="312" t="s">
        <v>175</v>
      </c>
      <c r="B21" s="291">
        <f t="shared" ref="B21:U21" si="15">B20*1.1</f>
        <v>0</v>
      </c>
      <c r="C21" s="291">
        <f t="shared" si="15"/>
        <v>4065.826515867765</v>
      </c>
      <c r="D21" s="291">
        <f t="shared" si="15"/>
        <v>12156.175429456174</v>
      </c>
      <c r="E21" s="291">
        <f t="shared" si="15"/>
        <v>14489.913532514913</v>
      </c>
      <c r="F21" s="291">
        <f t="shared" si="15"/>
        <v>10608.706532456476</v>
      </c>
      <c r="G21" s="291">
        <f t="shared" si="15"/>
        <v>12017.711712345759</v>
      </c>
      <c r="H21" s="291">
        <f t="shared" si="15"/>
        <v>12017.711712345759</v>
      </c>
      <c r="I21" s="291">
        <f t="shared" si="15"/>
        <v>12017.711712345759</v>
      </c>
      <c r="J21" s="291">
        <f t="shared" si="15"/>
        <v>12017.711712345759</v>
      </c>
      <c r="K21" s="291">
        <f t="shared" si="15"/>
        <v>12017.711712345759</v>
      </c>
      <c r="L21" s="291">
        <f t="shared" si="15"/>
        <v>12017.711712345759</v>
      </c>
      <c r="M21" s="291">
        <f t="shared" si="15"/>
        <v>12017.711712345759</v>
      </c>
      <c r="N21" s="291">
        <f t="shared" si="15"/>
        <v>12017.711712345759</v>
      </c>
      <c r="O21" s="291">
        <f t="shared" si="15"/>
        <v>12017.711712345759</v>
      </c>
      <c r="P21" s="291">
        <f t="shared" si="15"/>
        <v>12017.711712345759</v>
      </c>
      <c r="Q21" s="291">
        <f t="shared" si="15"/>
        <v>12017.711712345759</v>
      </c>
      <c r="R21" s="291">
        <f t="shared" si="15"/>
        <v>12017.711712345759</v>
      </c>
      <c r="S21" s="291">
        <f t="shared" si="15"/>
        <v>12017.711712345759</v>
      </c>
      <c r="T21" s="291">
        <f t="shared" si="15"/>
        <v>12017.711712345759</v>
      </c>
      <c r="U21" s="291">
        <f t="shared" si="15"/>
        <v>12017.711712345759</v>
      </c>
      <c r="V21" s="312"/>
      <c r="W21" s="313"/>
    </row>
    <row r="22" spans="1:23" s="291" customFormat="1">
      <c r="A22" s="312" t="s">
        <v>176</v>
      </c>
      <c r="B22" s="291">
        <f t="shared" ref="B22:U22" si="16">B20*1.2</f>
        <v>0</v>
      </c>
      <c r="C22" s="291">
        <f t="shared" si="16"/>
        <v>4435.4471082193795</v>
      </c>
      <c r="D22" s="291">
        <f t="shared" si="16"/>
        <v>13261.282286679461</v>
      </c>
      <c r="E22" s="291">
        <f t="shared" si="16"/>
        <v>15807.178399107175</v>
      </c>
      <c r="F22" s="291">
        <f t="shared" si="16"/>
        <v>11573.134399043427</v>
      </c>
      <c r="G22" s="291">
        <f t="shared" si="16"/>
        <v>13110.230958922644</v>
      </c>
      <c r="H22" s="291">
        <f t="shared" si="16"/>
        <v>13110.230958922644</v>
      </c>
      <c r="I22" s="291">
        <f t="shared" si="16"/>
        <v>13110.230958922644</v>
      </c>
      <c r="J22" s="291">
        <f t="shared" si="16"/>
        <v>13110.230958922644</v>
      </c>
      <c r="K22" s="291">
        <f t="shared" si="16"/>
        <v>13110.230958922644</v>
      </c>
      <c r="L22" s="291">
        <f t="shared" si="16"/>
        <v>13110.230958922644</v>
      </c>
      <c r="M22" s="291">
        <f t="shared" si="16"/>
        <v>13110.230958922644</v>
      </c>
      <c r="N22" s="291">
        <f t="shared" si="16"/>
        <v>13110.230958922644</v>
      </c>
      <c r="O22" s="291">
        <f t="shared" si="16"/>
        <v>13110.230958922644</v>
      </c>
      <c r="P22" s="291">
        <f t="shared" si="16"/>
        <v>13110.230958922644</v>
      </c>
      <c r="Q22" s="291">
        <f t="shared" si="16"/>
        <v>13110.230958922644</v>
      </c>
      <c r="R22" s="291">
        <f t="shared" si="16"/>
        <v>13110.230958922644</v>
      </c>
      <c r="S22" s="291">
        <f t="shared" si="16"/>
        <v>13110.230958922644</v>
      </c>
      <c r="T22" s="291">
        <f t="shared" si="16"/>
        <v>13110.230958922644</v>
      </c>
      <c r="U22" s="291">
        <f t="shared" si="16"/>
        <v>13110.230958922644</v>
      </c>
      <c r="V22" s="312"/>
      <c r="W22" s="313"/>
    </row>
    <row r="23" spans="1:23" s="291" customFormat="1">
      <c r="A23" s="312" t="s">
        <v>177</v>
      </c>
      <c r="B23" s="291">
        <f t="shared" ref="B23:U23" si="17">B20*0.9</f>
        <v>0</v>
      </c>
      <c r="C23" s="291">
        <f t="shared" si="17"/>
        <v>3326.5853311645346</v>
      </c>
      <c r="D23" s="291">
        <f t="shared" si="17"/>
        <v>9945.9617150095964</v>
      </c>
      <c r="E23" s="291">
        <f t="shared" si="17"/>
        <v>11855.383799330382</v>
      </c>
      <c r="F23" s="291">
        <f t="shared" si="17"/>
        <v>8679.8507992825707</v>
      </c>
      <c r="G23" s="291">
        <f t="shared" si="17"/>
        <v>9832.6732191919837</v>
      </c>
      <c r="H23" s="291">
        <f t="shared" si="17"/>
        <v>9832.6732191919837</v>
      </c>
      <c r="I23" s="291">
        <f t="shared" si="17"/>
        <v>9832.6732191919837</v>
      </c>
      <c r="J23" s="291">
        <f t="shared" si="17"/>
        <v>9832.6732191919837</v>
      </c>
      <c r="K23" s="291">
        <f t="shared" si="17"/>
        <v>9832.6732191919837</v>
      </c>
      <c r="L23" s="291">
        <f t="shared" si="17"/>
        <v>9832.6732191919837</v>
      </c>
      <c r="M23" s="291">
        <f t="shared" si="17"/>
        <v>9832.6732191919837</v>
      </c>
      <c r="N23" s="291">
        <f t="shared" si="17"/>
        <v>9832.6732191919837</v>
      </c>
      <c r="O23" s="291">
        <f t="shared" si="17"/>
        <v>9832.6732191919837</v>
      </c>
      <c r="P23" s="291">
        <f t="shared" si="17"/>
        <v>9832.6732191919837</v>
      </c>
      <c r="Q23" s="291">
        <f t="shared" si="17"/>
        <v>9832.6732191919837</v>
      </c>
      <c r="R23" s="291">
        <f t="shared" si="17"/>
        <v>9832.6732191919837</v>
      </c>
      <c r="S23" s="291">
        <f t="shared" si="17"/>
        <v>9832.6732191919837</v>
      </c>
      <c r="T23" s="291">
        <f t="shared" si="17"/>
        <v>9832.6732191919837</v>
      </c>
      <c r="U23" s="291">
        <f t="shared" si="17"/>
        <v>9832.6732191919837</v>
      </c>
      <c r="V23" s="312"/>
      <c r="W23" s="313"/>
    </row>
    <row r="24" spans="1:23" s="291" customFormat="1">
      <c r="A24" s="312" t="s">
        <v>178</v>
      </c>
      <c r="B24" s="291">
        <f t="shared" ref="B24:U24" si="18">B20*0.8</f>
        <v>0</v>
      </c>
      <c r="C24" s="291">
        <f t="shared" si="18"/>
        <v>2956.9647388129197</v>
      </c>
      <c r="D24" s="291">
        <f t="shared" si="18"/>
        <v>8840.8548577863094</v>
      </c>
      <c r="E24" s="291">
        <f t="shared" si="18"/>
        <v>10538.118932738118</v>
      </c>
      <c r="F24" s="291">
        <f t="shared" si="18"/>
        <v>7715.4229326956183</v>
      </c>
      <c r="G24" s="291">
        <f t="shared" si="18"/>
        <v>8740.1539726150968</v>
      </c>
      <c r="H24" s="291">
        <f t="shared" si="18"/>
        <v>8740.1539726150968</v>
      </c>
      <c r="I24" s="291">
        <f t="shared" si="18"/>
        <v>8740.1539726150968</v>
      </c>
      <c r="J24" s="291">
        <f t="shared" si="18"/>
        <v>8740.1539726150968</v>
      </c>
      <c r="K24" s="291">
        <f t="shared" si="18"/>
        <v>8740.1539726150968</v>
      </c>
      <c r="L24" s="291">
        <f t="shared" si="18"/>
        <v>8740.1539726150968</v>
      </c>
      <c r="M24" s="291">
        <f t="shared" si="18"/>
        <v>8740.1539726150968</v>
      </c>
      <c r="N24" s="291">
        <f t="shared" si="18"/>
        <v>8740.1539726150968</v>
      </c>
      <c r="O24" s="291">
        <f t="shared" si="18"/>
        <v>8740.1539726150968</v>
      </c>
      <c r="P24" s="291">
        <f t="shared" si="18"/>
        <v>8740.1539726150968</v>
      </c>
      <c r="Q24" s="291">
        <f t="shared" si="18"/>
        <v>8740.1539726150968</v>
      </c>
      <c r="R24" s="291">
        <f t="shared" si="18"/>
        <v>8740.1539726150968</v>
      </c>
      <c r="S24" s="291">
        <f t="shared" si="18"/>
        <v>8740.1539726150968</v>
      </c>
      <c r="T24" s="291">
        <f t="shared" si="18"/>
        <v>8740.1539726150968</v>
      </c>
      <c r="U24" s="291">
        <f t="shared" si="18"/>
        <v>8740.1539726150968</v>
      </c>
      <c r="V24" s="312"/>
      <c r="W24" s="313"/>
    </row>
    <row r="25" spans="1:23" s="291" customFormat="1">
      <c r="A25" s="312" t="s">
        <v>179</v>
      </c>
      <c r="B25" s="291">
        <f t="shared" ref="B25:U25" si="19">B20*0.5</f>
        <v>0</v>
      </c>
      <c r="C25" s="291">
        <f t="shared" si="19"/>
        <v>1848.1029617580748</v>
      </c>
      <c r="D25" s="291">
        <f t="shared" si="19"/>
        <v>5525.5342861164427</v>
      </c>
      <c r="E25" s="291">
        <f t="shared" si="19"/>
        <v>6586.3243329613233</v>
      </c>
      <c r="F25" s="291">
        <f t="shared" si="19"/>
        <v>4822.1393329347611</v>
      </c>
      <c r="G25" s="291">
        <f t="shared" si="19"/>
        <v>5462.5962328844353</v>
      </c>
      <c r="H25" s="291">
        <f t="shared" si="19"/>
        <v>5462.5962328844353</v>
      </c>
      <c r="I25" s="291">
        <f t="shared" si="19"/>
        <v>5462.5962328844353</v>
      </c>
      <c r="J25" s="291">
        <f t="shared" si="19"/>
        <v>5462.5962328844353</v>
      </c>
      <c r="K25" s="291">
        <f t="shared" si="19"/>
        <v>5462.5962328844353</v>
      </c>
      <c r="L25" s="291">
        <f t="shared" si="19"/>
        <v>5462.5962328844353</v>
      </c>
      <c r="M25" s="291">
        <f t="shared" si="19"/>
        <v>5462.5962328844353</v>
      </c>
      <c r="N25" s="291">
        <f t="shared" si="19"/>
        <v>5462.5962328844353</v>
      </c>
      <c r="O25" s="291">
        <f t="shared" si="19"/>
        <v>5462.5962328844353</v>
      </c>
      <c r="P25" s="291">
        <f t="shared" si="19"/>
        <v>5462.5962328844353</v>
      </c>
      <c r="Q25" s="291">
        <f t="shared" si="19"/>
        <v>5462.5962328844353</v>
      </c>
      <c r="R25" s="291">
        <f t="shared" si="19"/>
        <v>5462.5962328844353</v>
      </c>
      <c r="S25" s="291">
        <f t="shared" si="19"/>
        <v>5462.5962328844353</v>
      </c>
      <c r="T25" s="291">
        <f t="shared" si="19"/>
        <v>5462.5962328844353</v>
      </c>
      <c r="U25" s="291">
        <f t="shared" si="19"/>
        <v>5462.5962328844353</v>
      </c>
      <c r="V25" s="312"/>
      <c r="W25" s="313"/>
    </row>
    <row r="26" spans="1:23" s="291" customFormat="1">
      <c r="A26" s="315"/>
      <c r="V26" s="312"/>
      <c r="W26" s="313"/>
    </row>
    <row r="27" spans="1:23" s="291" customFormat="1">
      <c r="A27" s="311" t="s">
        <v>9</v>
      </c>
      <c r="V27" s="312"/>
      <c r="W27" s="313"/>
    </row>
    <row r="28" spans="1:23" s="291" customFormat="1">
      <c r="A28" s="312" t="s">
        <v>174</v>
      </c>
      <c r="B28" s="291">
        <f t="shared" ref="B28:U28" si="20">B6</f>
        <v>5857.2875000000004</v>
      </c>
      <c r="C28" s="291">
        <f t="shared" si="20"/>
        <v>10945.2245</v>
      </c>
      <c r="D28" s="291">
        <f t="shared" si="20"/>
        <v>9488.3525000000009</v>
      </c>
      <c r="E28" s="291">
        <f t="shared" si="20"/>
        <v>5878.0974999999999</v>
      </c>
      <c r="F28" s="291">
        <f t="shared" si="20"/>
        <v>5410.277</v>
      </c>
      <c r="G28" s="291">
        <f t="shared" si="20"/>
        <v>5270.9920000000002</v>
      </c>
      <c r="H28" s="291">
        <f t="shared" si="20"/>
        <v>263.5496</v>
      </c>
      <c r="I28" s="291">
        <f t="shared" si="20"/>
        <v>263.5496</v>
      </c>
      <c r="J28" s="291">
        <f t="shared" si="20"/>
        <v>263.5496</v>
      </c>
      <c r="K28" s="291">
        <f t="shared" si="20"/>
        <v>263.5496</v>
      </c>
      <c r="L28" s="291">
        <f t="shared" si="20"/>
        <v>263.5496</v>
      </c>
      <c r="M28" s="291">
        <f t="shared" si="20"/>
        <v>263.5496</v>
      </c>
      <c r="N28" s="291">
        <f t="shared" si="20"/>
        <v>263.5496</v>
      </c>
      <c r="O28" s="291">
        <f t="shared" si="20"/>
        <v>263.5496</v>
      </c>
      <c r="P28" s="291">
        <f t="shared" si="20"/>
        <v>263.5496</v>
      </c>
      <c r="Q28" s="291">
        <f t="shared" si="20"/>
        <v>263.5496</v>
      </c>
      <c r="R28" s="291">
        <f t="shared" si="20"/>
        <v>263.5496</v>
      </c>
      <c r="S28" s="291">
        <f t="shared" si="20"/>
        <v>263.5496</v>
      </c>
      <c r="T28" s="291">
        <f t="shared" si="20"/>
        <v>263.5496</v>
      </c>
      <c r="U28" s="291">
        <f t="shared" si="20"/>
        <v>263.5496</v>
      </c>
      <c r="V28" s="312"/>
      <c r="W28" s="313"/>
    </row>
    <row r="29" spans="1:23" s="291" customFormat="1">
      <c r="A29" s="312" t="s">
        <v>180</v>
      </c>
      <c r="B29" s="291">
        <f t="shared" ref="B29:U29" si="21">B28*1.1</f>
        <v>6443.0162500000006</v>
      </c>
      <c r="C29" s="291">
        <f t="shared" si="21"/>
        <v>12039.746950000001</v>
      </c>
      <c r="D29" s="291">
        <f t="shared" si="21"/>
        <v>10437.187750000001</v>
      </c>
      <c r="E29" s="291">
        <f t="shared" si="21"/>
        <v>6465.9072500000002</v>
      </c>
      <c r="F29" s="291">
        <f t="shared" si="21"/>
        <v>5951.3047000000006</v>
      </c>
      <c r="G29" s="291">
        <f t="shared" si="21"/>
        <v>5798.0912000000008</v>
      </c>
      <c r="H29" s="291">
        <f t="shared" si="21"/>
        <v>289.90456</v>
      </c>
      <c r="I29" s="291">
        <f t="shared" si="21"/>
        <v>289.90456</v>
      </c>
      <c r="J29" s="291">
        <f t="shared" si="21"/>
        <v>289.90456</v>
      </c>
      <c r="K29" s="291">
        <f t="shared" si="21"/>
        <v>289.90456</v>
      </c>
      <c r="L29" s="291">
        <f t="shared" si="21"/>
        <v>289.90456</v>
      </c>
      <c r="M29" s="291">
        <f t="shared" si="21"/>
        <v>289.90456</v>
      </c>
      <c r="N29" s="291">
        <f t="shared" si="21"/>
        <v>289.90456</v>
      </c>
      <c r="O29" s="291">
        <f t="shared" si="21"/>
        <v>289.90456</v>
      </c>
      <c r="P29" s="291">
        <f t="shared" si="21"/>
        <v>289.90456</v>
      </c>
      <c r="Q29" s="291">
        <f t="shared" si="21"/>
        <v>289.90456</v>
      </c>
      <c r="R29" s="291">
        <f t="shared" si="21"/>
        <v>289.90456</v>
      </c>
      <c r="S29" s="291">
        <f t="shared" si="21"/>
        <v>289.90456</v>
      </c>
      <c r="T29" s="291">
        <f t="shared" si="21"/>
        <v>289.90456</v>
      </c>
      <c r="U29" s="291">
        <f t="shared" si="21"/>
        <v>289.90456</v>
      </c>
      <c r="V29" s="312"/>
      <c r="W29" s="313"/>
    </row>
    <row r="30" spans="1:23" s="291" customFormat="1">
      <c r="A30" s="312" t="s">
        <v>181</v>
      </c>
      <c r="B30" s="291">
        <f t="shared" ref="B30:U30" si="22">B28*1.2</f>
        <v>7028.7449999999999</v>
      </c>
      <c r="C30" s="291">
        <f t="shared" si="22"/>
        <v>13134.269399999999</v>
      </c>
      <c r="D30" s="291">
        <f t="shared" si="22"/>
        <v>11386.023000000001</v>
      </c>
      <c r="E30" s="291">
        <f t="shared" si="22"/>
        <v>7053.7169999999996</v>
      </c>
      <c r="F30" s="291">
        <f t="shared" si="22"/>
        <v>6492.3324000000002</v>
      </c>
      <c r="G30" s="291">
        <f t="shared" si="22"/>
        <v>6325.1904000000004</v>
      </c>
      <c r="H30" s="291">
        <f t="shared" si="22"/>
        <v>316.25952000000001</v>
      </c>
      <c r="I30" s="291">
        <f t="shared" si="22"/>
        <v>316.25952000000001</v>
      </c>
      <c r="J30" s="291">
        <f t="shared" si="22"/>
        <v>316.25952000000001</v>
      </c>
      <c r="K30" s="291">
        <f t="shared" si="22"/>
        <v>316.25952000000001</v>
      </c>
      <c r="L30" s="291">
        <f t="shared" si="22"/>
        <v>316.25952000000001</v>
      </c>
      <c r="M30" s="291">
        <f t="shared" si="22"/>
        <v>316.25952000000001</v>
      </c>
      <c r="N30" s="291">
        <f t="shared" si="22"/>
        <v>316.25952000000001</v>
      </c>
      <c r="O30" s="291">
        <f t="shared" si="22"/>
        <v>316.25952000000001</v>
      </c>
      <c r="P30" s="291">
        <f t="shared" si="22"/>
        <v>316.25952000000001</v>
      </c>
      <c r="Q30" s="291">
        <f t="shared" si="22"/>
        <v>316.25952000000001</v>
      </c>
      <c r="R30" s="291">
        <f t="shared" si="22"/>
        <v>316.25952000000001</v>
      </c>
      <c r="S30" s="291">
        <f t="shared" si="22"/>
        <v>316.25952000000001</v>
      </c>
      <c r="T30" s="291">
        <f t="shared" si="22"/>
        <v>316.25952000000001</v>
      </c>
      <c r="U30" s="291">
        <f t="shared" si="22"/>
        <v>316.25952000000001</v>
      </c>
      <c r="V30" s="312"/>
      <c r="W30" s="313"/>
    </row>
    <row r="31" spans="1:23" s="291" customFormat="1">
      <c r="A31" s="312" t="s">
        <v>182</v>
      </c>
      <c r="B31" s="291">
        <f t="shared" ref="B31:U31" si="23">B28*1.5</f>
        <v>8785.9312500000015</v>
      </c>
      <c r="C31" s="291">
        <f t="shared" si="23"/>
        <v>16417.836750000002</v>
      </c>
      <c r="D31" s="291">
        <f t="shared" si="23"/>
        <v>14232.528750000001</v>
      </c>
      <c r="E31" s="291">
        <f t="shared" si="23"/>
        <v>8817.1462499999998</v>
      </c>
      <c r="F31" s="291">
        <f t="shared" si="23"/>
        <v>8115.4155000000001</v>
      </c>
      <c r="G31" s="291">
        <f t="shared" si="23"/>
        <v>7906.4880000000003</v>
      </c>
      <c r="H31" s="291">
        <f t="shared" si="23"/>
        <v>395.32439999999997</v>
      </c>
      <c r="I31" s="291">
        <f t="shared" si="23"/>
        <v>395.32439999999997</v>
      </c>
      <c r="J31" s="291">
        <f t="shared" si="23"/>
        <v>395.32439999999997</v>
      </c>
      <c r="K31" s="291">
        <f t="shared" si="23"/>
        <v>395.32439999999997</v>
      </c>
      <c r="L31" s="291">
        <f t="shared" si="23"/>
        <v>395.32439999999997</v>
      </c>
      <c r="M31" s="291">
        <f t="shared" si="23"/>
        <v>395.32439999999997</v>
      </c>
      <c r="N31" s="291">
        <f t="shared" si="23"/>
        <v>395.32439999999997</v>
      </c>
      <c r="O31" s="291">
        <f t="shared" si="23"/>
        <v>395.32439999999997</v>
      </c>
      <c r="P31" s="291">
        <f t="shared" si="23"/>
        <v>395.32439999999997</v>
      </c>
      <c r="Q31" s="291">
        <f t="shared" si="23"/>
        <v>395.32439999999997</v>
      </c>
      <c r="R31" s="291">
        <f t="shared" si="23"/>
        <v>395.32439999999997</v>
      </c>
      <c r="S31" s="291">
        <f t="shared" si="23"/>
        <v>395.32439999999997</v>
      </c>
      <c r="T31" s="291">
        <f t="shared" si="23"/>
        <v>395.32439999999997</v>
      </c>
      <c r="U31" s="291">
        <f t="shared" si="23"/>
        <v>395.32439999999997</v>
      </c>
      <c r="V31" s="312"/>
      <c r="W31" s="313"/>
    </row>
    <row r="32" spans="1:23" s="291" customFormat="1">
      <c r="A32" s="312"/>
      <c r="V32" s="312"/>
      <c r="W32" s="313"/>
    </row>
    <row r="33" spans="1:24" s="291" customFormat="1">
      <c r="A33" s="311" t="s">
        <v>183</v>
      </c>
      <c r="V33" s="312"/>
      <c r="W33" s="313"/>
      <c r="X33" s="316"/>
    </row>
    <row r="34" spans="1:24" s="291" customFormat="1">
      <c r="A34" s="312" t="s">
        <v>174</v>
      </c>
      <c r="B34" s="291">
        <f>B20-B28</f>
        <v>-5857.2875000000004</v>
      </c>
      <c r="C34" s="291">
        <f>C20-C28</f>
        <v>-7249.0185764838507</v>
      </c>
      <c r="D34" s="291">
        <f t="shared" ref="D34:U34" si="24">D20-D28</f>
        <v>1562.7160722328845</v>
      </c>
      <c r="E34" s="291">
        <f t="shared" si="24"/>
        <v>7294.5511659226468</v>
      </c>
      <c r="F34" s="291">
        <f t="shared" si="24"/>
        <v>4234.0016658695222</v>
      </c>
      <c r="G34" s="291">
        <f t="shared" si="24"/>
        <v>5654.2004657688703</v>
      </c>
      <c r="H34" s="291">
        <f t="shared" si="24"/>
        <v>10661.64286576887</v>
      </c>
      <c r="I34" s="291">
        <f t="shared" si="24"/>
        <v>10661.64286576887</v>
      </c>
      <c r="J34" s="291">
        <f t="shared" si="24"/>
        <v>10661.64286576887</v>
      </c>
      <c r="K34" s="291">
        <f t="shared" si="24"/>
        <v>10661.64286576887</v>
      </c>
      <c r="L34" s="291">
        <f t="shared" si="24"/>
        <v>10661.64286576887</v>
      </c>
      <c r="M34" s="291">
        <f t="shared" si="24"/>
        <v>10661.64286576887</v>
      </c>
      <c r="N34" s="291">
        <f t="shared" si="24"/>
        <v>10661.64286576887</v>
      </c>
      <c r="O34" s="291">
        <f t="shared" si="24"/>
        <v>10661.64286576887</v>
      </c>
      <c r="P34" s="291">
        <f t="shared" si="24"/>
        <v>10661.64286576887</v>
      </c>
      <c r="Q34" s="291">
        <f t="shared" si="24"/>
        <v>10661.64286576887</v>
      </c>
      <c r="R34" s="291">
        <f t="shared" si="24"/>
        <v>10661.64286576887</v>
      </c>
      <c r="S34" s="291">
        <f t="shared" si="24"/>
        <v>10661.64286576887</v>
      </c>
      <c r="T34" s="291">
        <f t="shared" si="24"/>
        <v>10661.64286576887</v>
      </c>
      <c r="U34" s="291">
        <f t="shared" si="24"/>
        <v>10661.64286576887</v>
      </c>
      <c r="V34" s="317">
        <f>IRR(B34:U34)</f>
        <v>0.38746595305192089</v>
      </c>
      <c r="W34" s="318">
        <f>NPV(CF!F5,B34:U34)</f>
        <v>73136.629513622014</v>
      </c>
    </row>
    <row r="35" spans="1:24" s="291" customFormat="1">
      <c r="A35" s="312" t="s">
        <v>180</v>
      </c>
      <c r="B35" s="291">
        <f>B20-B29</f>
        <v>-6443.0162500000006</v>
      </c>
      <c r="C35" s="291">
        <f>C20-C29</f>
        <v>-8343.5410264838501</v>
      </c>
      <c r="D35" s="291">
        <f t="shared" ref="D35:U35" si="25">D20-D29</f>
        <v>613.88082223288438</v>
      </c>
      <c r="E35" s="291">
        <f t="shared" si="25"/>
        <v>6706.7414159226464</v>
      </c>
      <c r="F35" s="291">
        <f t="shared" si="25"/>
        <v>3692.9739658695216</v>
      </c>
      <c r="G35" s="291">
        <f t="shared" si="25"/>
        <v>5127.1012657688698</v>
      </c>
      <c r="H35" s="291">
        <f t="shared" si="25"/>
        <v>10635.28790576887</v>
      </c>
      <c r="I35" s="291">
        <f t="shared" si="25"/>
        <v>10635.28790576887</v>
      </c>
      <c r="J35" s="291">
        <f t="shared" si="25"/>
        <v>10635.28790576887</v>
      </c>
      <c r="K35" s="291">
        <f t="shared" si="25"/>
        <v>10635.28790576887</v>
      </c>
      <c r="L35" s="291">
        <f t="shared" si="25"/>
        <v>10635.28790576887</v>
      </c>
      <c r="M35" s="291">
        <f t="shared" si="25"/>
        <v>10635.28790576887</v>
      </c>
      <c r="N35" s="291">
        <f t="shared" si="25"/>
        <v>10635.28790576887</v>
      </c>
      <c r="O35" s="291">
        <f t="shared" si="25"/>
        <v>10635.28790576887</v>
      </c>
      <c r="P35" s="291">
        <f t="shared" si="25"/>
        <v>10635.28790576887</v>
      </c>
      <c r="Q35" s="291">
        <f t="shared" si="25"/>
        <v>10635.28790576887</v>
      </c>
      <c r="R35" s="291">
        <f t="shared" si="25"/>
        <v>10635.28790576887</v>
      </c>
      <c r="S35" s="291">
        <f t="shared" si="25"/>
        <v>10635.28790576887</v>
      </c>
      <c r="T35" s="291">
        <f t="shared" si="25"/>
        <v>10635.28790576887</v>
      </c>
      <c r="U35" s="291">
        <f t="shared" si="25"/>
        <v>10635.28790576887</v>
      </c>
      <c r="V35" s="319">
        <f>IRR(B35:U35)</f>
        <v>0.33843738370628684</v>
      </c>
      <c r="W35" s="320">
        <f t="shared" ref="W35:W44" si="26">NPV(0.1,B35:U35)</f>
        <v>41701.147527285721</v>
      </c>
    </row>
    <row r="36" spans="1:24" s="291" customFormat="1">
      <c r="A36" s="312" t="s">
        <v>181</v>
      </c>
      <c r="B36" s="291">
        <f>B20-B30</f>
        <v>-7028.7449999999999</v>
      </c>
      <c r="C36" s="291">
        <f>C20-C30</f>
        <v>-9438.0634764838505</v>
      </c>
      <c r="D36" s="291">
        <f t="shared" ref="D36:U36" si="27">D20-D30</f>
        <v>-334.9544277671157</v>
      </c>
      <c r="E36" s="291">
        <f t="shared" si="27"/>
        <v>6118.931665922647</v>
      </c>
      <c r="F36" s="291">
        <f t="shared" si="27"/>
        <v>3151.946265869522</v>
      </c>
      <c r="G36" s="291">
        <f t="shared" si="27"/>
        <v>4600.0020657688701</v>
      </c>
      <c r="H36" s="291">
        <f t="shared" si="27"/>
        <v>10608.932945768871</v>
      </c>
      <c r="I36" s="291">
        <f t="shared" si="27"/>
        <v>10608.932945768871</v>
      </c>
      <c r="J36" s="291">
        <f t="shared" si="27"/>
        <v>10608.932945768871</v>
      </c>
      <c r="K36" s="291">
        <f t="shared" si="27"/>
        <v>10608.932945768871</v>
      </c>
      <c r="L36" s="291">
        <f t="shared" si="27"/>
        <v>10608.932945768871</v>
      </c>
      <c r="M36" s="291">
        <f t="shared" si="27"/>
        <v>10608.932945768871</v>
      </c>
      <c r="N36" s="291">
        <f t="shared" si="27"/>
        <v>10608.932945768871</v>
      </c>
      <c r="O36" s="291">
        <f t="shared" si="27"/>
        <v>10608.932945768871</v>
      </c>
      <c r="P36" s="291">
        <f t="shared" si="27"/>
        <v>10608.932945768871</v>
      </c>
      <c r="Q36" s="291">
        <f t="shared" si="27"/>
        <v>10608.932945768871</v>
      </c>
      <c r="R36" s="291">
        <f t="shared" si="27"/>
        <v>10608.932945768871</v>
      </c>
      <c r="S36" s="291">
        <f t="shared" si="27"/>
        <v>10608.932945768871</v>
      </c>
      <c r="T36" s="291">
        <f t="shared" si="27"/>
        <v>10608.932945768871</v>
      </c>
      <c r="U36" s="291">
        <f t="shared" si="27"/>
        <v>10608.932945768871</v>
      </c>
      <c r="V36" s="319">
        <f t="shared" ref="V36:V44" si="28">IRR(B36:U36)</f>
        <v>0.2989466421926501</v>
      </c>
      <c r="W36" s="320">
        <f t="shared" si="26"/>
        <v>38406.685599800519</v>
      </c>
    </row>
    <row r="37" spans="1:24" s="291" customFormat="1">
      <c r="A37" s="312" t="s">
        <v>182</v>
      </c>
      <c r="B37" s="291">
        <f>B20-B31</f>
        <v>-8785.9312500000015</v>
      </c>
      <c r="C37" s="291">
        <f>C20-C31</f>
        <v>-12721.630826483852</v>
      </c>
      <c r="D37" s="291">
        <f t="shared" ref="D37:U37" si="29">D20-D31</f>
        <v>-3181.460177767116</v>
      </c>
      <c r="E37" s="291">
        <f t="shared" si="29"/>
        <v>4355.5024159226468</v>
      </c>
      <c r="F37" s="291">
        <f t="shared" si="29"/>
        <v>1528.8631658695222</v>
      </c>
      <c r="G37" s="291">
        <f t="shared" si="29"/>
        <v>3018.7044657688703</v>
      </c>
      <c r="H37" s="291">
        <f t="shared" si="29"/>
        <v>10529.868065768871</v>
      </c>
      <c r="I37" s="291">
        <f t="shared" si="29"/>
        <v>10529.868065768871</v>
      </c>
      <c r="J37" s="291">
        <f t="shared" si="29"/>
        <v>10529.868065768871</v>
      </c>
      <c r="K37" s="291">
        <f t="shared" si="29"/>
        <v>10529.868065768871</v>
      </c>
      <c r="L37" s="291">
        <f t="shared" si="29"/>
        <v>10529.868065768871</v>
      </c>
      <c r="M37" s="291">
        <f t="shared" si="29"/>
        <v>10529.868065768871</v>
      </c>
      <c r="N37" s="291">
        <f t="shared" si="29"/>
        <v>10529.868065768871</v>
      </c>
      <c r="O37" s="291">
        <f t="shared" si="29"/>
        <v>10529.868065768871</v>
      </c>
      <c r="P37" s="291">
        <f t="shared" si="29"/>
        <v>10529.868065768871</v>
      </c>
      <c r="Q37" s="291">
        <f t="shared" si="29"/>
        <v>10529.868065768871</v>
      </c>
      <c r="R37" s="291">
        <f t="shared" si="29"/>
        <v>10529.868065768871</v>
      </c>
      <c r="S37" s="291">
        <f t="shared" si="29"/>
        <v>10529.868065768871</v>
      </c>
      <c r="T37" s="291">
        <f t="shared" si="29"/>
        <v>10529.868065768871</v>
      </c>
      <c r="U37" s="291">
        <f t="shared" si="29"/>
        <v>10529.868065768871</v>
      </c>
      <c r="V37" s="319">
        <f t="shared" si="28"/>
        <v>0.2160517386943237</v>
      </c>
      <c r="W37" s="320">
        <f t="shared" si="26"/>
        <v>28523.299817344872</v>
      </c>
    </row>
    <row r="38" spans="1:24" s="291" customFormat="1">
      <c r="A38" s="312" t="s">
        <v>175</v>
      </c>
      <c r="B38" s="291">
        <f>B21-B28</f>
        <v>-5857.2875000000004</v>
      </c>
      <c r="C38" s="291">
        <f>C21-C28</f>
        <v>-6879.3979841322353</v>
      </c>
      <c r="D38" s="291">
        <f t="shared" ref="D38:U38" si="30">D21-D28</f>
        <v>2667.8229294561734</v>
      </c>
      <c r="E38" s="291">
        <f t="shared" si="30"/>
        <v>8611.8160325149129</v>
      </c>
      <c r="F38" s="291">
        <f t="shared" si="30"/>
        <v>5198.4295324564755</v>
      </c>
      <c r="G38" s="291">
        <f t="shared" si="30"/>
        <v>6746.719712345759</v>
      </c>
      <c r="H38" s="291">
        <f t="shared" si="30"/>
        <v>11754.162112345759</v>
      </c>
      <c r="I38" s="291">
        <f t="shared" si="30"/>
        <v>11754.162112345759</v>
      </c>
      <c r="J38" s="291">
        <f t="shared" si="30"/>
        <v>11754.162112345759</v>
      </c>
      <c r="K38" s="291">
        <f t="shared" si="30"/>
        <v>11754.162112345759</v>
      </c>
      <c r="L38" s="291">
        <f t="shared" si="30"/>
        <v>11754.162112345759</v>
      </c>
      <c r="M38" s="291">
        <f t="shared" si="30"/>
        <v>11754.162112345759</v>
      </c>
      <c r="N38" s="291">
        <f t="shared" si="30"/>
        <v>11754.162112345759</v>
      </c>
      <c r="O38" s="291">
        <f t="shared" si="30"/>
        <v>11754.162112345759</v>
      </c>
      <c r="P38" s="291">
        <f t="shared" si="30"/>
        <v>11754.162112345759</v>
      </c>
      <c r="Q38" s="291">
        <f t="shared" si="30"/>
        <v>11754.162112345759</v>
      </c>
      <c r="R38" s="291">
        <f t="shared" si="30"/>
        <v>11754.162112345759</v>
      </c>
      <c r="S38" s="291">
        <f t="shared" si="30"/>
        <v>11754.162112345759</v>
      </c>
      <c r="T38" s="291">
        <f t="shared" si="30"/>
        <v>11754.162112345759</v>
      </c>
      <c r="U38" s="291">
        <f t="shared" si="30"/>
        <v>11754.162112345759</v>
      </c>
      <c r="V38" s="319">
        <f t="shared" si="28"/>
        <v>0.44344867636409613</v>
      </c>
      <c r="W38" s="320">
        <f t="shared" si="26"/>
        <v>52789.632327733256</v>
      </c>
    </row>
    <row r="39" spans="1:24" s="291" customFormat="1">
      <c r="A39" s="312" t="s">
        <v>176</v>
      </c>
      <c r="B39" s="291">
        <f>B22-B28</f>
        <v>-5857.2875000000004</v>
      </c>
      <c r="C39" s="291">
        <f>C22-C28</f>
        <v>-6509.7773917806207</v>
      </c>
      <c r="D39" s="291">
        <f t="shared" ref="D39:U39" si="31">D22-D28</f>
        <v>3772.9297866794604</v>
      </c>
      <c r="E39" s="291">
        <f t="shared" si="31"/>
        <v>9929.0808991071754</v>
      </c>
      <c r="F39" s="291">
        <f t="shared" si="31"/>
        <v>6162.857399043427</v>
      </c>
      <c r="G39" s="291">
        <f t="shared" si="31"/>
        <v>7839.2389589226441</v>
      </c>
      <c r="H39" s="291">
        <f t="shared" si="31"/>
        <v>12846.681358922644</v>
      </c>
      <c r="I39" s="291">
        <f t="shared" si="31"/>
        <v>12846.681358922644</v>
      </c>
      <c r="J39" s="291">
        <f t="shared" si="31"/>
        <v>12846.681358922644</v>
      </c>
      <c r="K39" s="291">
        <f t="shared" si="31"/>
        <v>12846.681358922644</v>
      </c>
      <c r="L39" s="291">
        <f t="shared" si="31"/>
        <v>12846.681358922644</v>
      </c>
      <c r="M39" s="291">
        <f t="shared" si="31"/>
        <v>12846.681358922644</v>
      </c>
      <c r="N39" s="291">
        <f t="shared" si="31"/>
        <v>12846.681358922644</v>
      </c>
      <c r="O39" s="291">
        <f t="shared" si="31"/>
        <v>12846.681358922644</v>
      </c>
      <c r="P39" s="291">
        <f t="shared" si="31"/>
        <v>12846.681358922644</v>
      </c>
      <c r="Q39" s="291">
        <f t="shared" si="31"/>
        <v>12846.681358922644</v>
      </c>
      <c r="R39" s="291">
        <f t="shared" si="31"/>
        <v>12846.681358922644</v>
      </c>
      <c r="S39" s="291">
        <f t="shared" si="31"/>
        <v>12846.681358922644</v>
      </c>
      <c r="T39" s="291">
        <f t="shared" si="31"/>
        <v>12846.681358922644</v>
      </c>
      <c r="U39" s="291">
        <f t="shared" si="31"/>
        <v>12846.681358922644</v>
      </c>
      <c r="V39" s="319">
        <f t="shared" si="28"/>
        <v>0.5014573586689326</v>
      </c>
      <c r="W39" s="320">
        <f t="shared" si="26"/>
        <v>60583.655200695561</v>
      </c>
    </row>
    <row r="40" spans="1:24" s="291" customFormat="1">
      <c r="A40" s="312" t="s">
        <v>177</v>
      </c>
      <c r="B40" s="291">
        <f>B23-B28</f>
        <v>-5857.2875000000004</v>
      </c>
      <c r="C40" s="291">
        <f>C23-C28</f>
        <v>-7618.6391688354652</v>
      </c>
      <c r="D40" s="291">
        <f t="shared" ref="D40:U40" si="32">D23-D28</f>
        <v>457.60921500959557</v>
      </c>
      <c r="E40" s="291">
        <f t="shared" si="32"/>
        <v>5977.2862993303825</v>
      </c>
      <c r="F40" s="291">
        <f t="shared" si="32"/>
        <v>3269.5737992825707</v>
      </c>
      <c r="G40" s="291">
        <f t="shared" si="32"/>
        <v>4561.6812191919835</v>
      </c>
      <c r="H40" s="291">
        <f t="shared" si="32"/>
        <v>9569.1236191919834</v>
      </c>
      <c r="I40" s="291">
        <f t="shared" si="32"/>
        <v>9569.1236191919834</v>
      </c>
      <c r="J40" s="291">
        <f t="shared" si="32"/>
        <v>9569.1236191919834</v>
      </c>
      <c r="K40" s="291">
        <f t="shared" si="32"/>
        <v>9569.1236191919834</v>
      </c>
      <c r="L40" s="291">
        <f t="shared" si="32"/>
        <v>9569.1236191919834</v>
      </c>
      <c r="M40" s="291">
        <f t="shared" si="32"/>
        <v>9569.1236191919834</v>
      </c>
      <c r="N40" s="291">
        <f t="shared" si="32"/>
        <v>9569.1236191919834</v>
      </c>
      <c r="O40" s="291">
        <f t="shared" si="32"/>
        <v>9569.1236191919834</v>
      </c>
      <c r="P40" s="291">
        <f t="shared" si="32"/>
        <v>9569.1236191919834</v>
      </c>
      <c r="Q40" s="291">
        <f t="shared" si="32"/>
        <v>9569.1236191919834</v>
      </c>
      <c r="R40" s="291">
        <f t="shared" si="32"/>
        <v>9569.1236191919834</v>
      </c>
      <c r="S40" s="291">
        <f t="shared" si="32"/>
        <v>9569.1236191919834</v>
      </c>
      <c r="T40" s="291">
        <f t="shared" si="32"/>
        <v>9569.1236191919834</v>
      </c>
      <c r="U40" s="291">
        <f t="shared" si="32"/>
        <v>9569.1236191919834</v>
      </c>
      <c r="V40" s="319">
        <f t="shared" si="28"/>
        <v>0.33363348972591189</v>
      </c>
      <c r="W40" s="320">
        <f t="shared" si="26"/>
        <v>37201.586581808639</v>
      </c>
    </row>
    <row r="41" spans="1:24" s="291" customFormat="1">
      <c r="A41" s="312" t="s">
        <v>178</v>
      </c>
      <c r="B41" s="291">
        <f>B24-B28</f>
        <v>-5857.2875000000004</v>
      </c>
      <c r="C41" s="291">
        <f>C24-C28</f>
        <v>-7988.2597611870806</v>
      </c>
      <c r="D41" s="291">
        <f t="shared" ref="D41:U41" si="33">D24-D28</f>
        <v>-647.49764221369151</v>
      </c>
      <c r="E41" s="291">
        <f t="shared" si="33"/>
        <v>4660.0214327381182</v>
      </c>
      <c r="F41" s="291">
        <f t="shared" si="33"/>
        <v>2305.1459326956183</v>
      </c>
      <c r="G41" s="291">
        <f t="shared" si="33"/>
        <v>3469.1619726150966</v>
      </c>
      <c r="H41" s="291">
        <f t="shared" si="33"/>
        <v>8476.6043726150965</v>
      </c>
      <c r="I41" s="291">
        <f t="shared" si="33"/>
        <v>8476.6043726150965</v>
      </c>
      <c r="J41" s="291">
        <f t="shared" si="33"/>
        <v>8476.6043726150965</v>
      </c>
      <c r="K41" s="291">
        <f t="shared" si="33"/>
        <v>8476.6043726150965</v>
      </c>
      <c r="L41" s="291">
        <f t="shared" si="33"/>
        <v>8476.6043726150965</v>
      </c>
      <c r="M41" s="291">
        <f t="shared" si="33"/>
        <v>8476.6043726150965</v>
      </c>
      <c r="N41" s="291">
        <f t="shared" si="33"/>
        <v>8476.6043726150965</v>
      </c>
      <c r="O41" s="291">
        <f t="shared" si="33"/>
        <v>8476.6043726150965</v>
      </c>
      <c r="P41" s="291">
        <f t="shared" si="33"/>
        <v>8476.6043726150965</v>
      </c>
      <c r="Q41" s="291">
        <f t="shared" si="33"/>
        <v>8476.6043726150965</v>
      </c>
      <c r="R41" s="291">
        <f t="shared" si="33"/>
        <v>8476.6043726150965</v>
      </c>
      <c r="S41" s="291">
        <f t="shared" si="33"/>
        <v>8476.6043726150965</v>
      </c>
      <c r="T41" s="291">
        <f t="shared" si="33"/>
        <v>8476.6043726150965</v>
      </c>
      <c r="U41" s="291">
        <f t="shared" si="33"/>
        <v>8476.6043726150965</v>
      </c>
      <c r="V41" s="319">
        <f t="shared" si="28"/>
        <v>0.28195174226972552</v>
      </c>
      <c r="W41" s="320">
        <f t="shared" si="26"/>
        <v>29407.563708846334</v>
      </c>
    </row>
    <row r="42" spans="1:24" s="291" customFormat="1">
      <c r="A42" s="312" t="str">
        <f>A25</f>
        <v>benefits  -50%</v>
      </c>
      <c r="B42" s="291">
        <f>B25-B28</f>
        <v>-5857.2875000000004</v>
      </c>
      <c r="C42" s="291">
        <f>C25-C28</f>
        <v>-9097.121538241925</v>
      </c>
      <c r="D42" s="291">
        <f t="shared" ref="D42:U42" si="34">D25-D28</f>
        <v>-3962.8182138835582</v>
      </c>
      <c r="E42" s="291">
        <f t="shared" si="34"/>
        <v>708.22683296132345</v>
      </c>
      <c r="F42" s="291">
        <f t="shared" si="34"/>
        <v>-588.13766706523893</v>
      </c>
      <c r="G42" s="291">
        <f t="shared" si="34"/>
        <v>191.60423288443508</v>
      </c>
      <c r="H42" s="291">
        <f t="shared" si="34"/>
        <v>5199.046632884435</v>
      </c>
      <c r="I42" s="291">
        <f t="shared" si="34"/>
        <v>5199.046632884435</v>
      </c>
      <c r="J42" s="291">
        <f t="shared" si="34"/>
        <v>5199.046632884435</v>
      </c>
      <c r="K42" s="291">
        <f t="shared" si="34"/>
        <v>5199.046632884435</v>
      </c>
      <c r="L42" s="291">
        <f t="shared" si="34"/>
        <v>5199.046632884435</v>
      </c>
      <c r="M42" s="291">
        <f t="shared" si="34"/>
        <v>5199.046632884435</v>
      </c>
      <c r="N42" s="291">
        <f t="shared" si="34"/>
        <v>5199.046632884435</v>
      </c>
      <c r="O42" s="291">
        <f t="shared" si="34"/>
        <v>5199.046632884435</v>
      </c>
      <c r="P42" s="291">
        <f t="shared" si="34"/>
        <v>5199.046632884435</v>
      </c>
      <c r="Q42" s="291">
        <f t="shared" si="34"/>
        <v>5199.046632884435</v>
      </c>
      <c r="R42" s="291">
        <f t="shared" si="34"/>
        <v>5199.046632884435</v>
      </c>
      <c r="S42" s="291">
        <f t="shared" si="34"/>
        <v>5199.046632884435</v>
      </c>
      <c r="T42" s="291">
        <f t="shared" si="34"/>
        <v>5199.046632884435</v>
      </c>
      <c r="U42" s="291">
        <f t="shared" si="34"/>
        <v>5199.046632884435</v>
      </c>
      <c r="V42" s="319">
        <f t="shared" si="28"/>
        <v>0.13678020788971734</v>
      </c>
      <c r="W42" s="320">
        <f t="shared" si="26"/>
        <v>6025.4950899593987</v>
      </c>
    </row>
    <row r="43" spans="1:24" s="291" customFormat="1">
      <c r="A43" s="312" t="s">
        <v>184</v>
      </c>
      <c r="B43" s="291">
        <f>0-B28</f>
        <v>-5857.2875000000004</v>
      </c>
      <c r="C43" s="291">
        <f>B20-C28</f>
        <v>-10945.2245</v>
      </c>
      <c r="D43" s="291">
        <f t="shared" ref="D43" si="35">C20-D28</f>
        <v>-5792.1465764838513</v>
      </c>
      <c r="E43" s="291">
        <f t="shared" ref="E43" si="36">D20-E28</f>
        <v>5172.9710722328855</v>
      </c>
      <c r="F43" s="291">
        <f t="shared" ref="F43" si="37">E20-F28</f>
        <v>7762.3716659226466</v>
      </c>
      <c r="G43" s="291">
        <f t="shared" ref="G43" si="38">F20-G28</f>
        <v>4373.286665869522</v>
      </c>
      <c r="H43" s="291">
        <f t="shared" ref="H43" si="39">G20-H28</f>
        <v>10661.64286576887</v>
      </c>
      <c r="I43" s="291">
        <f t="shared" ref="I43" si="40">H20-I28</f>
        <v>10661.64286576887</v>
      </c>
      <c r="J43" s="291">
        <f t="shared" ref="J43" si="41">I20-J28</f>
        <v>10661.64286576887</v>
      </c>
      <c r="K43" s="291">
        <f t="shared" ref="K43" si="42">J20-K28</f>
        <v>10661.64286576887</v>
      </c>
      <c r="L43" s="291">
        <f t="shared" ref="L43" si="43">K20-L28</f>
        <v>10661.64286576887</v>
      </c>
      <c r="M43" s="291">
        <f t="shared" ref="M43" si="44">L20-M28</f>
        <v>10661.64286576887</v>
      </c>
      <c r="N43" s="291">
        <f t="shared" ref="N43" si="45">M20-N28</f>
        <v>10661.64286576887</v>
      </c>
      <c r="O43" s="291">
        <f t="shared" ref="O43" si="46">N20-O28</f>
        <v>10661.64286576887</v>
      </c>
      <c r="P43" s="291">
        <f t="shared" ref="P43" si="47">O20-P28</f>
        <v>10661.64286576887</v>
      </c>
      <c r="Q43" s="291">
        <f t="shared" ref="Q43" si="48">P20-Q28</f>
        <v>10661.64286576887</v>
      </c>
      <c r="R43" s="291">
        <f t="shared" ref="R43" si="49">Q20-R28</f>
        <v>10661.64286576887</v>
      </c>
      <c r="S43" s="291">
        <f t="shared" ref="S43" si="50">R20-S28</f>
        <v>10661.64286576887</v>
      </c>
      <c r="T43" s="291">
        <f t="shared" ref="T43" si="51">S20-T28</f>
        <v>10661.64286576887</v>
      </c>
      <c r="U43" s="291">
        <f t="shared" ref="U43" si="52">T20-U28</f>
        <v>10661.64286576887</v>
      </c>
      <c r="V43" s="319">
        <f t="shared" si="28"/>
        <v>0.27329310120575712</v>
      </c>
      <c r="W43" s="320">
        <f t="shared" si="26"/>
        <v>36433.806620283453</v>
      </c>
    </row>
    <row r="44" spans="1:24" s="291" customFormat="1">
      <c r="A44" s="312" t="s">
        <v>185</v>
      </c>
      <c r="B44" s="291">
        <f>0-B28</f>
        <v>-5857.2875000000004</v>
      </c>
      <c r="C44" s="291">
        <f>B20-D28</f>
        <v>-9488.3525000000009</v>
      </c>
      <c r="D44" s="291">
        <f t="shared" ref="D44" si="53">C20-E28</f>
        <v>-2181.8915764838503</v>
      </c>
      <c r="E44" s="291">
        <f t="shared" ref="E44" si="54">D20-F28</f>
        <v>5640.7915722328853</v>
      </c>
      <c r="F44" s="291">
        <f t="shared" ref="F44" si="55">E20-G28</f>
        <v>7901.6566659226464</v>
      </c>
      <c r="G44" s="291">
        <f t="shared" ref="G44" si="56">F20-H28</f>
        <v>9380.7290658695219</v>
      </c>
      <c r="H44" s="291">
        <f t="shared" ref="H44" si="57">G20-I28</f>
        <v>10661.64286576887</v>
      </c>
      <c r="I44" s="291">
        <f t="shared" ref="I44" si="58">H20-J28</f>
        <v>10661.64286576887</v>
      </c>
      <c r="J44" s="291">
        <f t="shared" ref="J44" si="59">I20-K28</f>
        <v>10661.64286576887</v>
      </c>
      <c r="K44" s="291">
        <f t="shared" ref="K44" si="60">J20-L28</f>
        <v>10661.64286576887</v>
      </c>
      <c r="L44" s="291">
        <f t="shared" ref="L44" si="61">K20-M28</f>
        <v>10661.64286576887</v>
      </c>
      <c r="M44" s="291">
        <f t="shared" ref="M44" si="62">L20-N28</f>
        <v>10661.64286576887</v>
      </c>
      <c r="N44" s="291">
        <f t="shared" ref="N44" si="63">M20-O28</f>
        <v>10661.64286576887</v>
      </c>
      <c r="O44" s="291">
        <f t="shared" ref="O44" si="64">N20-P28</f>
        <v>10661.64286576887</v>
      </c>
      <c r="P44" s="291">
        <f t="shared" ref="P44" si="65">O20-Q28</f>
        <v>10661.64286576887</v>
      </c>
      <c r="Q44" s="291">
        <f t="shared" ref="Q44" si="66">P20-R28</f>
        <v>10661.64286576887</v>
      </c>
      <c r="R44" s="291">
        <f t="shared" ref="R44" si="67">Q20-S28</f>
        <v>10661.64286576887</v>
      </c>
      <c r="S44" s="291">
        <f t="shared" ref="S44" si="68">R20-T28</f>
        <v>10661.64286576887</v>
      </c>
      <c r="T44" s="291">
        <f t="shared" ref="T44" si="69">S20-U28</f>
        <v>10661.64286576887</v>
      </c>
      <c r="U44" s="291">
        <f t="shared" ref="U44" si="70">T20-V28</f>
        <v>10925.192465768871</v>
      </c>
      <c r="V44" s="319">
        <f t="shared" si="28"/>
        <v>0.33919472046421228</v>
      </c>
      <c r="W44" s="320">
        <f t="shared" si="26"/>
        <v>43622.029465525513</v>
      </c>
    </row>
    <row r="45" spans="1:24" s="291" customFormat="1">
      <c r="V45" s="322"/>
      <c r="W45" s="316"/>
    </row>
    <row r="46" spans="1:24" s="291" customFormat="1">
      <c r="V46" s="322"/>
      <c r="W46" s="316"/>
    </row>
    <row r="47" spans="1:24" s="282" customFormat="1">
      <c r="A47" s="408" t="s">
        <v>186</v>
      </c>
      <c r="B47" s="408"/>
      <c r="C47" s="408"/>
      <c r="D47" s="408"/>
      <c r="E47" s="408"/>
      <c r="F47" s="408"/>
      <c r="G47" s="408"/>
      <c r="H47" s="408"/>
      <c r="I47" s="408"/>
      <c r="J47" s="408"/>
      <c r="K47" s="408"/>
      <c r="L47" s="408"/>
      <c r="M47" s="408"/>
      <c r="N47" s="408"/>
      <c r="O47" s="408"/>
      <c r="P47" s="408"/>
      <c r="Q47" s="408"/>
      <c r="R47" s="408"/>
      <c r="S47" s="408"/>
      <c r="T47" s="408"/>
      <c r="U47" s="408"/>
    </row>
    <row r="48" spans="1:24" s="283" customFormat="1">
      <c r="B48" s="284" t="s">
        <v>130</v>
      </c>
      <c r="C48" s="284" t="s">
        <v>131</v>
      </c>
      <c r="D48" s="284" t="s">
        <v>132</v>
      </c>
      <c r="E48" s="284" t="s">
        <v>133</v>
      </c>
      <c r="F48" s="284" t="s">
        <v>134</v>
      </c>
      <c r="G48" s="284" t="s">
        <v>135</v>
      </c>
      <c r="H48" s="284" t="s">
        <v>136</v>
      </c>
      <c r="I48" s="284" t="s">
        <v>137</v>
      </c>
      <c r="J48" s="284" t="s">
        <v>138</v>
      </c>
      <c r="K48" s="284" t="s">
        <v>139</v>
      </c>
      <c r="L48" s="284" t="s">
        <v>140</v>
      </c>
      <c r="M48" s="284" t="s">
        <v>141</v>
      </c>
      <c r="N48" s="284" t="s">
        <v>142</v>
      </c>
      <c r="O48" s="284" t="s">
        <v>143</v>
      </c>
      <c r="P48" s="284" t="s">
        <v>144</v>
      </c>
      <c r="Q48" s="284" t="s">
        <v>145</v>
      </c>
      <c r="R48" s="284" t="s">
        <v>146</v>
      </c>
      <c r="S48" s="284" t="s">
        <v>147</v>
      </c>
      <c r="T48" s="284" t="s">
        <v>148</v>
      </c>
      <c r="U48" s="284" t="s">
        <v>149</v>
      </c>
    </row>
    <row r="49" spans="1:41" s="287" customFormat="1">
      <c r="A49" s="285" t="s">
        <v>187</v>
      </c>
      <c r="B49" s="286">
        <v>0</v>
      </c>
      <c r="C49" s="286">
        <f>BENEFITS!Q58</f>
        <v>3621.7987491636895</v>
      </c>
      <c r="D49" s="286">
        <f>BENEFITS!R58</f>
        <v>10828.602940433642</v>
      </c>
      <c r="E49" s="286">
        <f>BENEFITS!S58</f>
        <v>12907.474163676134</v>
      </c>
      <c r="F49" s="286">
        <f>BENEFITS!T58</f>
        <v>9450.1326850870391</v>
      </c>
      <c r="G49" s="286">
        <f>BENEFITS!U58</f>
        <v>10705.260806804012</v>
      </c>
      <c r="H49" s="286">
        <f>G49</f>
        <v>10705.260806804012</v>
      </c>
      <c r="I49" s="286">
        <f t="shared" ref="I49:U49" si="71">H49</f>
        <v>10705.260806804012</v>
      </c>
      <c r="J49" s="286">
        <f t="shared" si="71"/>
        <v>10705.260806804012</v>
      </c>
      <c r="K49" s="286">
        <f t="shared" si="71"/>
        <v>10705.260806804012</v>
      </c>
      <c r="L49" s="286">
        <f t="shared" si="71"/>
        <v>10705.260806804012</v>
      </c>
      <c r="M49" s="286">
        <f t="shared" si="71"/>
        <v>10705.260806804012</v>
      </c>
      <c r="N49" s="286">
        <f t="shared" si="71"/>
        <v>10705.260806804012</v>
      </c>
      <c r="O49" s="286">
        <f t="shared" si="71"/>
        <v>10705.260806804012</v>
      </c>
      <c r="P49" s="286">
        <f t="shared" si="71"/>
        <v>10705.260806804012</v>
      </c>
      <c r="Q49" s="286">
        <f t="shared" si="71"/>
        <v>10705.260806804012</v>
      </c>
      <c r="R49" s="286">
        <f t="shared" si="71"/>
        <v>10705.260806804012</v>
      </c>
      <c r="S49" s="286">
        <f t="shared" si="71"/>
        <v>10705.260806804012</v>
      </c>
      <c r="T49" s="286">
        <f t="shared" si="71"/>
        <v>10705.260806804012</v>
      </c>
      <c r="U49" s="286">
        <f t="shared" si="71"/>
        <v>10705.260806804012</v>
      </c>
    </row>
    <row r="50" spans="1:41" s="287" customFormat="1">
      <c r="A50" s="285" t="s">
        <v>188</v>
      </c>
      <c r="B50" s="286">
        <f>COSTS!A25/1000</f>
        <v>5097.4136297785753</v>
      </c>
      <c r="C50" s="286">
        <f>COSTS!B25/1000</f>
        <v>9525.2856458363003</v>
      </c>
      <c r="D50" s="286">
        <f>COSTS!C25/1000</f>
        <v>8257.4156309799764</v>
      </c>
      <c r="E50" s="286">
        <f>COSTS!D25/1000</f>
        <v>5115.523920187864</v>
      </c>
      <c r="F50" s="286">
        <f>COSTS!E25/1000</f>
        <v>4708.3944096439764</v>
      </c>
      <c r="G50" s="286">
        <f>COSTS!F25/1000</f>
        <v>4587.1790420487014</v>
      </c>
      <c r="H50" s="286">
        <f>G50*B52</f>
        <v>229.35895210243507</v>
      </c>
      <c r="I50" s="286">
        <f>H50</f>
        <v>229.35895210243507</v>
      </c>
      <c r="J50" s="286">
        <f t="shared" ref="J50:U50" si="72">I50</f>
        <v>229.35895210243507</v>
      </c>
      <c r="K50" s="286">
        <f t="shared" ref="K50:U50" si="73">J50</f>
        <v>229.35895210243507</v>
      </c>
      <c r="L50" s="286">
        <f t="shared" si="73"/>
        <v>229.35895210243507</v>
      </c>
      <c r="M50" s="286">
        <f t="shared" si="73"/>
        <v>229.35895210243507</v>
      </c>
      <c r="N50" s="286">
        <f t="shared" si="73"/>
        <v>229.35895210243507</v>
      </c>
      <c r="O50" s="286">
        <f t="shared" si="73"/>
        <v>229.35895210243507</v>
      </c>
      <c r="P50" s="286">
        <f t="shared" si="73"/>
        <v>229.35895210243507</v>
      </c>
      <c r="Q50" s="286">
        <f t="shared" si="73"/>
        <v>229.35895210243507</v>
      </c>
      <c r="R50" s="286">
        <f t="shared" si="73"/>
        <v>229.35895210243507</v>
      </c>
      <c r="S50" s="286">
        <f t="shared" si="73"/>
        <v>229.35895210243507</v>
      </c>
      <c r="T50" s="286">
        <f t="shared" si="73"/>
        <v>229.35895210243507</v>
      </c>
      <c r="U50" s="286">
        <f t="shared" si="73"/>
        <v>229.35895210243507</v>
      </c>
    </row>
    <row r="51" spans="1:41" s="282" customFormat="1">
      <c r="A51" s="282" t="s">
        <v>152</v>
      </c>
      <c r="B51" s="288">
        <f t="shared" ref="B51:U51" si="74">B49-B50</f>
        <v>-5097.4136297785753</v>
      </c>
      <c r="C51" s="288">
        <f t="shared" si="74"/>
        <v>-5903.4868966726108</v>
      </c>
      <c r="D51" s="288">
        <f t="shared" si="74"/>
        <v>2571.1873094536659</v>
      </c>
      <c r="E51" s="288">
        <f t="shared" si="74"/>
        <v>7791.9502434882697</v>
      </c>
      <c r="F51" s="288">
        <f t="shared" si="74"/>
        <v>4741.7382754430628</v>
      </c>
      <c r="G51" s="288">
        <f t="shared" si="74"/>
        <v>6118.0817647553104</v>
      </c>
      <c r="H51" s="288">
        <f t="shared" si="74"/>
        <v>10475.901854701577</v>
      </c>
      <c r="I51" s="288">
        <f t="shared" si="74"/>
        <v>10475.901854701577</v>
      </c>
      <c r="J51" s="288">
        <f t="shared" si="74"/>
        <v>10475.901854701577</v>
      </c>
      <c r="K51" s="288">
        <f t="shared" si="74"/>
        <v>10475.901854701577</v>
      </c>
      <c r="L51" s="288">
        <f t="shared" si="74"/>
        <v>10475.901854701577</v>
      </c>
      <c r="M51" s="288">
        <f t="shared" si="74"/>
        <v>10475.901854701577</v>
      </c>
      <c r="N51" s="288">
        <f t="shared" si="74"/>
        <v>10475.901854701577</v>
      </c>
      <c r="O51" s="288">
        <f t="shared" si="74"/>
        <v>10475.901854701577</v>
      </c>
      <c r="P51" s="288">
        <f t="shared" si="74"/>
        <v>10475.901854701577</v>
      </c>
      <c r="Q51" s="288">
        <f t="shared" si="74"/>
        <v>10475.901854701577</v>
      </c>
      <c r="R51" s="288">
        <f t="shared" si="74"/>
        <v>10475.901854701577</v>
      </c>
      <c r="S51" s="288">
        <f t="shared" si="74"/>
        <v>10475.901854701577</v>
      </c>
      <c r="T51" s="288">
        <f t="shared" si="74"/>
        <v>10475.901854701577</v>
      </c>
      <c r="U51" s="288">
        <f t="shared" si="74"/>
        <v>10475.901854701577</v>
      </c>
    </row>
    <row r="52" spans="1:41" s="282" customFormat="1">
      <c r="A52" s="289" t="s">
        <v>189</v>
      </c>
      <c r="B52" s="290">
        <v>0.05</v>
      </c>
      <c r="C52" s="288"/>
      <c r="D52" s="288"/>
      <c r="E52" s="288"/>
      <c r="F52" s="288"/>
      <c r="G52" s="288"/>
      <c r="H52" s="288"/>
      <c r="I52" s="288"/>
      <c r="J52" s="288"/>
      <c r="K52" s="288"/>
      <c r="L52" s="288"/>
      <c r="M52" s="288"/>
      <c r="N52" s="291"/>
      <c r="O52" s="292"/>
      <c r="P52" s="292"/>
      <c r="Q52" s="288"/>
      <c r="R52" s="288"/>
      <c r="S52" s="288"/>
      <c r="T52" s="288"/>
      <c r="U52" s="288"/>
    </row>
    <row r="53" spans="1:41" s="282" customFormat="1">
      <c r="A53" s="293" t="s">
        <v>154</v>
      </c>
      <c r="B53" s="294">
        <f>BENEFITS!I14</f>
        <v>0.60000000000000009</v>
      </c>
      <c r="C53" s="295"/>
      <c r="D53" s="295"/>
      <c r="E53" s="295"/>
      <c r="F53" s="295"/>
      <c r="G53" s="295"/>
      <c r="H53" s="295"/>
      <c r="I53" s="295"/>
      <c r="J53" s="295"/>
      <c r="K53" s="295"/>
      <c r="L53" s="295"/>
      <c r="M53" s="295"/>
      <c r="N53" s="291"/>
      <c r="Q53" s="295"/>
      <c r="R53" s="295"/>
      <c r="S53" s="295"/>
      <c r="T53" s="295"/>
      <c r="U53" s="295"/>
    </row>
    <row r="54" spans="1:41" s="283" customFormat="1">
      <c r="B54" s="296"/>
      <c r="C54" s="411" t="s">
        <v>155</v>
      </c>
      <c r="D54" s="411"/>
      <c r="E54" s="411"/>
      <c r="F54" s="411"/>
      <c r="G54" s="411"/>
      <c r="H54" s="411"/>
      <c r="I54" s="411"/>
      <c r="J54" s="411"/>
      <c r="K54" s="295"/>
      <c r="L54" s="295"/>
      <c r="M54" s="287"/>
      <c r="N54" s="291"/>
      <c r="O54" s="282"/>
      <c r="P54" s="282"/>
      <c r="Q54" s="287"/>
      <c r="R54" s="287"/>
      <c r="S54" s="287"/>
      <c r="T54" s="287"/>
      <c r="U54" s="287"/>
      <c r="V54" s="282"/>
      <c r="W54" s="282"/>
      <c r="X54" s="282"/>
      <c r="Y54" s="282"/>
      <c r="Z54" s="282"/>
      <c r="AA54" s="282"/>
      <c r="AB54" s="282"/>
      <c r="AC54" s="282"/>
      <c r="AD54" s="282"/>
      <c r="AE54" s="282"/>
      <c r="AF54" s="282"/>
      <c r="AG54" s="282"/>
      <c r="AH54" s="282"/>
      <c r="AI54" s="282"/>
      <c r="AJ54" s="282"/>
      <c r="AK54" s="282"/>
      <c r="AL54" s="282"/>
      <c r="AM54" s="282"/>
      <c r="AN54" s="282"/>
      <c r="AO54" s="282"/>
    </row>
    <row r="55" spans="1:41" s="298" customFormat="1">
      <c r="A55" s="409" t="s">
        <v>156</v>
      </c>
      <c r="B55" s="409" t="s">
        <v>157</v>
      </c>
      <c r="C55" s="409" t="s">
        <v>158</v>
      </c>
      <c r="D55" s="409"/>
      <c r="E55" s="409" t="s">
        <v>159</v>
      </c>
      <c r="F55" s="409"/>
      <c r="G55" s="409" t="s">
        <v>160</v>
      </c>
      <c r="H55" s="409"/>
      <c r="I55" s="409" t="s">
        <v>161</v>
      </c>
      <c r="J55" s="409"/>
      <c r="K55" s="295"/>
      <c r="L55" s="295"/>
      <c r="M55" s="297"/>
      <c r="N55" s="291"/>
      <c r="O55" s="282"/>
      <c r="P55" s="282"/>
      <c r="Q55" s="297"/>
      <c r="R55" s="297"/>
      <c r="S55" s="297"/>
      <c r="T55" s="297"/>
      <c r="U55" s="297"/>
      <c r="V55" s="282"/>
      <c r="W55" s="282"/>
      <c r="X55" s="282"/>
      <c r="Y55" s="282"/>
      <c r="Z55" s="282"/>
      <c r="AA55" s="282"/>
      <c r="AB55" s="282"/>
      <c r="AC55" s="282"/>
      <c r="AD55" s="282"/>
      <c r="AE55" s="282"/>
      <c r="AF55" s="282"/>
      <c r="AG55" s="282"/>
      <c r="AH55" s="282"/>
      <c r="AI55" s="282"/>
      <c r="AJ55" s="282"/>
      <c r="AK55" s="282"/>
      <c r="AL55" s="282"/>
      <c r="AM55" s="282"/>
      <c r="AN55" s="282"/>
      <c r="AO55" s="282"/>
    </row>
    <row r="56" spans="1:41" s="298" customFormat="1">
      <c r="A56" s="410"/>
      <c r="B56" s="410"/>
      <c r="C56" s="299" t="s">
        <v>162</v>
      </c>
      <c r="D56" s="299" t="s">
        <v>163</v>
      </c>
      <c r="E56" s="300" t="s">
        <v>162</v>
      </c>
      <c r="F56" s="299" t="s">
        <v>163</v>
      </c>
      <c r="G56" s="299" t="s">
        <v>164</v>
      </c>
      <c r="H56" s="299" t="s">
        <v>165</v>
      </c>
      <c r="I56" s="301" t="s">
        <v>166</v>
      </c>
      <c r="J56" s="301" t="s">
        <v>167</v>
      </c>
      <c r="K56" s="295"/>
      <c r="L56" s="295"/>
      <c r="M56" s="297"/>
      <c r="N56" s="291"/>
      <c r="O56" s="282"/>
      <c r="P56" s="282"/>
      <c r="Q56" s="282"/>
      <c r="R56" s="282"/>
      <c r="S56" s="282"/>
      <c r="T56" s="282"/>
      <c r="U56" s="282"/>
      <c r="V56" s="282"/>
      <c r="W56" s="282"/>
      <c r="X56" s="282"/>
      <c r="Y56" s="282"/>
      <c r="Z56" s="282"/>
      <c r="AA56" s="282"/>
      <c r="AB56" s="282"/>
      <c r="AC56" s="282"/>
      <c r="AD56" s="282"/>
      <c r="AE56" s="282"/>
      <c r="AF56" s="282"/>
      <c r="AG56" s="282"/>
      <c r="AH56" s="282"/>
      <c r="AI56" s="282"/>
      <c r="AJ56" s="282"/>
      <c r="AK56" s="282"/>
      <c r="AL56" s="282"/>
      <c r="AM56" s="282"/>
      <c r="AN56" s="282"/>
      <c r="AO56" s="282"/>
    </row>
    <row r="57" spans="1:41" s="298" customFormat="1">
      <c r="A57" s="327" t="s">
        <v>190</v>
      </c>
      <c r="B57" s="328">
        <f>V78</f>
        <v>0.45830798786823013</v>
      </c>
      <c r="C57" s="302">
        <f>V79</f>
        <v>0.40047634606227334</v>
      </c>
      <c r="D57" s="302">
        <f>V80</f>
        <v>0.35398449397849086</v>
      </c>
      <c r="E57" s="302">
        <f>V82</f>
        <v>0.52430941777419138</v>
      </c>
      <c r="F57" s="302">
        <f>V83</f>
        <v>0.59251136892112366</v>
      </c>
      <c r="G57" s="302">
        <f>V84</f>
        <v>0.39481419206069868</v>
      </c>
      <c r="H57" s="302">
        <f>V85</f>
        <v>0.33402972123917252</v>
      </c>
      <c r="I57" s="302">
        <f>V87</f>
        <v>0.31112239229391259</v>
      </c>
      <c r="J57" s="302">
        <f>V88</f>
        <v>0.38103826145694786</v>
      </c>
      <c r="K57" s="297"/>
      <c r="L57" s="297"/>
      <c r="M57" s="297"/>
      <c r="N57" s="291"/>
      <c r="O57" s="282"/>
      <c r="P57" s="282"/>
      <c r="Q57" s="282"/>
      <c r="R57" s="282"/>
      <c r="S57" s="282"/>
      <c r="T57" s="282"/>
      <c r="U57" s="282"/>
      <c r="V57" s="282"/>
      <c r="W57" s="282"/>
      <c r="X57" s="282"/>
      <c r="Y57" s="282"/>
      <c r="Z57" s="282"/>
      <c r="AA57" s="282"/>
      <c r="AB57" s="282"/>
      <c r="AC57" s="282"/>
      <c r="AD57" s="282"/>
      <c r="AE57" s="282"/>
      <c r="AF57" s="282"/>
      <c r="AG57" s="282"/>
      <c r="AH57" s="282"/>
      <c r="AI57" s="282"/>
      <c r="AJ57" s="282"/>
      <c r="AK57" s="282"/>
      <c r="AL57" s="282"/>
      <c r="AM57" s="282"/>
      <c r="AN57" s="282"/>
      <c r="AO57" s="282"/>
    </row>
    <row r="58" spans="1:41" s="298" customFormat="1">
      <c r="A58" s="329" t="s">
        <v>191</v>
      </c>
      <c r="B58" s="330">
        <f>W78</f>
        <v>84083.352054976509</v>
      </c>
      <c r="C58" s="303">
        <f>W79</f>
        <v>44833.502241549781</v>
      </c>
      <c r="D58" s="303">
        <f>W80</f>
        <v>41966.435338661751</v>
      </c>
      <c r="E58" s="303">
        <f>W82</f>
        <v>55337.692961769593</v>
      </c>
      <c r="F58" s="303">
        <f>W83</f>
        <v>62974.816779101406</v>
      </c>
      <c r="G58" s="303">
        <f>W84</f>
        <v>40063.445327105997</v>
      </c>
      <c r="H58" s="303">
        <f>W85</f>
        <v>32426.321509774196</v>
      </c>
      <c r="I58" s="303">
        <f>W87</f>
        <v>39311.121305710687</v>
      </c>
      <c r="J58" s="303">
        <f>W88</f>
        <v>45566.806229017348</v>
      </c>
      <c r="K58" s="297"/>
      <c r="L58" s="297"/>
      <c r="M58" s="297"/>
      <c r="N58" s="291"/>
      <c r="O58" s="282"/>
      <c r="P58" s="282"/>
      <c r="Q58" s="282"/>
      <c r="R58" s="282"/>
      <c r="S58" s="282"/>
      <c r="T58" s="282"/>
      <c r="U58" s="282"/>
      <c r="V58" s="282"/>
      <c r="W58" s="282"/>
      <c r="X58" s="282"/>
      <c r="Y58" s="282"/>
      <c r="Z58" s="282"/>
      <c r="AA58" s="282"/>
      <c r="AB58" s="282"/>
      <c r="AC58" s="282"/>
      <c r="AD58" s="282"/>
      <c r="AE58" s="282"/>
      <c r="AF58" s="282"/>
      <c r="AG58" s="282"/>
      <c r="AH58" s="282"/>
      <c r="AI58" s="282"/>
      <c r="AJ58" s="282"/>
      <c r="AK58" s="282"/>
      <c r="AL58" s="282"/>
      <c r="AM58" s="282"/>
      <c r="AN58" s="282"/>
      <c r="AO58" s="282"/>
    </row>
    <row r="59" spans="1:41" s="282" customFormat="1">
      <c r="A59" s="304"/>
      <c r="B59" s="304"/>
      <c r="C59" s="305"/>
      <c r="D59" s="295"/>
      <c r="E59" s="295"/>
      <c r="F59" s="295"/>
      <c r="G59" s="295"/>
      <c r="H59" s="295"/>
      <c r="I59" s="295"/>
      <c r="J59" s="295"/>
      <c r="K59" s="297"/>
      <c r="L59" s="297"/>
      <c r="M59" s="297"/>
      <c r="N59" s="291"/>
      <c r="Q59" s="304"/>
      <c r="R59" s="304"/>
      <c r="S59" s="304"/>
      <c r="T59" s="304"/>
      <c r="U59" s="304"/>
    </row>
    <row r="60" spans="1:41" s="287" customFormat="1">
      <c r="A60" s="406" t="s">
        <v>170</v>
      </c>
      <c r="B60" s="406"/>
      <c r="C60" s="406"/>
      <c r="D60" s="406"/>
      <c r="E60" s="406"/>
      <c r="F60" s="406"/>
      <c r="G60" s="406"/>
      <c r="H60" s="406"/>
      <c r="I60" s="406"/>
      <c r="J60" s="406"/>
      <c r="K60" s="406"/>
      <c r="L60" s="406"/>
      <c r="M60" s="406"/>
      <c r="N60" s="406"/>
      <c r="O60" s="406"/>
      <c r="P60" s="406"/>
      <c r="Q60" s="406"/>
      <c r="R60" s="406"/>
      <c r="S60" s="406"/>
      <c r="T60" s="406"/>
      <c r="U60" s="406"/>
      <c r="V60" s="406"/>
      <c r="W60" s="406"/>
    </row>
    <row r="61" spans="1:41" s="306" customFormat="1">
      <c r="A61" s="407" t="s">
        <v>171</v>
      </c>
      <c r="B61" s="407"/>
      <c r="C61" s="407"/>
      <c r="D61" s="407"/>
      <c r="E61" s="407"/>
      <c r="F61" s="407"/>
      <c r="G61" s="407"/>
      <c r="H61" s="407"/>
      <c r="I61" s="407"/>
      <c r="J61" s="407"/>
      <c r="K61" s="407"/>
      <c r="L61" s="407"/>
      <c r="M61" s="407"/>
      <c r="N61" s="407"/>
      <c r="O61" s="407"/>
      <c r="P61" s="407"/>
      <c r="Q61" s="407"/>
      <c r="R61" s="407"/>
      <c r="S61" s="407"/>
      <c r="T61" s="407"/>
      <c r="U61" s="407"/>
    </row>
    <row r="62" spans="1:41" s="291" customFormat="1" ht="13.5" thickBot="1">
      <c r="A62" s="307" t="s">
        <v>125</v>
      </c>
      <c r="B62" s="308" t="s">
        <v>130</v>
      </c>
      <c r="C62" s="308" t="s">
        <v>131</v>
      </c>
      <c r="D62" s="308" t="s">
        <v>132</v>
      </c>
      <c r="E62" s="308" t="s">
        <v>133</v>
      </c>
      <c r="F62" s="308" t="s">
        <v>134</v>
      </c>
      <c r="G62" s="308" t="s">
        <v>135</v>
      </c>
      <c r="H62" s="308" t="s">
        <v>136</v>
      </c>
      <c r="I62" s="308" t="s">
        <v>137</v>
      </c>
      <c r="J62" s="308" t="s">
        <v>138</v>
      </c>
      <c r="K62" s="308" t="s">
        <v>139</v>
      </c>
      <c r="L62" s="308" t="s">
        <v>140</v>
      </c>
      <c r="M62" s="308" t="s">
        <v>141</v>
      </c>
      <c r="N62" s="308" t="s">
        <v>142</v>
      </c>
      <c r="O62" s="308" t="s">
        <v>143</v>
      </c>
      <c r="P62" s="308" t="s">
        <v>144</v>
      </c>
      <c r="Q62" s="308" t="s">
        <v>145</v>
      </c>
      <c r="R62" s="308" t="s">
        <v>146</v>
      </c>
      <c r="S62" s="308" t="s">
        <v>147</v>
      </c>
      <c r="T62" s="308" t="s">
        <v>148</v>
      </c>
      <c r="U62" s="308" t="s">
        <v>149</v>
      </c>
      <c r="V62" s="309" t="s">
        <v>172</v>
      </c>
      <c r="W62" s="310" t="s">
        <v>173</v>
      </c>
    </row>
    <row r="63" spans="1:41" s="291" customFormat="1">
      <c r="A63" s="311" t="s">
        <v>11</v>
      </c>
      <c r="V63" s="312"/>
      <c r="W63" s="313"/>
    </row>
    <row r="64" spans="1:41" s="291" customFormat="1">
      <c r="A64" s="312" t="s">
        <v>174</v>
      </c>
      <c r="B64" s="314">
        <f t="shared" ref="B64:U64" si="75">B49</f>
        <v>0</v>
      </c>
      <c r="C64" s="314">
        <f t="shared" si="75"/>
        <v>3621.7987491636895</v>
      </c>
      <c r="D64" s="314">
        <f t="shared" si="75"/>
        <v>10828.602940433642</v>
      </c>
      <c r="E64" s="314">
        <f t="shared" si="75"/>
        <v>12907.474163676134</v>
      </c>
      <c r="F64" s="314">
        <f t="shared" si="75"/>
        <v>9450.1326850870391</v>
      </c>
      <c r="G64" s="314">
        <f t="shared" si="75"/>
        <v>10705.260806804012</v>
      </c>
      <c r="H64" s="314">
        <f t="shared" si="75"/>
        <v>10705.260806804012</v>
      </c>
      <c r="I64" s="314">
        <f t="shared" si="75"/>
        <v>10705.260806804012</v>
      </c>
      <c r="J64" s="314">
        <f t="shared" si="75"/>
        <v>10705.260806804012</v>
      </c>
      <c r="K64" s="314">
        <f t="shared" si="75"/>
        <v>10705.260806804012</v>
      </c>
      <c r="L64" s="314">
        <f t="shared" si="75"/>
        <v>10705.260806804012</v>
      </c>
      <c r="M64" s="314">
        <f t="shared" si="75"/>
        <v>10705.260806804012</v>
      </c>
      <c r="N64" s="314">
        <f t="shared" si="75"/>
        <v>10705.260806804012</v>
      </c>
      <c r="O64" s="314">
        <f t="shared" si="75"/>
        <v>10705.260806804012</v>
      </c>
      <c r="P64" s="314">
        <f t="shared" si="75"/>
        <v>10705.260806804012</v>
      </c>
      <c r="Q64" s="314">
        <f t="shared" si="75"/>
        <v>10705.260806804012</v>
      </c>
      <c r="R64" s="314">
        <f t="shared" si="75"/>
        <v>10705.260806804012</v>
      </c>
      <c r="S64" s="314">
        <f t="shared" si="75"/>
        <v>10705.260806804012</v>
      </c>
      <c r="T64" s="314">
        <f t="shared" si="75"/>
        <v>10705.260806804012</v>
      </c>
      <c r="U64" s="314">
        <f t="shared" si="75"/>
        <v>10705.260806804012</v>
      </c>
      <c r="V64" s="312"/>
      <c r="W64" s="313"/>
    </row>
    <row r="65" spans="1:24" s="291" customFormat="1">
      <c r="A65" s="312" t="s">
        <v>175</v>
      </c>
      <c r="B65" s="291">
        <f t="shared" ref="B65:U65" si="76">B64*1.1</f>
        <v>0</v>
      </c>
      <c r="C65" s="291">
        <f t="shared" si="76"/>
        <v>3983.978624080059</v>
      </c>
      <c r="D65" s="291">
        <f t="shared" si="76"/>
        <v>11911.463234477007</v>
      </c>
      <c r="E65" s="291">
        <f t="shared" si="76"/>
        <v>14198.221580043748</v>
      </c>
      <c r="F65" s="291">
        <f t="shared" si="76"/>
        <v>10395.145953595744</v>
      </c>
      <c r="G65" s="291">
        <f t="shared" si="76"/>
        <v>11775.786887484413</v>
      </c>
      <c r="H65" s="291">
        <f t="shared" si="76"/>
        <v>11775.786887484413</v>
      </c>
      <c r="I65" s="291">
        <f t="shared" si="76"/>
        <v>11775.786887484413</v>
      </c>
      <c r="J65" s="291">
        <f t="shared" si="76"/>
        <v>11775.786887484413</v>
      </c>
      <c r="K65" s="291">
        <f t="shared" si="76"/>
        <v>11775.786887484413</v>
      </c>
      <c r="L65" s="291">
        <f t="shared" si="76"/>
        <v>11775.786887484413</v>
      </c>
      <c r="M65" s="291">
        <f t="shared" si="76"/>
        <v>11775.786887484413</v>
      </c>
      <c r="N65" s="291">
        <f t="shared" si="76"/>
        <v>11775.786887484413</v>
      </c>
      <c r="O65" s="291">
        <f t="shared" si="76"/>
        <v>11775.786887484413</v>
      </c>
      <c r="P65" s="291">
        <f t="shared" si="76"/>
        <v>11775.786887484413</v>
      </c>
      <c r="Q65" s="291">
        <f t="shared" si="76"/>
        <v>11775.786887484413</v>
      </c>
      <c r="R65" s="291">
        <f t="shared" si="76"/>
        <v>11775.786887484413</v>
      </c>
      <c r="S65" s="291">
        <f t="shared" si="76"/>
        <v>11775.786887484413</v>
      </c>
      <c r="T65" s="291">
        <f t="shared" si="76"/>
        <v>11775.786887484413</v>
      </c>
      <c r="U65" s="291">
        <f t="shared" si="76"/>
        <v>11775.786887484413</v>
      </c>
      <c r="V65" s="312"/>
      <c r="W65" s="313"/>
    </row>
    <row r="66" spans="1:24" s="291" customFormat="1">
      <c r="A66" s="312" t="s">
        <v>176</v>
      </c>
      <c r="B66" s="291">
        <f t="shared" ref="B66:U66" si="77">B64*1.2</f>
        <v>0</v>
      </c>
      <c r="C66" s="291">
        <f t="shared" si="77"/>
        <v>4346.1584989964276</v>
      </c>
      <c r="D66" s="291">
        <f t="shared" si="77"/>
        <v>12994.32352852037</v>
      </c>
      <c r="E66" s="291">
        <f t="shared" si="77"/>
        <v>15488.96899641136</v>
      </c>
      <c r="F66" s="291">
        <f t="shared" si="77"/>
        <v>11340.159222104447</v>
      </c>
      <c r="G66" s="291">
        <f t="shared" si="77"/>
        <v>12846.312968164813</v>
      </c>
      <c r="H66" s="291">
        <f t="shared" si="77"/>
        <v>12846.312968164813</v>
      </c>
      <c r="I66" s="291">
        <f t="shared" si="77"/>
        <v>12846.312968164813</v>
      </c>
      <c r="J66" s="291">
        <f t="shared" si="77"/>
        <v>12846.312968164813</v>
      </c>
      <c r="K66" s="291">
        <f t="shared" si="77"/>
        <v>12846.312968164813</v>
      </c>
      <c r="L66" s="291">
        <f t="shared" si="77"/>
        <v>12846.312968164813</v>
      </c>
      <c r="M66" s="291">
        <f t="shared" si="77"/>
        <v>12846.312968164813</v>
      </c>
      <c r="N66" s="291">
        <f t="shared" si="77"/>
        <v>12846.312968164813</v>
      </c>
      <c r="O66" s="291">
        <f t="shared" si="77"/>
        <v>12846.312968164813</v>
      </c>
      <c r="P66" s="291">
        <f t="shared" si="77"/>
        <v>12846.312968164813</v>
      </c>
      <c r="Q66" s="291">
        <f t="shared" si="77"/>
        <v>12846.312968164813</v>
      </c>
      <c r="R66" s="291">
        <f t="shared" si="77"/>
        <v>12846.312968164813</v>
      </c>
      <c r="S66" s="291">
        <f t="shared" si="77"/>
        <v>12846.312968164813</v>
      </c>
      <c r="T66" s="291">
        <f t="shared" si="77"/>
        <v>12846.312968164813</v>
      </c>
      <c r="U66" s="291">
        <f t="shared" si="77"/>
        <v>12846.312968164813</v>
      </c>
      <c r="V66" s="312"/>
      <c r="W66" s="313"/>
    </row>
    <row r="67" spans="1:24" s="291" customFormat="1">
      <c r="A67" s="312" t="s">
        <v>177</v>
      </c>
      <c r="B67" s="291">
        <f t="shared" ref="B67:U67" si="78">B64*0.9</f>
        <v>0</v>
      </c>
      <c r="C67" s="291">
        <f t="shared" si="78"/>
        <v>3259.6188742473205</v>
      </c>
      <c r="D67" s="291">
        <f t="shared" si="78"/>
        <v>9745.7426463902775</v>
      </c>
      <c r="E67" s="291">
        <f t="shared" si="78"/>
        <v>11616.726747308521</v>
      </c>
      <c r="F67" s="291">
        <f t="shared" si="78"/>
        <v>8505.1194165783363</v>
      </c>
      <c r="G67" s="291">
        <f t="shared" si="78"/>
        <v>9634.73472612361</v>
      </c>
      <c r="H67" s="291">
        <f t="shared" si="78"/>
        <v>9634.73472612361</v>
      </c>
      <c r="I67" s="291">
        <f t="shared" si="78"/>
        <v>9634.73472612361</v>
      </c>
      <c r="J67" s="291">
        <f t="shared" si="78"/>
        <v>9634.73472612361</v>
      </c>
      <c r="K67" s="291">
        <f t="shared" si="78"/>
        <v>9634.73472612361</v>
      </c>
      <c r="L67" s="291">
        <f t="shared" si="78"/>
        <v>9634.73472612361</v>
      </c>
      <c r="M67" s="291">
        <f t="shared" si="78"/>
        <v>9634.73472612361</v>
      </c>
      <c r="N67" s="291">
        <f t="shared" si="78"/>
        <v>9634.73472612361</v>
      </c>
      <c r="O67" s="291">
        <f t="shared" si="78"/>
        <v>9634.73472612361</v>
      </c>
      <c r="P67" s="291">
        <f t="shared" si="78"/>
        <v>9634.73472612361</v>
      </c>
      <c r="Q67" s="291">
        <f t="shared" si="78"/>
        <v>9634.73472612361</v>
      </c>
      <c r="R67" s="291">
        <f t="shared" si="78"/>
        <v>9634.73472612361</v>
      </c>
      <c r="S67" s="291">
        <f t="shared" si="78"/>
        <v>9634.73472612361</v>
      </c>
      <c r="T67" s="291">
        <f t="shared" si="78"/>
        <v>9634.73472612361</v>
      </c>
      <c r="U67" s="291">
        <f t="shared" si="78"/>
        <v>9634.73472612361</v>
      </c>
      <c r="V67" s="312"/>
      <c r="W67" s="313"/>
    </row>
    <row r="68" spans="1:24" s="291" customFormat="1">
      <c r="A68" s="312" t="s">
        <v>178</v>
      </c>
      <c r="B68" s="291">
        <f t="shared" ref="B68:U68" si="79">B64*0.8</f>
        <v>0</v>
      </c>
      <c r="C68" s="291">
        <f t="shared" si="79"/>
        <v>2897.4389993309519</v>
      </c>
      <c r="D68" s="291">
        <f t="shared" si="79"/>
        <v>8662.8823523469146</v>
      </c>
      <c r="E68" s="291">
        <f t="shared" si="79"/>
        <v>10325.979330940907</v>
      </c>
      <c r="F68" s="291">
        <f t="shared" si="79"/>
        <v>7560.1061480696317</v>
      </c>
      <c r="G68" s="291">
        <f t="shared" si="79"/>
        <v>8564.2086454432101</v>
      </c>
      <c r="H68" s="291">
        <f t="shared" si="79"/>
        <v>8564.2086454432101</v>
      </c>
      <c r="I68" s="291">
        <f t="shared" si="79"/>
        <v>8564.2086454432101</v>
      </c>
      <c r="J68" s="291">
        <f t="shared" si="79"/>
        <v>8564.2086454432101</v>
      </c>
      <c r="K68" s="291">
        <f t="shared" si="79"/>
        <v>8564.2086454432101</v>
      </c>
      <c r="L68" s="291">
        <f t="shared" si="79"/>
        <v>8564.2086454432101</v>
      </c>
      <c r="M68" s="291">
        <f t="shared" si="79"/>
        <v>8564.2086454432101</v>
      </c>
      <c r="N68" s="291">
        <f t="shared" si="79"/>
        <v>8564.2086454432101</v>
      </c>
      <c r="O68" s="291">
        <f t="shared" si="79"/>
        <v>8564.2086454432101</v>
      </c>
      <c r="P68" s="291">
        <f t="shared" si="79"/>
        <v>8564.2086454432101</v>
      </c>
      <c r="Q68" s="291">
        <f t="shared" si="79"/>
        <v>8564.2086454432101</v>
      </c>
      <c r="R68" s="291">
        <f t="shared" si="79"/>
        <v>8564.2086454432101</v>
      </c>
      <c r="S68" s="291">
        <f t="shared" si="79"/>
        <v>8564.2086454432101</v>
      </c>
      <c r="T68" s="291">
        <f t="shared" si="79"/>
        <v>8564.2086454432101</v>
      </c>
      <c r="U68" s="291">
        <f t="shared" si="79"/>
        <v>8564.2086454432101</v>
      </c>
      <c r="V68" s="312"/>
      <c r="W68" s="313"/>
    </row>
    <row r="69" spans="1:24" s="291" customFormat="1">
      <c r="A69" s="312" t="s">
        <v>179</v>
      </c>
      <c r="B69" s="291">
        <f t="shared" ref="B69:U69" si="80">B64*0.5</f>
        <v>0</v>
      </c>
      <c r="C69" s="291">
        <f t="shared" si="80"/>
        <v>1810.8993745818448</v>
      </c>
      <c r="D69" s="291">
        <f t="shared" si="80"/>
        <v>5414.3014702168211</v>
      </c>
      <c r="E69" s="291">
        <f t="shared" si="80"/>
        <v>6453.7370818380668</v>
      </c>
      <c r="F69" s="291">
        <f t="shared" si="80"/>
        <v>4725.0663425435196</v>
      </c>
      <c r="G69" s="291">
        <f t="shared" si="80"/>
        <v>5352.6304034020059</v>
      </c>
      <c r="H69" s="291">
        <f t="shared" si="80"/>
        <v>5352.6304034020059</v>
      </c>
      <c r="I69" s="291">
        <f t="shared" si="80"/>
        <v>5352.6304034020059</v>
      </c>
      <c r="J69" s="291">
        <f t="shared" si="80"/>
        <v>5352.6304034020059</v>
      </c>
      <c r="K69" s="291">
        <f t="shared" si="80"/>
        <v>5352.6304034020059</v>
      </c>
      <c r="L69" s="291">
        <f t="shared" si="80"/>
        <v>5352.6304034020059</v>
      </c>
      <c r="M69" s="291">
        <f t="shared" si="80"/>
        <v>5352.6304034020059</v>
      </c>
      <c r="N69" s="291">
        <f t="shared" si="80"/>
        <v>5352.6304034020059</v>
      </c>
      <c r="O69" s="291">
        <f t="shared" si="80"/>
        <v>5352.6304034020059</v>
      </c>
      <c r="P69" s="291">
        <f t="shared" si="80"/>
        <v>5352.6304034020059</v>
      </c>
      <c r="Q69" s="291">
        <f t="shared" si="80"/>
        <v>5352.6304034020059</v>
      </c>
      <c r="R69" s="291">
        <f t="shared" si="80"/>
        <v>5352.6304034020059</v>
      </c>
      <c r="S69" s="291">
        <f t="shared" si="80"/>
        <v>5352.6304034020059</v>
      </c>
      <c r="T69" s="291">
        <f t="shared" si="80"/>
        <v>5352.6304034020059</v>
      </c>
      <c r="U69" s="291">
        <f t="shared" si="80"/>
        <v>5352.6304034020059</v>
      </c>
      <c r="V69" s="312"/>
      <c r="W69" s="313"/>
    </row>
    <row r="70" spans="1:24" s="291" customFormat="1">
      <c r="A70" s="315"/>
      <c r="V70" s="312"/>
      <c r="W70" s="313"/>
    </row>
    <row r="71" spans="1:24" s="291" customFormat="1">
      <c r="A71" s="311" t="s">
        <v>9</v>
      </c>
      <c r="V71" s="312"/>
      <c r="W71" s="313"/>
    </row>
    <row r="72" spans="1:24" s="291" customFormat="1">
      <c r="A72" s="312" t="s">
        <v>174</v>
      </c>
      <c r="B72" s="291">
        <f t="shared" ref="B72:U72" si="81">B50</f>
        <v>5097.4136297785753</v>
      </c>
      <c r="C72" s="291">
        <f t="shared" si="81"/>
        <v>9525.2856458363003</v>
      </c>
      <c r="D72" s="291">
        <f t="shared" si="81"/>
        <v>8257.4156309799764</v>
      </c>
      <c r="E72" s="291">
        <f t="shared" si="81"/>
        <v>5115.523920187864</v>
      </c>
      <c r="F72" s="291">
        <f t="shared" si="81"/>
        <v>4708.3944096439764</v>
      </c>
      <c r="G72" s="291">
        <f t="shared" si="81"/>
        <v>4587.1790420487014</v>
      </c>
      <c r="H72" s="291">
        <f t="shared" si="81"/>
        <v>229.35895210243507</v>
      </c>
      <c r="I72" s="291">
        <f t="shared" si="81"/>
        <v>229.35895210243507</v>
      </c>
      <c r="J72" s="291">
        <f t="shared" si="81"/>
        <v>229.35895210243507</v>
      </c>
      <c r="K72" s="291">
        <f t="shared" si="81"/>
        <v>229.35895210243507</v>
      </c>
      <c r="L72" s="291">
        <f t="shared" si="81"/>
        <v>229.35895210243507</v>
      </c>
      <c r="M72" s="291">
        <f t="shared" si="81"/>
        <v>229.35895210243507</v>
      </c>
      <c r="N72" s="291">
        <f t="shared" si="81"/>
        <v>229.35895210243507</v>
      </c>
      <c r="O72" s="291">
        <f t="shared" si="81"/>
        <v>229.35895210243507</v>
      </c>
      <c r="P72" s="291">
        <f t="shared" si="81"/>
        <v>229.35895210243507</v>
      </c>
      <c r="Q72" s="291">
        <f t="shared" si="81"/>
        <v>229.35895210243507</v>
      </c>
      <c r="R72" s="291">
        <f t="shared" si="81"/>
        <v>229.35895210243507</v>
      </c>
      <c r="S72" s="291">
        <f t="shared" si="81"/>
        <v>229.35895210243507</v>
      </c>
      <c r="T72" s="291">
        <f t="shared" si="81"/>
        <v>229.35895210243507</v>
      </c>
      <c r="U72" s="291">
        <f t="shared" si="81"/>
        <v>229.35895210243507</v>
      </c>
      <c r="V72" s="312"/>
      <c r="W72" s="313"/>
    </row>
    <row r="73" spans="1:24" s="291" customFormat="1">
      <c r="A73" s="312" t="s">
        <v>180</v>
      </c>
      <c r="B73" s="291">
        <f t="shared" ref="B73:U73" si="82">B72*1.1</f>
        <v>5607.1549927564329</v>
      </c>
      <c r="C73" s="291">
        <f t="shared" si="82"/>
        <v>10477.814210419931</v>
      </c>
      <c r="D73" s="291">
        <f t="shared" si="82"/>
        <v>9083.1571940779741</v>
      </c>
      <c r="E73" s="291">
        <f t="shared" si="82"/>
        <v>5627.076312206651</v>
      </c>
      <c r="F73" s="291">
        <f t="shared" si="82"/>
        <v>5179.2338506083743</v>
      </c>
      <c r="G73" s="291">
        <f t="shared" si="82"/>
        <v>5045.8969462535715</v>
      </c>
      <c r="H73" s="291">
        <f t="shared" si="82"/>
        <v>252.2948473126786</v>
      </c>
      <c r="I73" s="291">
        <f t="shared" si="82"/>
        <v>252.2948473126786</v>
      </c>
      <c r="J73" s="291">
        <f t="shared" si="82"/>
        <v>252.2948473126786</v>
      </c>
      <c r="K73" s="291">
        <f t="shared" si="82"/>
        <v>252.2948473126786</v>
      </c>
      <c r="L73" s="291">
        <f t="shared" si="82"/>
        <v>252.2948473126786</v>
      </c>
      <c r="M73" s="291">
        <f t="shared" si="82"/>
        <v>252.2948473126786</v>
      </c>
      <c r="N73" s="291">
        <f t="shared" si="82"/>
        <v>252.2948473126786</v>
      </c>
      <c r="O73" s="291">
        <f t="shared" si="82"/>
        <v>252.2948473126786</v>
      </c>
      <c r="P73" s="291">
        <f t="shared" si="82"/>
        <v>252.2948473126786</v>
      </c>
      <c r="Q73" s="291">
        <f t="shared" si="82"/>
        <v>252.2948473126786</v>
      </c>
      <c r="R73" s="291">
        <f t="shared" si="82"/>
        <v>252.2948473126786</v>
      </c>
      <c r="S73" s="291">
        <f t="shared" si="82"/>
        <v>252.2948473126786</v>
      </c>
      <c r="T73" s="291">
        <f t="shared" si="82"/>
        <v>252.2948473126786</v>
      </c>
      <c r="U73" s="291">
        <f t="shared" si="82"/>
        <v>252.2948473126786</v>
      </c>
      <c r="V73" s="312"/>
      <c r="W73" s="313"/>
    </row>
    <row r="74" spans="1:24" s="291" customFormat="1">
      <c r="A74" s="312" t="s">
        <v>181</v>
      </c>
      <c r="B74" s="291">
        <f t="shared" ref="B74:U74" si="83">B72*1.2</f>
        <v>6116.8963557342904</v>
      </c>
      <c r="C74" s="291">
        <f t="shared" si="83"/>
        <v>11430.342775003561</v>
      </c>
      <c r="D74" s="291">
        <f t="shared" si="83"/>
        <v>9908.8987571759717</v>
      </c>
      <c r="E74" s="291">
        <f t="shared" si="83"/>
        <v>6138.6287042254362</v>
      </c>
      <c r="F74" s="291">
        <f t="shared" si="83"/>
        <v>5650.0732915727713</v>
      </c>
      <c r="G74" s="291">
        <f t="shared" si="83"/>
        <v>5504.6148504584417</v>
      </c>
      <c r="H74" s="291">
        <f t="shared" si="83"/>
        <v>275.23074252292207</v>
      </c>
      <c r="I74" s="291">
        <f t="shared" si="83"/>
        <v>275.23074252292207</v>
      </c>
      <c r="J74" s="291">
        <f t="shared" si="83"/>
        <v>275.23074252292207</v>
      </c>
      <c r="K74" s="291">
        <f t="shared" si="83"/>
        <v>275.23074252292207</v>
      </c>
      <c r="L74" s="291">
        <f t="shared" si="83"/>
        <v>275.23074252292207</v>
      </c>
      <c r="M74" s="291">
        <f t="shared" si="83"/>
        <v>275.23074252292207</v>
      </c>
      <c r="N74" s="291">
        <f t="shared" si="83"/>
        <v>275.23074252292207</v>
      </c>
      <c r="O74" s="291">
        <f t="shared" si="83"/>
        <v>275.23074252292207</v>
      </c>
      <c r="P74" s="291">
        <f t="shared" si="83"/>
        <v>275.23074252292207</v>
      </c>
      <c r="Q74" s="291">
        <f t="shared" si="83"/>
        <v>275.23074252292207</v>
      </c>
      <c r="R74" s="291">
        <f t="shared" si="83"/>
        <v>275.23074252292207</v>
      </c>
      <c r="S74" s="291">
        <f t="shared" si="83"/>
        <v>275.23074252292207</v>
      </c>
      <c r="T74" s="291">
        <f t="shared" si="83"/>
        <v>275.23074252292207</v>
      </c>
      <c r="U74" s="291">
        <f t="shared" si="83"/>
        <v>275.23074252292207</v>
      </c>
      <c r="V74" s="312"/>
      <c r="W74" s="313"/>
    </row>
    <row r="75" spans="1:24" s="291" customFormat="1">
      <c r="A75" s="312" t="s">
        <v>182</v>
      </c>
      <c r="B75" s="291">
        <f t="shared" ref="B75:U75" si="84">B72*1.5</f>
        <v>7646.120444667863</v>
      </c>
      <c r="C75" s="291">
        <f t="shared" si="84"/>
        <v>14287.92846875445</v>
      </c>
      <c r="D75" s="291">
        <f t="shared" si="84"/>
        <v>12386.123446469965</v>
      </c>
      <c r="E75" s="291">
        <f t="shared" si="84"/>
        <v>7673.2858802817955</v>
      </c>
      <c r="F75" s="291">
        <f t="shared" si="84"/>
        <v>7062.5916144659641</v>
      </c>
      <c r="G75" s="291">
        <f t="shared" si="84"/>
        <v>6880.7685630730521</v>
      </c>
      <c r="H75" s="291">
        <f t="shared" si="84"/>
        <v>344.0384281536526</v>
      </c>
      <c r="I75" s="291">
        <f t="shared" si="84"/>
        <v>344.0384281536526</v>
      </c>
      <c r="J75" s="291">
        <f t="shared" si="84"/>
        <v>344.0384281536526</v>
      </c>
      <c r="K75" s="291">
        <f t="shared" si="84"/>
        <v>344.0384281536526</v>
      </c>
      <c r="L75" s="291">
        <f t="shared" si="84"/>
        <v>344.0384281536526</v>
      </c>
      <c r="M75" s="291">
        <f t="shared" si="84"/>
        <v>344.0384281536526</v>
      </c>
      <c r="N75" s="291">
        <f t="shared" si="84"/>
        <v>344.0384281536526</v>
      </c>
      <c r="O75" s="291">
        <f t="shared" si="84"/>
        <v>344.0384281536526</v>
      </c>
      <c r="P75" s="291">
        <f t="shared" si="84"/>
        <v>344.0384281536526</v>
      </c>
      <c r="Q75" s="291">
        <f t="shared" si="84"/>
        <v>344.0384281536526</v>
      </c>
      <c r="R75" s="291">
        <f t="shared" si="84"/>
        <v>344.0384281536526</v>
      </c>
      <c r="S75" s="291">
        <f t="shared" si="84"/>
        <v>344.0384281536526</v>
      </c>
      <c r="T75" s="291">
        <f t="shared" si="84"/>
        <v>344.0384281536526</v>
      </c>
      <c r="U75" s="291">
        <f t="shared" si="84"/>
        <v>344.0384281536526</v>
      </c>
      <c r="V75" s="312"/>
      <c r="W75" s="313"/>
    </row>
    <row r="76" spans="1:24" s="291" customFormat="1">
      <c r="A76" s="312"/>
      <c r="V76" s="312"/>
      <c r="W76" s="313"/>
    </row>
    <row r="77" spans="1:24" s="291" customFormat="1">
      <c r="A77" s="311" t="s">
        <v>183</v>
      </c>
      <c r="V77" s="312"/>
      <c r="W77" s="313"/>
      <c r="X77" s="316"/>
    </row>
    <row r="78" spans="1:24" s="291" customFormat="1">
      <c r="A78" s="312" t="s">
        <v>174</v>
      </c>
      <c r="B78" s="291">
        <f>B64-B72</f>
        <v>-5097.4136297785753</v>
      </c>
      <c r="C78" s="291">
        <f>C64-C72</f>
        <v>-5903.4868966726108</v>
      </c>
      <c r="D78" s="291">
        <f t="shared" ref="D78:U78" si="85">D64-D72</f>
        <v>2571.1873094536659</v>
      </c>
      <c r="E78" s="291">
        <f t="shared" si="85"/>
        <v>7791.9502434882697</v>
      </c>
      <c r="F78" s="291">
        <f t="shared" si="85"/>
        <v>4741.7382754430628</v>
      </c>
      <c r="G78" s="291">
        <f t="shared" si="85"/>
        <v>6118.0817647553104</v>
      </c>
      <c r="H78" s="291">
        <f t="shared" si="85"/>
        <v>10475.901854701577</v>
      </c>
      <c r="I78" s="291">
        <f t="shared" si="85"/>
        <v>10475.901854701577</v>
      </c>
      <c r="J78" s="291">
        <f t="shared" si="85"/>
        <v>10475.901854701577</v>
      </c>
      <c r="K78" s="291">
        <f t="shared" si="85"/>
        <v>10475.901854701577</v>
      </c>
      <c r="L78" s="291">
        <f t="shared" si="85"/>
        <v>10475.901854701577</v>
      </c>
      <c r="M78" s="291">
        <f t="shared" si="85"/>
        <v>10475.901854701577</v>
      </c>
      <c r="N78" s="291">
        <f t="shared" si="85"/>
        <v>10475.901854701577</v>
      </c>
      <c r="O78" s="291">
        <f t="shared" si="85"/>
        <v>10475.901854701577</v>
      </c>
      <c r="P78" s="291">
        <f t="shared" si="85"/>
        <v>10475.901854701577</v>
      </c>
      <c r="Q78" s="291">
        <f t="shared" si="85"/>
        <v>10475.901854701577</v>
      </c>
      <c r="R78" s="291">
        <f t="shared" si="85"/>
        <v>10475.901854701577</v>
      </c>
      <c r="S78" s="291">
        <f t="shared" si="85"/>
        <v>10475.901854701577</v>
      </c>
      <c r="T78" s="291">
        <f t="shared" si="85"/>
        <v>10475.901854701577</v>
      </c>
      <c r="U78" s="291">
        <f t="shared" si="85"/>
        <v>10475.901854701577</v>
      </c>
      <c r="V78" s="317">
        <f>IRR(B78:U78)</f>
        <v>0.45830798786823013</v>
      </c>
      <c r="W78" s="318">
        <f>NPV(CF!F6,B78:U78)</f>
        <v>84083.352054976509</v>
      </c>
    </row>
    <row r="79" spans="1:24" s="291" customFormat="1">
      <c r="A79" s="312" t="s">
        <v>180</v>
      </c>
      <c r="B79" s="291">
        <f>B64-B73</f>
        <v>-5607.1549927564329</v>
      </c>
      <c r="C79" s="291">
        <f>C64-C73</f>
        <v>-6856.015461256241</v>
      </c>
      <c r="D79" s="291">
        <f t="shared" ref="D79:U79" si="86">D64-D73</f>
        <v>1745.4457463556682</v>
      </c>
      <c r="E79" s="291">
        <f t="shared" si="86"/>
        <v>7280.3978514694827</v>
      </c>
      <c r="F79" s="291">
        <f t="shared" si="86"/>
        <v>4270.8988344786649</v>
      </c>
      <c r="G79" s="291">
        <f t="shared" si="86"/>
        <v>5659.3638605504402</v>
      </c>
      <c r="H79" s="291">
        <f t="shared" si="86"/>
        <v>10452.965959491334</v>
      </c>
      <c r="I79" s="291">
        <f t="shared" si="86"/>
        <v>10452.965959491334</v>
      </c>
      <c r="J79" s="291">
        <f t="shared" si="86"/>
        <v>10452.965959491334</v>
      </c>
      <c r="K79" s="291">
        <f t="shared" si="86"/>
        <v>10452.965959491334</v>
      </c>
      <c r="L79" s="291">
        <f t="shared" si="86"/>
        <v>10452.965959491334</v>
      </c>
      <c r="M79" s="291">
        <f t="shared" si="86"/>
        <v>10452.965959491334</v>
      </c>
      <c r="N79" s="291">
        <f t="shared" si="86"/>
        <v>10452.965959491334</v>
      </c>
      <c r="O79" s="291">
        <f t="shared" si="86"/>
        <v>10452.965959491334</v>
      </c>
      <c r="P79" s="291">
        <f t="shared" si="86"/>
        <v>10452.965959491334</v>
      </c>
      <c r="Q79" s="291">
        <f t="shared" si="86"/>
        <v>10452.965959491334</v>
      </c>
      <c r="R79" s="291">
        <f t="shared" si="86"/>
        <v>10452.965959491334</v>
      </c>
      <c r="S79" s="291">
        <f t="shared" si="86"/>
        <v>10452.965959491334</v>
      </c>
      <c r="T79" s="291">
        <f t="shared" si="86"/>
        <v>10452.965959491334</v>
      </c>
      <c r="U79" s="291">
        <f t="shared" si="86"/>
        <v>10452.965959491334</v>
      </c>
      <c r="V79" s="319">
        <f>IRR(B79:U79)</f>
        <v>0.40047634606227334</v>
      </c>
      <c r="W79" s="320">
        <f t="shared" ref="W79:W88" si="87">NPV(0.1,B79:U79)</f>
        <v>44833.502241549781</v>
      </c>
    </row>
    <row r="80" spans="1:24" s="291" customFormat="1">
      <c r="A80" s="312" t="s">
        <v>181</v>
      </c>
      <c r="B80" s="291">
        <f>B64-B74</f>
        <v>-6116.8963557342904</v>
      </c>
      <c r="C80" s="291">
        <f>C64-C74</f>
        <v>-7808.5440258398712</v>
      </c>
      <c r="D80" s="291">
        <f t="shared" ref="D80:U80" si="88">D64-D74</f>
        <v>919.70418325767059</v>
      </c>
      <c r="E80" s="291">
        <f t="shared" si="88"/>
        <v>6768.8454594506975</v>
      </c>
      <c r="F80" s="291">
        <f t="shared" si="88"/>
        <v>3800.0593935142679</v>
      </c>
      <c r="G80" s="291">
        <f t="shared" si="88"/>
        <v>5200.6459563455701</v>
      </c>
      <c r="H80" s="291">
        <f t="shared" si="88"/>
        <v>10430.030064281089</v>
      </c>
      <c r="I80" s="291">
        <f t="shared" si="88"/>
        <v>10430.030064281089</v>
      </c>
      <c r="J80" s="291">
        <f t="shared" si="88"/>
        <v>10430.030064281089</v>
      </c>
      <c r="K80" s="291">
        <f t="shared" si="88"/>
        <v>10430.030064281089</v>
      </c>
      <c r="L80" s="291">
        <f t="shared" si="88"/>
        <v>10430.030064281089</v>
      </c>
      <c r="M80" s="291">
        <f t="shared" si="88"/>
        <v>10430.030064281089</v>
      </c>
      <c r="N80" s="291">
        <f t="shared" si="88"/>
        <v>10430.030064281089</v>
      </c>
      <c r="O80" s="291">
        <f t="shared" si="88"/>
        <v>10430.030064281089</v>
      </c>
      <c r="P80" s="291">
        <f t="shared" si="88"/>
        <v>10430.030064281089</v>
      </c>
      <c r="Q80" s="291">
        <f t="shared" si="88"/>
        <v>10430.030064281089</v>
      </c>
      <c r="R80" s="291">
        <f t="shared" si="88"/>
        <v>10430.030064281089</v>
      </c>
      <c r="S80" s="291">
        <f t="shared" si="88"/>
        <v>10430.030064281089</v>
      </c>
      <c r="T80" s="291">
        <f t="shared" si="88"/>
        <v>10430.030064281089</v>
      </c>
      <c r="U80" s="291">
        <f t="shared" si="88"/>
        <v>10430.030064281089</v>
      </c>
      <c r="V80" s="319">
        <f t="shared" ref="V80:V88" si="89">IRR(B80:U80)</f>
        <v>0.35398449397849086</v>
      </c>
      <c r="W80" s="320">
        <f t="shared" si="87"/>
        <v>41966.435338661751</v>
      </c>
    </row>
    <row r="81" spans="1:23" s="291" customFormat="1">
      <c r="A81" s="312" t="s">
        <v>182</v>
      </c>
      <c r="B81" s="291">
        <f>B64-B75</f>
        <v>-7646.120444667863</v>
      </c>
      <c r="C81" s="291">
        <f>C64-C75</f>
        <v>-10666.129719590761</v>
      </c>
      <c r="D81" s="291">
        <f t="shared" ref="D81:U81" si="90">D64-D75</f>
        <v>-1557.5205060363223</v>
      </c>
      <c r="E81" s="291">
        <f t="shared" si="90"/>
        <v>5234.1882833943382</v>
      </c>
      <c r="F81" s="291">
        <f t="shared" si="90"/>
        <v>2387.5410706210751</v>
      </c>
      <c r="G81" s="291">
        <f t="shared" si="90"/>
        <v>3824.4922437309597</v>
      </c>
      <c r="H81" s="291">
        <f t="shared" si="90"/>
        <v>10361.22237865036</v>
      </c>
      <c r="I81" s="291">
        <f t="shared" si="90"/>
        <v>10361.22237865036</v>
      </c>
      <c r="J81" s="291">
        <f t="shared" si="90"/>
        <v>10361.22237865036</v>
      </c>
      <c r="K81" s="291">
        <f t="shared" si="90"/>
        <v>10361.22237865036</v>
      </c>
      <c r="L81" s="291">
        <f t="shared" si="90"/>
        <v>10361.22237865036</v>
      </c>
      <c r="M81" s="291">
        <f t="shared" si="90"/>
        <v>10361.22237865036</v>
      </c>
      <c r="N81" s="291">
        <f t="shared" si="90"/>
        <v>10361.22237865036</v>
      </c>
      <c r="O81" s="291">
        <f t="shared" si="90"/>
        <v>10361.22237865036</v>
      </c>
      <c r="P81" s="291">
        <f t="shared" si="90"/>
        <v>10361.22237865036</v>
      </c>
      <c r="Q81" s="291">
        <f t="shared" si="90"/>
        <v>10361.22237865036</v>
      </c>
      <c r="R81" s="291">
        <f t="shared" si="90"/>
        <v>10361.22237865036</v>
      </c>
      <c r="S81" s="291">
        <f t="shared" si="90"/>
        <v>10361.22237865036</v>
      </c>
      <c r="T81" s="291">
        <f t="shared" si="90"/>
        <v>10361.22237865036</v>
      </c>
      <c r="U81" s="291">
        <f t="shared" si="90"/>
        <v>10361.22237865036</v>
      </c>
      <c r="V81" s="319">
        <f t="shared" si="89"/>
        <v>0.25718193273404411</v>
      </c>
      <c r="W81" s="320">
        <f t="shared" si="87"/>
        <v>33365.234629997693</v>
      </c>
    </row>
    <row r="82" spans="1:23" s="291" customFormat="1">
      <c r="A82" s="312" t="s">
        <v>175</v>
      </c>
      <c r="B82" s="291">
        <f>B65-B72</f>
        <v>-5097.4136297785753</v>
      </c>
      <c r="C82" s="291">
        <f>C65-C72</f>
        <v>-5541.3070217562417</v>
      </c>
      <c r="D82" s="291">
        <f t="shared" ref="D82:U82" si="91">D65-D72</f>
        <v>3654.0476034970307</v>
      </c>
      <c r="E82" s="291">
        <f t="shared" si="91"/>
        <v>9082.6976598558831</v>
      </c>
      <c r="F82" s="291">
        <f t="shared" si="91"/>
        <v>5686.7515439517674</v>
      </c>
      <c r="G82" s="291">
        <f t="shared" si="91"/>
        <v>7188.6078454357121</v>
      </c>
      <c r="H82" s="291">
        <f t="shared" si="91"/>
        <v>11546.427935381978</v>
      </c>
      <c r="I82" s="291">
        <f t="shared" si="91"/>
        <v>11546.427935381978</v>
      </c>
      <c r="J82" s="291">
        <f t="shared" si="91"/>
        <v>11546.427935381978</v>
      </c>
      <c r="K82" s="291">
        <f t="shared" si="91"/>
        <v>11546.427935381978</v>
      </c>
      <c r="L82" s="291">
        <f t="shared" si="91"/>
        <v>11546.427935381978</v>
      </c>
      <c r="M82" s="291">
        <f t="shared" si="91"/>
        <v>11546.427935381978</v>
      </c>
      <c r="N82" s="291">
        <f t="shared" si="91"/>
        <v>11546.427935381978</v>
      </c>
      <c r="O82" s="291">
        <f t="shared" si="91"/>
        <v>11546.427935381978</v>
      </c>
      <c r="P82" s="291">
        <f t="shared" si="91"/>
        <v>11546.427935381978</v>
      </c>
      <c r="Q82" s="291">
        <f t="shared" si="91"/>
        <v>11546.427935381978</v>
      </c>
      <c r="R82" s="291">
        <f t="shared" si="91"/>
        <v>11546.427935381978</v>
      </c>
      <c r="S82" s="291">
        <f t="shared" si="91"/>
        <v>11546.427935381978</v>
      </c>
      <c r="T82" s="291">
        <f t="shared" si="91"/>
        <v>11546.427935381978</v>
      </c>
      <c r="U82" s="291">
        <f t="shared" si="91"/>
        <v>11546.427935381978</v>
      </c>
      <c r="V82" s="319">
        <f t="shared" si="89"/>
        <v>0.52430941777419138</v>
      </c>
      <c r="W82" s="320">
        <f t="shared" si="87"/>
        <v>55337.692961769593</v>
      </c>
    </row>
    <row r="83" spans="1:23" s="291" customFormat="1">
      <c r="A83" s="312" t="s">
        <v>176</v>
      </c>
      <c r="B83" s="291">
        <f>B66-B72</f>
        <v>-5097.4136297785753</v>
      </c>
      <c r="C83" s="291">
        <f>C66-C72</f>
        <v>-5179.1271468398727</v>
      </c>
      <c r="D83" s="291">
        <f t="shared" ref="D83:U83" si="92">D66-D72</f>
        <v>4736.9078975403936</v>
      </c>
      <c r="E83" s="291">
        <f t="shared" si="92"/>
        <v>10373.445076223496</v>
      </c>
      <c r="F83" s="291">
        <f t="shared" si="92"/>
        <v>6631.7648124604702</v>
      </c>
      <c r="G83" s="291">
        <f t="shared" si="92"/>
        <v>8259.133926116112</v>
      </c>
      <c r="H83" s="291">
        <f t="shared" si="92"/>
        <v>12616.954016062378</v>
      </c>
      <c r="I83" s="291">
        <f t="shared" si="92"/>
        <v>12616.954016062378</v>
      </c>
      <c r="J83" s="291">
        <f t="shared" si="92"/>
        <v>12616.954016062378</v>
      </c>
      <c r="K83" s="291">
        <f t="shared" si="92"/>
        <v>12616.954016062378</v>
      </c>
      <c r="L83" s="291">
        <f t="shared" si="92"/>
        <v>12616.954016062378</v>
      </c>
      <c r="M83" s="291">
        <f t="shared" si="92"/>
        <v>12616.954016062378</v>
      </c>
      <c r="N83" s="291">
        <f t="shared" si="92"/>
        <v>12616.954016062378</v>
      </c>
      <c r="O83" s="291">
        <f t="shared" si="92"/>
        <v>12616.954016062378</v>
      </c>
      <c r="P83" s="291">
        <f t="shared" si="92"/>
        <v>12616.954016062378</v>
      </c>
      <c r="Q83" s="291">
        <f t="shared" si="92"/>
        <v>12616.954016062378</v>
      </c>
      <c r="R83" s="291">
        <f t="shared" si="92"/>
        <v>12616.954016062378</v>
      </c>
      <c r="S83" s="291">
        <f t="shared" si="92"/>
        <v>12616.954016062378</v>
      </c>
      <c r="T83" s="291">
        <f t="shared" si="92"/>
        <v>12616.954016062378</v>
      </c>
      <c r="U83" s="291">
        <f t="shared" si="92"/>
        <v>12616.954016062378</v>
      </c>
      <c r="V83" s="319">
        <f t="shared" si="89"/>
        <v>0.59251136892112366</v>
      </c>
      <c r="W83" s="320">
        <f t="shared" si="87"/>
        <v>62974.816779101406</v>
      </c>
    </row>
    <row r="84" spans="1:23" s="291" customFormat="1">
      <c r="A84" s="312" t="s">
        <v>177</v>
      </c>
      <c r="B84" s="291">
        <f>B67-B72</f>
        <v>-5097.4136297785753</v>
      </c>
      <c r="C84" s="291">
        <f>C67-C72</f>
        <v>-6265.6667715889798</v>
      </c>
      <c r="D84" s="291">
        <f t="shared" ref="D84:U84" si="93">D67-D72</f>
        <v>1488.3270154103011</v>
      </c>
      <c r="E84" s="291">
        <f t="shared" si="93"/>
        <v>6501.2028271206573</v>
      </c>
      <c r="F84" s="291">
        <f t="shared" si="93"/>
        <v>3796.72500693436</v>
      </c>
      <c r="G84" s="291">
        <f t="shared" si="93"/>
        <v>5047.5556840749086</v>
      </c>
      <c r="H84" s="291">
        <f t="shared" si="93"/>
        <v>9405.3757740211749</v>
      </c>
      <c r="I84" s="291">
        <f t="shared" si="93"/>
        <v>9405.3757740211749</v>
      </c>
      <c r="J84" s="291">
        <f t="shared" si="93"/>
        <v>9405.3757740211749</v>
      </c>
      <c r="K84" s="291">
        <f t="shared" si="93"/>
        <v>9405.3757740211749</v>
      </c>
      <c r="L84" s="291">
        <f t="shared" si="93"/>
        <v>9405.3757740211749</v>
      </c>
      <c r="M84" s="291">
        <f t="shared" si="93"/>
        <v>9405.3757740211749</v>
      </c>
      <c r="N84" s="291">
        <f t="shared" si="93"/>
        <v>9405.3757740211749</v>
      </c>
      <c r="O84" s="291">
        <f t="shared" si="93"/>
        <v>9405.3757740211749</v>
      </c>
      <c r="P84" s="291">
        <f t="shared" si="93"/>
        <v>9405.3757740211749</v>
      </c>
      <c r="Q84" s="291">
        <f t="shared" si="93"/>
        <v>9405.3757740211749</v>
      </c>
      <c r="R84" s="291">
        <f t="shared" si="93"/>
        <v>9405.3757740211749</v>
      </c>
      <c r="S84" s="291">
        <f t="shared" si="93"/>
        <v>9405.3757740211749</v>
      </c>
      <c r="T84" s="291">
        <f t="shared" si="93"/>
        <v>9405.3757740211749</v>
      </c>
      <c r="U84" s="291">
        <f t="shared" si="93"/>
        <v>9405.3757740211749</v>
      </c>
      <c r="V84" s="319">
        <f t="shared" si="89"/>
        <v>0.39481419206069868</v>
      </c>
      <c r="W84" s="320">
        <f t="shared" si="87"/>
        <v>40063.445327105997</v>
      </c>
    </row>
    <row r="85" spans="1:23" s="291" customFormat="1">
      <c r="A85" s="312" t="s">
        <v>178</v>
      </c>
      <c r="B85" s="291">
        <f>B68-B72</f>
        <v>-5097.4136297785753</v>
      </c>
      <c r="C85" s="291">
        <f>C68-C72</f>
        <v>-6627.846646505348</v>
      </c>
      <c r="D85" s="291">
        <f t="shared" ref="D85:U85" si="94">D68-D72</f>
        <v>405.46672136693815</v>
      </c>
      <c r="E85" s="291">
        <f t="shared" si="94"/>
        <v>5210.455410753043</v>
      </c>
      <c r="F85" s="291">
        <f t="shared" si="94"/>
        <v>2851.7117384256553</v>
      </c>
      <c r="G85" s="291">
        <f t="shared" si="94"/>
        <v>3977.0296033945087</v>
      </c>
      <c r="H85" s="291">
        <f t="shared" si="94"/>
        <v>8334.849693340775</v>
      </c>
      <c r="I85" s="291">
        <f t="shared" si="94"/>
        <v>8334.849693340775</v>
      </c>
      <c r="J85" s="291">
        <f t="shared" si="94"/>
        <v>8334.849693340775</v>
      </c>
      <c r="K85" s="291">
        <f t="shared" si="94"/>
        <v>8334.849693340775</v>
      </c>
      <c r="L85" s="291">
        <f t="shared" si="94"/>
        <v>8334.849693340775</v>
      </c>
      <c r="M85" s="291">
        <f t="shared" si="94"/>
        <v>8334.849693340775</v>
      </c>
      <c r="N85" s="291">
        <f t="shared" si="94"/>
        <v>8334.849693340775</v>
      </c>
      <c r="O85" s="291">
        <f t="shared" si="94"/>
        <v>8334.849693340775</v>
      </c>
      <c r="P85" s="291">
        <f t="shared" si="94"/>
        <v>8334.849693340775</v>
      </c>
      <c r="Q85" s="291">
        <f t="shared" si="94"/>
        <v>8334.849693340775</v>
      </c>
      <c r="R85" s="291">
        <f t="shared" si="94"/>
        <v>8334.849693340775</v>
      </c>
      <c r="S85" s="291">
        <f t="shared" si="94"/>
        <v>8334.849693340775</v>
      </c>
      <c r="T85" s="291">
        <f t="shared" si="94"/>
        <v>8334.849693340775</v>
      </c>
      <c r="U85" s="291">
        <f t="shared" si="94"/>
        <v>8334.849693340775</v>
      </c>
      <c r="V85" s="319">
        <f t="shared" si="89"/>
        <v>0.33402972123917252</v>
      </c>
      <c r="W85" s="320">
        <f t="shared" si="87"/>
        <v>32426.321509774196</v>
      </c>
    </row>
    <row r="86" spans="1:23" s="291" customFormat="1">
      <c r="A86" s="312" t="str">
        <f>A69</f>
        <v>benefits  -50%</v>
      </c>
      <c r="B86" s="291">
        <f>B69-B72</f>
        <v>-5097.4136297785753</v>
      </c>
      <c r="C86" s="291">
        <f>C69-C72</f>
        <v>-7714.386271254456</v>
      </c>
      <c r="D86" s="291">
        <f t="shared" ref="D86:U86" si="95">D69-D72</f>
        <v>-2843.1141607631553</v>
      </c>
      <c r="E86" s="291">
        <f t="shared" si="95"/>
        <v>1338.2131616502029</v>
      </c>
      <c r="F86" s="291">
        <f t="shared" si="95"/>
        <v>16.671932899543208</v>
      </c>
      <c r="G86" s="291">
        <f t="shared" si="95"/>
        <v>765.45136135330449</v>
      </c>
      <c r="H86" s="291">
        <f t="shared" si="95"/>
        <v>5123.2714512995708</v>
      </c>
      <c r="I86" s="291">
        <f t="shared" si="95"/>
        <v>5123.2714512995708</v>
      </c>
      <c r="J86" s="291">
        <f t="shared" si="95"/>
        <v>5123.2714512995708</v>
      </c>
      <c r="K86" s="291">
        <f t="shared" si="95"/>
        <v>5123.2714512995708</v>
      </c>
      <c r="L86" s="291">
        <f t="shared" si="95"/>
        <v>5123.2714512995708</v>
      </c>
      <c r="M86" s="291">
        <f t="shared" si="95"/>
        <v>5123.2714512995708</v>
      </c>
      <c r="N86" s="291">
        <f t="shared" si="95"/>
        <v>5123.2714512995708</v>
      </c>
      <c r="O86" s="291">
        <f t="shared" si="95"/>
        <v>5123.2714512995708</v>
      </c>
      <c r="P86" s="291">
        <f t="shared" si="95"/>
        <v>5123.2714512995708</v>
      </c>
      <c r="Q86" s="291">
        <f t="shared" si="95"/>
        <v>5123.2714512995708</v>
      </c>
      <c r="R86" s="291">
        <f t="shared" si="95"/>
        <v>5123.2714512995708</v>
      </c>
      <c r="S86" s="291">
        <f t="shared" si="95"/>
        <v>5123.2714512995708</v>
      </c>
      <c r="T86" s="291">
        <f t="shared" si="95"/>
        <v>5123.2714512995708</v>
      </c>
      <c r="U86" s="291">
        <f t="shared" si="95"/>
        <v>5123.2714512995708</v>
      </c>
      <c r="V86" s="319">
        <f t="shared" si="89"/>
        <v>0.16653389608409297</v>
      </c>
      <c r="W86" s="320">
        <f t="shared" si="87"/>
        <v>9514.9500577787821</v>
      </c>
    </row>
    <row r="87" spans="1:23" s="291" customFormat="1">
      <c r="A87" s="312" t="s">
        <v>184</v>
      </c>
      <c r="B87" s="291">
        <f>0-B72</f>
        <v>-5097.4136297785753</v>
      </c>
      <c r="C87" s="291">
        <f>B64-C72</f>
        <v>-9525.2856458363003</v>
      </c>
      <c r="D87" s="291">
        <f t="shared" ref="D87:U87" si="96">C64-D72</f>
        <v>-4635.6168818162869</v>
      </c>
      <c r="E87" s="291">
        <f t="shared" si="96"/>
        <v>5713.0790202457783</v>
      </c>
      <c r="F87" s="291">
        <f t="shared" si="96"/>
        <v>8199.0797540321582</v>
      </c>
      <c r="G87" s="291">
        <f t="shared" si="96"/>
        <v>4862.9536430383378</v>
      </c>
      <c r="H87" s="291">
        <f t="shared" si="96"/>
        <v>10475.901854701577</v>
      </c>
      <c r="I87" s="291">
        <f t="shared" si="96"/>
        <v>10475.901854701577</v>
      </c>
      <c r="J87" s="291">
        <f t="shared" si="96"/>
        <v>10475.901854701577</v>
      </c>
      <c r="K87" s="291">
        <f t="shared" si="96"/>
        <v>10475.901854701577</v>
      </c>
      <c r="L87" s="291">
        <f t="shared" si="96"/>
        <v>10475.901854701577</v>
      </c>
      <c r="M87" s="291">
        <f t="shared" si="96"/>
        <v>10475.901854701577</v>
      </c>
      <c r="N87" s="291">
        <f t="shared" si="96"/>
        <v>10475.901854701577</v>
      </c>
      <c r="O87" s="291">
        <f t="shared" si="96"/>
        <v>10475.901854701577</v>
      </c>
      <c r="P87" s="291">
        <f t="shared" si="96"/>
        <v>10475.901854701577</v>
      </c>
      <c r="Q87" s="291">
        <f t="shared" si="96"/>
        <v>10475.901854701577</v>
      </c>
      <c r="R87" s="291">
        <f t="shared" si="96"/>
        <v>10475.901854701577</v>
      </c>
      <c r="S87" s="291">
        <f t="shared" si="96"/>
        <v>10475.901854701577</v>
      </c>
      <c r="T87" s="291">
        <f t="shared" si="96"/>
        <v>10475.901854701577</v>
      </c>
      <c r="U87" s="291">
        <f t="shared" si="96"/>
        <v>10475.901854701577</v>
      </c>
      <c r="V87" s="319">
        <f t="shared" si="89"/>
        <v>0.31112239229391259</v>
      </c>
      <c r="W87" s="320">
        <f t="shared" si="87"/>
        <v>39311.121305710687</v>
      </c>
    </row>
    <row r="88" spans="1:23" s="291" customFormat="1">
      <c r="A88" s="312" t="s">
        <v>185</v>
      </c>
      <c r="B88" s="291">
        <f>0-B72</f>
        <v>-5097.4136297785753</v>
      </c>
      <c r="C88" s="291">
        <f>B64-D72</f>
        <v>-8257.4156309799764</v>
      </c>
      <c r="D88" s="291">
        <f t="shared" ref="D88:U88" si="97">C64-E72</f>
        <v>-1493.7251710241744</v>
      </c>
      <c r="E88" s="291">
        <f t="shared" si="97"/>
        <v>6120.2085307896659</v>
      </c>
      <c r="F88" s="291">
        <f t="shared" si="97"/>
        <v>8320.2951216274323</v>
      </c>
      <c r="G88" s="291">
        <f t="shared" si="97"/>
        <v>9220.7737329846041</v>
      </c>
      <c r="H88" s="291">
        <f t="shared" si="97"/>
        <v>10475.901854701577</v>
      </c>
      <c r="I88" s="291">
        <f t="shared" si="97"/>
        <v>10475.901854701577</v>
      </c>
      <c r="J88" s="291">
        <f t="shared" si="97"/>
        <v>10475.901854701577</v>
      </c>
      <c r="K88" s="291">
        <f t="shared" si="97"/>
        <v>10475.901854701577</v>
      </c>
      <c r="L88" s="291">
        <f t="shared" si="97"/>
        <v>10475.901854701577</v>
      </c>
      <c r="M88" s="291">
        <f t="shared" si="97"/>
        <v>10475.901854701577</v>
      </c>
      <c r="N88" s="291">
        <f t="shared" si="97"/>
        <v>10475.901854701577</v>
      </c>
      <c r="O88" s="291">
        <f t="shared" si="97"/>
        <v>10475.901854701577</v>
      </c>
      <c r="P88" s="291">
        <f t="shared" si="97"/>
        <v>10475.901854701577</v>
      </c>
      <c r="Q88" s="291">
        <f t="shared" si="97"/>
        <v>10475.901854701577</v>
      </c>
      <c r="R88" s="291">
        <f t="shared" si="97"/>
        <v>10475.901854701577</v>
      </c>
      <c r="S88" s="291">
        <f t="shared" si="97"/>
        <v>10475.901854701577</v>
      </c>
      <c r="T88" s="291">
        <f t="shared" si="97"/>
        <v>10475.901854701577</v>
      </c>
      <c r="U88" s="291">
        <f t="shared" si="97"/>
        <v>10705.260806804012</v>
      </c>
      <c r="V88" s="319">
        <f t="shared" si="89"/>
        <v>0.38103826145694786</v>
      </c>
      <c r="W88" s="320">
        <f t="shared" si="87"/>
        <v>45566.806229017348</v>
      </c>
    </row>
    <row r="89" spans="1:23" s="291" customFormat="1">
      <c r="W89" s="316"/>
    </row>
    <row r="90" spans="1:23" s="291" customFormat="1">
      <c r="A90" s="362" t="s">
        <v>192</v>
      </c>
      <c r="B90" s="363"/>
      <c r="W90" s="316"/>
    </row>
    <row r="91" spans="1:23" s="291" customFormat="1">
      <c r="A91" s="364" t="s">
        <v>193</v>
      </c>
      <c r="B91" s="363">
        <v>157988</v>
      </c>
      <c r="W91" s="316"/>
    </row>
    <row r="92" spans="1:23" s="291" customFormat="1">
      <c r="A92" s="365" t="s">
        <v>194</v>
      </c>
      <c r="B92" s="321">
        <v>0.313</v>
      </c>
    </row>
    <row r="93" spans="1:23" s="2" customFormat="1">
      <c r="B93" s="13"/>
    </row>
    <row r="96" spans="1:23" s="89" customFormat="1">
      <c r="A96" s="89" t="s">
        <v>195</v>
      </c>
      <c r="C96" s="90"/>
    </row>
    <row r="97" spans="1:5" s="282" customFormat="1" ht="59.45" customHeight="1">
      <c r="A97" s="372" t="s">
        <v>196</v>
      </c>
      <c r="B97" s="373" t="s">
        <v>197</v>
      </c>
      <c r="C97" s="373" t="s">
        <v>198</v>
      </c>
      <c r="D97" s="373" t="s">
        <v>199</v>
      </c>
      <c r="E97" s="373" t="s">
        <v>200</v>
      </c>
    </row>
    <row r="98" spans="1:5" s="282" customFormat="1" ht="27.95">
      <c r="A98" s="366" t="s">
        <v>201</v>
      </c>
      <c r="B98" s="366" t="s">
        <v>202</v>
      </c>
      <c r="C98" s="366" t="s">
        <v>203</v>
      </c>
      <c r="D98" s="367">
        <f>V87</f>
        <v>0.31112239229391259</v>
      </c>
      <c r="E98" s="368">
        <f>W87</f>
        <v>39311.121305710687</v>
      </c>
    </row>
    <row r="99" spans="1:5" s="282" customFormat="1" ht="27.95">
      <c r="A99" s="366" t="s">
        <v>204</v>
      </c>
      <c r="B99" s="366" t="s">
        <v>205</v>
      </c>
      <c r="C99" s="366" t="s">
        <v>206</v>
      </c>
      <c r="D99" s="367">
        <f>V80</f>
        <v>0.35398449397849086</v>
      </c>
      <c r="E99" s="368">
        <f>W80</f>
        <v>41966.435338661751</v>
      </c>
    </row>
    <row r="100" spans="1:5" s="282" customFormat="1" ht="27.95">
      <c r="A100" s="366" t="s">
        <v>207</v>
      </c>
      <c r="B100" s="366" t="s">
        <v>202</v>
      </c>
      <c r="C100" s="366" t="s">
        <v>208</v>
      </c>
      <c r="D100" s="367">
        <f>V84</f>
        <v>0.39481419206069868</v>
      </c>
      <c r="E100" s="368">
        <f>W84</f>
        <v>40063.445327105997</v>
      </c>
    </row>
    <row r="101" spans="1:5" s="282" customFormat="1" ht="27.95">
      <c r="A101" s="366" t="s">
        <v>209</v>
      </c>
      <c r="B101" s="366" t="s">
        <v>210</v>
      </c>
      <c r="C101" s="366" t="s">
        <v>211</v>
      </c>
      <c r="D101" s="367">
        <f>V83</f>
        <v>0.59251136892112366</v>
      </c>
      <c r="E101" s="368">
        <f>W83</f>
        <v>62974.816779101406</v>
      </c>
    </row>
    <row r="102" spans="1:5" s="282" customFormat="1" ht="42">
      <c r="A102" s="369" t="s">
        <v>212</v>
      </c>
      <c r="B102" s="369" t="s">
        <v>202</v>
      </c>
      <c r="C102" s="369" t="s">
        <v>213</v>
      </c>
      <c r="D102" s="370">
        <f>V84</f>
        <v>0.39481419206069868</v>
      </c>
      <c r="E102" s="371">
        <f>W84</f>
        <v>40063.445327105997</v>
      </c>
    </row>
  </sheetData>
  <mergeCells count="20">
    <mergeCell ref="A16:W16"/>
    <mergeCell ref="A17:U17"/>
    <mergeCell ref="A3:U3"/>
    <mergeCell ref="C10:L10"/>
    <mergeCell ref="B11:B12"/>
    <mergeCell ref="C11:D11"/>
    <mergeCell ref="E11:F11"/>
    <mergeCell ref="G11:H11"/>
    <mergeCell ref="I11:J11"/>
    <mergeCell ref="A11:A12"/>
    <mergeCell ref="A60:W60"/>
    <mergeCell ref="A61:U61"/>
    <mergeCell ref="A47:U47"/>
    <mergeCell ref="B55:B56"/>
    <mergeCell ref="C55:D55"/>
    <mergeCell ref="E55:F55"/>
    <mergeCell ref="G55:H55"/>
    <mergeCell ref="I55:J55"/>
    <mergeCell ref="C54:J54"/>
    <mergeCell ref="A55:A56"/>
  </mergeCells>
  <phoneticPr fontId="10" type="noConversion"/>
  <hyperlinks>
    <hyperlink ref="A1" location="ToC!A1" display=" Back to TOC" xr:uid="{FA28FC3C-A289-4483-9880-BF434C88501B}"/>
  </hyperlinks>
  <pageMargins left="0.7" right="0.7" top="0.75" bottom="0.75" header="0.3" footer="0.3"/>
  <pageSetup paperSize="9"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0FDF6-BC2D-40C0-A7FC-CD0E38A5EA6A}">
  <sheetPr>
    <tabColor rgb="FFFFC000"/>
  </sheetPr>
  <dimension ref="A1:L25"/>
  <sheetViews>
    <sheetView topLeftCell="A4" zoomScale="64" zoomScaleNormal="64" workbookViewId="0">
      <selection activeCell="K24" sqref="K24"/>
    </sheetView>
  </sheetViews>
  <sheetFormatPr defaultColWidth="8.7109375" defaultRowHeight="12.95"/>
  <cols>
    <col min="1" max="1" width="57.28515625" style="11" bestFit="1" customWidth="1"/>
    <col min="2" max="2" width="11.5703125" style="11" bestFit="1" customWidth="1"/>
    <col min="3" max="3" width="17.42578125" style="11" bestFit="1" customWidth="1"/>
    <col min="4" max="4" width="18.85546875" style="11" bestFit="1" customWidth="1"/>
    <col min="5" max="5" width="26.85546875" style="11" bestFit="1" customWidth="1"/>
    <col min="6" max="6" width="28.140625" style="11" bestFit="1" customWidth="1"/>
    <col min="7" max="7" width="13" style="11" bestFit="1" customWidth="1"/>
    <col min="8" max="8" width="14.42578125" style="11" bestFit="1" customWidth="1"/>
    <col min="9" max="9" width="7.85546875" style="11" bestFit="1" customWidth="1"/>
    <col min="10" max="10" width="9.42578125" style="11" customWidth="1"/>
    <col min="11" max="12" width="10.42578125" style="11" bestFit="1" customWidth="1"/>
    <col min="13" max="16384" width="8.7109375" style="11"/>
  </cols>
  <sheetData>
    <row r="1" spans="1:8" s="4" customFormat="1">
      <c r="A1" s="3" t="s">
        <v>31</v>
      </c>
    </row>
    <row r="2" spans="1:8">
      <c r="A2" s="14"/>
    </row>
    <row r="3" spans="1:8" s="15" customFormat="1">
      <c r="A3" s="15" t="s">
        <v>214</v>
      </c>
    </row>
    <row r="6" spans="1:8" s="22" customFormat="1">
      <c r="A6" s="22" t="s">
        <v>215</v>
      </c>
    </row>
    <row r="7" spans="1:8" ht="14.45">
      <c r="A7" s="270"/>
      <c r="B7" s="270"/>
      <c r="C7" s="270" t="s">
        <v>216</v>
      </c>
      <c r="D7" s="270"/>
      <c r="E7" s="270"/>
      <c r="F7" s="270"/>
      <c r="G7" s="270"/>
      <c r="H7" s="270"/>
    </row>
    <row r="8" spans="1:8" ht="14.45">
      <c r="A8" s="271" t="s">
        <v>217</v>
      </c>
      <c r="B8" s="271" t="s">
        <v>218</v>
      </c>
      <c r="C8" s="271" t="s">
        <v>219</v>
      </c>
      <c r="D8" s="271" t="s">
        <v>220</v>
      </c>
      <c r="E8" s="271" t="s">
        <v>221</v>
      </c>
      <c r="F8" s="271" t="s">
        <v>222</v>
      </c>
      <c r="G8" s="271" t="s">
        <v>223</v>
      </c>
      <c r="H8" s="271" t="s">
        <v>224</v>
      </c>
    </row>
    <row r="9" spans="1:8" ht="14.45">
      <c r="A9" s="272" t="s">
        <v>225</v>
      </c>
      <c r="B9" t="s">
        <v>226</v>
      </c>
      <c r="C9" s="273">
        <v>17463465</v>
      </c>
      <c r="D9" s="273">
        <v>17463465</v>
      </c>
      <c r="E9" s="273">
        <v>0</v>
      </c>
      <c r="F9" s="273">
        <v>0</v>
      </c>
      <c r="G9" s="273">
        <v>17463465</v>
      </c>
      <c r="H9" s="273">
        <v>17463465</v>
      </c>
    </row>
    <row r="10" spans="1:8" ht="14.45">
      <c r="A10" s="272"/>
      <c r="B10" t="s">
        <v>227</v>
      </c>
      <c r="C10" s="273">
        <v>9738500</v>
      </c>
      <c r="D10" s="273">
        <v>9738500</v>
      </c>
      <c r="E10" s="273">
        <v>0</v>
      </c>
      <c r="F10" s="273">
        <v>0</v>
      </c>
      <c r="G10" s="273">
        <v>9738500</v>
      </c>
      <c r="H10" s="273">
        <v>9738500</v>
      </c>
    </row>
    <row r="11" spans="1:8" ht="14.45">
      <c r="A11" s="272"/>
      <c r="B11" t="s">
        <v>228</v>
      </c>
      <c r="C11" s="273">
        <v>3272080</v>
      </c>
      <c r="D11" s="273">
        <v>3272080</v>
      </c>
      <c r="E11" s="273">
        <v>0</v>
      </c>
      <c r="F11" s="273">
        <v>0</v>
      </c>
      <c r="G11" s="273">
        <v>3272080</v>
      </c>
      <c r="H11" s="273">
        <v>3272080</v>
      </c>
    </row>
    <row r="12" spans="1:8" ht="14.45">
      <c r="A12" s="274"/>
      <c r="B12" t="s">
        <v>229</v>
      </c>
      <c r="C12" s="273">
        <v>5330120</v>
      </c>
      <c r="D12" s="273">
        <v>5330120</v>
      </c>
      <c r="E12" s="273">
        <v>0</v>
      </c>
      <c r="F12" s="273">
        <v>0</v>
      </c>
      <c r="G12" s="273">
        <v>5330120</v>
      </c>
      <c r="H12" s="273">
        <v>5330120</v>
      </c>
    </row>
    <row r="13" spans="1:8" ht="14.45">
      <c r="A13" s="275" t="s">
        <v>230</v>
      </c>
      <c r="B13" s="275"/>
      <c r="C13" s="276">
        <v>35804165</v>
      </c>
      <c r="D13" s="276">
        <v>35804165</v>
      </c>
      <c r="E13" s="276">
        <v>0</v>
      </c>
      <c r="F13" s="276">
        <v>0</v>
      </c>
      <c r="G13" s="276">
        <v>35804165</v>
      </c>
      <c r="H13" s="276">
        <v>35804165</v>
      </c>
    </row>
    <row r="14" spans="1:8" ht="14.45">
      <c r="A14" s="272" t="s">
        <v>231</v>
      </c>
      <c r="B14" t="s">
        <v>232</v>
      </c>
      <c r="C14" s="273">
        <v>1146120</v>
      </c>
      <c r="D14" s="273">
        <v>1146120</v>
      </c>
      <c r="E14" s="273">
        <v>0</v>
      </c>
      <c r="F14" s="273">
        <v>0</v>
      </c>
      <c r="G14" s="273">
        <v>1146120</v>
      </c>
      <c r="H14" s="273">
        <v>1146120</v>
      </c>
    </row>
    <row r="15" spans="1:8" ht="14.45">
      <c r="A15" s="274"/>
      <c r="B15" t="s">
        <v>233</v>
      </c>
      <c r="C15" s="273">
        <v>1109181</v>
      </c>
      <c r="D15" s="273">
        <v>1109181</v>
      </c>
      <c r="E15" s="273">
        <v>0</v>
      </c>
      <c r="F15" s="273">
        <v>0</v>
      </c>
      <c r="G15" s="273">
        <v>1109181</v>
      </c>
      <c r="H15" s="273">
        <v>1109181</v>
      </c>
    </row>
    <row r="16" spans="1:8" ht="14.45">
      <c r="A16" s="275" t="s">
        <v>234</v>
      </c>
      <c r="B16" s="275"/>
      <c r="C16" s="276">
        <v>2255301</v>
      </c>
      <c r="D16" s="276">
        <v>2255301</v>
      </c>
      <c r="E16" s="276">
        <v>0</v>
      </c>
      <c r="F16" s="276">
        <v>0</v>
      </c>
      <c r="G16" s="276">
        <v>2255301</v>
      </c>
      <c r="H16" s="276">
        <v>2255301</v>
      </c>
    </row>
    <row r="17" spans="1:12" ht="14.45">
      <c r="A17" s="274" t="s">
        <v>235</v>
      </c>
      <c r="B17" t="s">
        <v>236</v>
      </c>
      <c r="C17" s="273">
        <v>3185665</v>
      </c>
      <c r="D17" s="273">
        <v>3185665</v>
      </c>
      <c r="E17" s="273">
        <v>0</v>
      </c>
      <c r="F17" s="273">
        <v>0</v>
      </c>
      <c r="G17" s="273">
        <v>3185665</v>
      </c>
      <c r="H17" s="273">
        <v>3185665</v>
      </c>
    </row>
    <row r="18" spans="1:12" ht="14.45">
      <c r="A18" s="275" t="s">
        <v>237</v>
      </c>
      <c r="B18" s="275"/>
      <c r="C18" s="276">
        <v>3185665</v>
      </c>
      <c r="D18" s="276">
        <v>3185665</v>
      </c>
      <c r="E18" s="276">
        <v>0</v>
      </c>
      <c r="F18" s="276">
        <v>0</v>
      </c>
      <c r="G18" s="276">
        <v>3185665</v>
      </c>
      <c r="H18" s="276">
        <v>3185665</v>
      </c>
    </row>
    <row r="19" spans="1:12" ht="14.45">
      <c r="A19" s="274" t="s">
        <v>238</v>
      </c>
      <c r="B19" t="s">
        <v>238</v>
      </c>
      <c r="C19" s="273">
        <v>2353400</v>
      </c>
      <c r="D19" s="273">
        <v>2353400</v>
      </c>
      <c r="E19" s="273">
        <v>0</v>
      </c>
      <c r="F19" s="273">
        <v>0</v>
      </c>
      <c r="G19" s="273">
        <v>2353400</v>
      </c>
      <c r="H19" s="273">
        <v>2353400</v>
      </c>
    </row>
    <row r="20" spans="1:12" ht="14.45">
      <c r="A20" s="275" t="s">
        <v>239</v>
      </c>
      <c r="B20" s="275"/>
      <c r="C20" s="276">
        <v>2353400</v>
      </c>
      <c r="D20" s="276">
        <v>2353400</v>
      </c>
      <c r="E20" s="276">
        <v>0</v>
      </c>
      <c r="F20" s="276">
        <v>0</v>
      </c>
      <c r="G20" s="276">
        <v>2353400</v>
      </c>
      <c r="H20" s="276">
        <v>2353400</v>
      </c>
    </row>
    <row r="21" spans="1:12" ht="14.45">
      <c r="A21" s="277" t="s">
        <v>240</v>
      </c>
      <c r="B21" s="277"/>
      <c r="C21" s="278">
        <v>43598531</v>
      </c>
      <c r="D21" s="278">
        <v>43598531</v>
      </c>
      <c r="E21" s="278">
        <v>0</v>
      </c>
      <c r="F21" s="278">
        <v>0</v>
      </c>
      <c r="G21" s="278">
        <v>43598531</v>
      </c>
      <c r="H21" s="278">
        <v>43598531</v>
      </c>
    </row>
    <row r="23" spans="1:12" ht="15" thickBot="1">
      <c r="A23" s="281" t="s">
        <v>241</v>
      </c>
      <c r="B23" s="281" t="s">
        <v>242</v>
      </c>
      <c r="C23" s="281" t="s">
        <v>243</v>
      </c>
      <c r="D23" s="281" t="s">
        <v>244</v>
      </c>
      <c r="E23" s="281" t="s">
        <v>245</v>
      </c>
      <c r="F23" s="281" t="s">
        <v>246</v>
      </c>
      <c r="G23" s="281" t="s">
        <v>247</v>
      </c>
      <c r="H23" s="281" t="s">
        <v>248</v>
      </c>
      <c r="I23" s="281" t="s">
        <v>249</v>
      </c>
      <c r="J23" s="281" t="s">
        <v>250</v>
      </c>
      <c r="K23" s="281" t="s">
        <v>251</v>
      </c>
    </row>
    <row r="24" spans="1:12" ht="15.6" thickTop="1" thickBot="1">
      <c r="A24" s="354">
        <v>5857287.5</v>
      </c>
      <c r="B24" s="355">
        <v>10945224.5</v>
      </c>
      <c r="C24" s="355">
        <v>9488352.5</v>
      </c>
      <c r="D24" s="355">
        <v>5878097.5</v>
      </c>
      <c r="E24" s="355">
        <v>5410277</v>
      </c>
      <c r="F24" s="355">
        <v>5270992</v>
      </c>
      <c r="G24" s="355">
        <v>0</v>
      </c>
      <c r="H24" s="355">
        <v>0</v>
      </c>
      <c r="I24" s="355">
        <v>0</v>
      </c>
      <c r="J24" s="355">
        <v>0</v>
      </c>
      <c r="K24" s="356">
        <v>42850231</v>
      </c>
      <c r="L24" s="31" t="s">
        <v>252</v>
      </c>
    </row>
    <row r="25" spans="1:12" ht="15" thickTop="1">
      <c r="A25" s="279">
        <f>A24*CF!$B$8</f>
        <v>5097413.6297785752</v>
      </c>
      <c r="B25" s="279">
        <f>B24*CF!$B$8</f>
        <v>9525285.6458363011</v>
      </c>
      <c r="C25" s="279">
        <f>C24*CF!$B$8</f>
        <v>8257415.6309799757</v>
      </c>
      <c r="D25" s="279">
        <f>D24*CF!$B$8</f>
        <v>5115523.9201878635</v>
      </c>
      <c r="E25" s="279">
        <f>E24*CF!$B$8</f>
        <v>4708394.409643976</v>
      </c>
      <c r="F25" s="279">
        <f>F24*CF!$B$8</f>
        <v>4587179.0420487011</v>
      </c>
      <c r="G25" s="279">
        <f>G24*CF!$B$8</f>
        <v>0</v>
      </c>
      <c r="H25" s="279">
        <f>H24*CF!$B$8</f>
        <v>0</v>
      </c>
      <c r="I25" s="279">
        <f>I24*CF!$B$8</f>
        <v>0</v>
      </c>
      <c r="J25" s="279">
        <f>J24*CF!$B$8</f>
        <v>0</v>
      </c>
      <c r="K25" s="280">
        <f>SUM(A25:J25)</f>
        <v>37291212.278475389</v>
      </c>
      <c r="L25" s="31" t="s">
        <v>253</v>
      </c>
    </row>
  </sheetData>
  <phoneticPr fontId="10" type="noConversion"/>
  <hyperlinks>
    <hyperlink ref="A1" location="ToC!A1" display=" Back to TOC" xr:uid="{42A07F3A-95C4-4CDE-817F-CCE2832BB50F}"/>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5DB37-D7AF-40A2-988B-B0E5256CF468}">
  <sheetPr>
    <tabColor rgb="FFFFC000"/>
  </sheetPr>
  <dimension ref="A1:HN58"/>
  <sheetViews>
    <sheetView topLeftCell="A4" zoomScale="70" zoomScaleNormal="70" workbookViewId="0">
      <selection activeCell="A11" sqref="A11:I15"/>
    </sheetView>
  </sheetViews>
  <sheetFormatPr defaultColWidth="8.7109375" defaultRowHeight="12.95"/>
  <cols>
    <col min="1" max="1" width="27.42578125" style="17" customWidth="1"/>
    <col min="2" max="2" width="8.5703125" style="17" customWidth="1"/>
    <col min="3" max="3" width="9" style="17" customWidth="1"/>
    <col min="4" max="4" width="11.85546875" style="17" customWidth="1"/>
    <col min="5" max="5" width="10.5703125" style="17" customWidth="1"/>
    <col min="6" max="6" width="9" style="17" customWidth="1"/>
    <col min="7" max="7" width="10.28515625" style="17" customWidth="1"/>
    <col min="8" max="8" width="10.140625" style="17" bestFit="1" customWidth="1"/>
    <col min="9" max="9" width="9" style="17" customWidth="1"/>
    <col min="10" max="10" width="10.140625" style="17" bestFit="1" customWidth="1"/>
    <col min="11" max="11" width="8.7109375" style="17" customWidth="1"/>
    <col min="12" max="12" width="9.5703125" style="17" bestFit="1" customWidth="1"/>
    <col min="13" max="13" width="10" style="17" bestFit="1" customWidth="1"/>
    <col min="14" max="14" width="9.5703125" style="17" bestFit="1" customWidth="1"/>
    <col min="15" max="15" width="8.85546875" style="17" bestFit="1" customWidth="1"/>
    <col min="16" max="16" width="9.42578125" style="17" bestFit="1" customWidth="1"/>
    <col min="17" max="17" width="10.28515625" style="17" bestFit="1" customWidth="1"/>
    <col min="18" max="19" width="14.7109375" style="17" bestFit="1" customWidth="1"/>
    <col min="20" max="20" width="15.5703125" style="17" bestFit="1" customWidth="1"/>
    <col min="21" max="16384" width="8.7109375" style="17"/>
  </cols>
  <sheetData>
    <row r="1" spans="1:222" s="4" customFormat="1">
      <c r="A1" s="3" t="s">
        <v>31</v>
      </c>
    </row>
    <row r="2" spans="1:222" s="11" customFormat="1"/>
    <row r="3" spans="1:222" s="212" customFormat="1">
      <c r="A3" s="211" t="s">
        <v>254</v>
      </c>
    </row>
    <row r="4" spans="1:222" ht="26.1">
      <c r="A4" s="250" t="s">
        <v>255</v>
      </c>
      <c r="B4" s="250"/>
      <c r="C4" s="231" t="s">
        <v>256</v>
      </c>
      <c r="D4" s="16"/>
      <c r="E4" s="16"/>
      <c r="F4" s="16"/>
      <c r="G4" s="16"/>
      <c r="H4" s="16"/>
    </row>
    <row r="5" spans="1:222" s="18" customFormat="1">
      <c r="A5" s="232">
        <v>450000</v>
      </c>
      <c r="B5" s="223" t="s">
        <v>257</v>
      </c>
      <c r="C5" s="16"/>
      <c r="D5" s="16"/>
      <c r="E5" s="16"/>
      <c r="F5" s="16"/>
      <c r="G5" s="16"/>
      <c r="H5" s="16"/>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c r="BT5" s="17"/>
      <c r="BU5" s="17"/>
      <c r="BV5" s="17"/>
      <c r="BW5" s="17"/>
      <c r="BX5" s="17"/>
      <c r="BY5" s="17"/>
      <c r="BZ5" s="17"/>
      <c r="CA5" s="17"/>
      <c r="CB5" s="17"/>
      <c r="CC5" s="17"/>
    </row>
    <row r="6" spans="1:222" s="18" customFormat="1">
      <c r="A6" s="232">
        <v>4.42</v>
      </c>
      <c r="B6" s="223" t="s">
        <v>258</v>
      </c>
      <c r="C6" s="16"/>
      <c r="D6" s="16"/>
      <c r="E6" s="16"/>
      <c r="F6" s="16"/>
      <c r="G6" s="16"/>
      <c r="H6" s="16"/>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row>
    <row r="7" spans="1:222" s="18" customFormat="1">
      <c r="A7" s="232">
        <f>A6*A5</f>
        <v>1989000</v>
      </c>
      <c r="B7" s="223" t="s">
        <v>259</v>
      </c>
      <c r="C7" s="16"/>
      <c r="D7" s="16"/>
      <c r="E7" s="16"/>
      <c r="F7" s="16"/>
      <c r="G7" s="16"/>
      <c r="H7" s="16"/>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row>
    <row r="8" spans="1:222" s="19" customFormat="1">
      <c r="A8" s="233">
        <v>1.98</v>
      </c>
      <c r="B8" s="223" t="s">
        <v>260</v>
      </c>
      <c r="C8" s="16"/>
      <c r="D8" s="16"/>
      <c r="E8" s="16"/>
      <c r="F8" s="16"/>
      <c r="G8" s="16"/>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c r="BY8" s="17"/>
      <c r="BZ8" s="17"/>
      <c r="CA8" s="17"/>
      <c r="CB8" s="17"/>
      <c r="CC8" s="17"/>
    </row>
    <row r="9" spans="1:222" s="19" customFormat="1">
      <c r="A9" s="233">
        <f>A5*A8</f>
        <v>891000</v>
      </c>
      <c r="B9" s="223" t="s">
        <v>261</v>
      </c>
      <c r="C9" s="16"/>
      <c r="D9" s="16"/>
      <c r="E9" s="16"/>
      <c r="F9" s="16"/>
      <c r="G9" s="16"/>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7"/>
      <c r="CB9" s="17"/>
      <c r="CC9" s="17"/>
    </row>
    <row r="10" spans="1:222" s="19" customFormat="1">
      <c r="A10" s="17"/>
      <c r="B10" s="17"/>
      <c r="C10" s="16"/>
      <c r="D10" s="16"/>
      <c r="E10" s="16"/>
      <c r="F10" s="16"/>
      <c r="G10" s="16"/>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row>
    <row r="11" spans="1:222" s="220" customFormat="1">
      <c r="A11" s="221" t="s">
        <v>262</v>
      </c>
      <c r="B11" s="221"/>
      <c r="C11" s="222" t="s">
        <v>130</v>
      </c>
      <c r="D11" s="222" t="s">
        <v>131</v>
      </c>
      <c r="E11" s="222" t="s">
        <v>132</v>
      </c>
      <c r="F11" s="222" t="s">
        <v>133</v>
      </c>
      <c r="G11" s="222" t="s">
        <v>134</v>
      </c>
      <c r="H11" s="222" t="s">
        <v>135</v>
      </c>
      <c r="I11" s="222" t="s">
        <v>263</v>
      </c>
      <c r="K11" s="223"/>
      <c r="M11" s="223"/>
      <c r="N11" s="223"/>
      <c r="O11" s="223"/>
      <c r="P11" s="223"/>
      <c r="Q11" s="223"/>
      <c r="R11" s="223"/>
      <c r="S11" s="223"/>
      <c r="T11" s="223"/>
      <c r="U11" s="223"/>
      <c r="V11" s="223"/>
      <c r="W11" s="223"/>
      <c r="X11" s="223"/>
      <c r="Y11" s="223"/>
      <c r="Z11" s="223"/>
      <c r="AA11" s="223"/>
      <c r="AB11" s="223"/>
      <c r="AC11" s="223"/>
      <c r="AD11" s="223"/>
      <c r="AE11" s="223"/>
      <c r="AF11" s="223"/>
      <c r="AG11" s="223"/>
      <c r="AH11" s="223"/>
      <c r="AI11" s="223"/>
      <c r="AJ11" s="223"/>
      <c r="AK11" s="223"/>
      <c r="AL11" s="223"/>
      <c r="AM11" s="223"/>
      <c r="AN11" s="223"/>
      <c r="AO11" s="223"/>
      <c r="AP11" s="223"/>
      <c r="AQ11" s="223"/>
      <c r="AR11" s="223"/>
      <c r="AS11" s="223"/>
      <c r="AT11" s="223"/>
      <c r="AU11" s="223"/>
      <c r="AV11" s="223"/>
      <c r="AW11" s="223"/>
      <c r="AX11" s="223"/>
      <c r="AY11" s="223"/>
      <c r="AZ11" s="223"/>
      <c r="BA11" s="223"/>
      <c r="BB11" s="223"/>
      <c r="BC11" s="223"/>
      <c r="BD11" s="223"/>
      <c r="BE11" s="223"/>
      <c r="BF11" s="223"/>
      <c r="BG11" s="223"/>
      <c r="BH11" s="223"/>
      <c r="BI11" s="223"/>
      <c r="BJ11" s="223"/>
      <c r="BK11" s="223"/>
      <c r="BL11" s="223"/>
      <c r="BM11" s="223"/>
      <c r="BN11" s="223"/>
      <c r="BO11" s="223"/>
      <c r="BP11" s="223"/>
      <c r="BQ11" s="223"/>
      <c r="BR11" s="223"/>
      <c r="BS11" s="223"/>
      <c r="BT11" s="223"/>
      <c r="BU11" s="223"/>
      <c r="BV11" s="223"/>
      <c r="BW11" s="223"/>
      <c r="BX11" s="223"/>
      <c r="BY11" s="223"/>
      <c r="BZ11" s="223"/>
      <c r="CA11" s="223"/>
      <c r="CB11" s="223"/>
      <c r="CC11" s="223"/>
    </row>
    <row r="12" spans="1:222" s="220" customFormat="1">
      <c r="A12" s="220" t="s">
        <v>264</v>
      </c>
      <c r="B12" s="358" t="s">
        <v>95</v>
      </c>
      <c r="C12" s="224">
        <f>COSTS!A24/COSTS!$K$24</f>
        <v>0.13669208691080334</v>
      </c>
      <c r="D12" s="224">
        <f>COSTS!B24/COSTS!$K$24</f>
        <v>0.25542976652797972</v>
      </c>
      <c r="E12" s="224">
        <f>COSTS!C24/COSTS!$K$24</f>
        <v>0.22143060325625782</v>
      </c>
      <c r="F12" s="224">
        <f>COSTS!D24/COSTS!$K$24</f>
        <v>0.13717773190067517</v>
      </c>
      <c r="G12" s="224">
        <f>COSTS!E24/COSTS!$K$24</f>
        <v>0.12626015948432109</v>
      </c>
      <c r="H12" s="224">
        <f>COSTS!F24/COSTS!$K$24</f>
        <v>0.12300965191996281</v>
      </c>
      <c r="I12" s="225">
        <f>SUM(C12:H12)</f>
        <v>1</v>
      </c>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c r="AN12" s="223"/>
      <c r="AO12" s="223"/>
      <c r="AP12" s="223"/>
      <c r="AQ12" s="223"/>
      <c r="AR12" s="223"/>
      <c r="AS12" s="223"/>
      <c r="AT12" s="223"/>
      <c r="AU12" s="223"/>
      <c r="AV12" s="223"/>
      <c r="AW12" s="223"/>
      <c r="AX12" s="223"/>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c r="BX12" s="223"/>
      <c r="BY12" s="223"/>
      <c r="BZ12" s="223"/>
      <c r="CA12" s="223"/>
      <c r="CB12" s="223"/>
      <c r="CC12" s="223"/>
    </row>
    <row r="13" spans="1:222" s="220" customFormat="1">
      <c r="A13" s="220" t="s">
        <v>265</v>
      </c>
      <c r="B13" s="358" t="s">
        <v>266</v>
      </c>
      <c r="C13" s="226">
        <f t="shared" ref="C13:H13" si="0">$A$5*C12</f>
        <v>61511.439109861501</v>
      </c>
      <c r="D13" s="226">
        <f t="shared" si="0"/>
        <v>114943.39493759087</v>
      </c>
      <c r="E13" s="226">
        <f t="shared" si="0"/>
        <v>99643.771465316022</v>
      </c>
      <c r="F13" s="226">
        <f t="shared" si="0"/>
        <v>61729.979355303825</v>
      </c>
      <c r="G13" s="226">
        <f t="shared" si="0"/>
        <v>56817.071767944493</v>
      </c>
      <c r="H13" s="226">
        <f t="shared" si="0"/>
        <v>55354.343363983266</v>
      </c>
      <c r="I13" s="357">
        <f>SUM(C13:H13)</f>
        <v>449999.99999999994</v>
      </c>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row>
    <row r="14" spans="1:222" s="223" customFormat="1">
      <c r="A14" s="220" t="s">
        <v>154</v>
      </c>
      <c r="B14" s="359" t="s">
        <v>95</v>
      </c>
      <c r="C14" s="224">
        <v>0.25</v>
      </c>
      <c r="D14" s="224">
        <v>0.4</v>
      </c>
      <c r="E14" s="224">
        <v>0.55000000000000004</v>
      </c>
      <c r="F14" s="224">
        <v>0.65</v>
      </c>
      <c r="G14" s="224">
        <v>0.8</v>
      </c>
      <c r="H14" s="224">
        <v>0.95</v>
      </c>
      <c r="I14" s="227">
        <f>AVERAGE(C14:H14)</f>
        <v>0.60000000000000009</v>
      </c>
      <c r="J14" s="220"/>
      <c r="K14" s="220"/>
      <c r="L14" s="220"/>
      <c r="AN14" s="220"/>
      <c r="AO14" s="220"/>
      <c r="AP14" s="220"/>
      <c r="AQ14" s="220"/>
      <c r="AR14" s="220"/>
      <c r="AS14" s="220"/>
      <c r="AT14" s="220"/>
      <c r="AU14" s="220"/>
      <c r="AV14" s="220"/>
      <c r="AW14" s="220"/>
      <c r="AX14" s="220"/>
      <c r="AY14" s="220"/>
      <c r="AZ14" s="220"/>
      <c r="BA14" s="220"/>
      <c r="BB14" s="220"/>
      <c r="BC14" s="220"/>
      <c r="BD14" s="220"/>
      <c r="BE14" s="220"/>
      <c r="BF14" s="220"/>
      <c r="BG14" s="220"/>
      <c r="BH14" s="220"/>
      <c r="BI14" s="220"/>
      <c r="BJ14" s="220"/>
      <c r="BK14" s="220"/>
      <c r="BL14" s="220"/>
      <c r="BM14" s="220"/>
      <c r="BN14" s="220"/>
      <c r="BO14" s="220"/>
      <c r="BP14" s="220"/>
      <c r="BQ14" s="220"/>
      <c r="BR14" s="220"/>
      <c r="BS14" s="220"/>
      <c r="BT14" s="220"/>
      <c r="BU14" s="220"/>
      <c r="BV14" s="220"/>
      <c r="BW14" s="220"/>
      <c r="BX14" s="220"/>
      <c r="BY14" s="220"/>
      <c r="BZ14" s="220"/>
      <c r="CA14" s="220"/>
      <c r="CB14" s="220"/>
      <c r="CC14" s="220"/>
      <c r="CD14" s="220"/>
      <c r="CE14" s="220"/>
      <c r="CF14" s="220"/>
      <c r="CG14" s="220"/>
      <c r="CH14" s="220"/>
      <c r="CI14" s="220"/>
      <c r="CJ14" s="220"/>
      <c r="CK14" s="220"/>
      <c r="CL14" s="220"/>
      <c r="CM14" s="220"/>
      <c r="CN14" s="220"/>
      <c r="CO14" s="220"/>
      <c r="CP14" s="220"/>
      <c r="CQ14" s="220"/>
      <c r="CR14" s="220"/>
      <c r="CS14" s="220"/>
      <c r="CT14" s="220"/>
      <c r="CU14" s="220"/>
      <c r="CV14" s="220"/>
      <c r="CW14" s="220"/>
      <c r="CX14" s="220"/>
      <c r="CY14" s="220"/>
      <c r="CZ14" s="220"/>
      <c r="DA14" s="220"/>
      <c r="DB14" s="220"/>
      <c r="DC14" s="220"/>
      <c r="DD14" s="220"/>
      <c r="DE14" s="220"/>
      <c r="DF14" s="220"/>
      <c r="DG14" s="220"/>
      <c r="DH14" s="220"/>
      <c r="DI14" s="220"/>
      <c r="DJ14" s="220"/>
      <c r="DK14" s="220"/>
      <c r="DL14" s="220"/>
      <c r="DM14" s="220"/>
      <c r="DN14" s="220"/>
      <c r="DO14" s="220"/>
      <c r="DP14" s="220"/>
      <c r="DQ14" s="220"/>
      <c r="DR14" s="220"/>
      <c r="DS14" s="220"/>
      <c r="DT14" s="220"/>
      <c r="DU14" s="220"/>
      <c r="DV14" s="220"/>
      <c r="DW14" s="220"/>
      <c r="DX14" s="220"/>
      <c r="DY14" s="220"/>
      <c r="DZ14" s="220"/>
      <c r="EA14" s="220"/>
      <c r="EB14" s="220"/>
      <c r="EC14" s="220"/>
      <c r="ED14" s="220"/>
      <c r="EE14" s="220"/>
      <c r="EF14" s="220"/>
      <c r="EG14" s="220"/>
      <c r="EH14" s="220"/>
      <c r="EI14" s="220"/>
      <c r="EJ14" s="220"/>
      <c r="EK14" s="220"/>
      <c r="EL14" s="220"/>
      <c r="EM14" s="220"/>
      <c r="EN14" s="220"/>
      <c r="EO14" s="220"/>
      <c r="EP14" s="220"/>
      <c r="EQ14" s="220"/>
      <c r="ER14" s="220"/>
      <c r="ES14" s="220"/>
      <c r="ET14" s="220"/>
      <c r="EU14" s="220"/>
      <c r="EV14" s="220"/>
      <c r="EW14" s="220"/>
      <c r="EX14" s="220"/>
      <c r="EY14" s="220"/>
      <c r="EZ14" s="220"/>
      <c r="FA14" s="220"/>
      <c r="FB14" s="220"/>
      <c r="FC14" s="220"/>
      <c r="FD14" s="220"/>
      <c r="FE14" s="220"/>
      <c r="FF14" s="220"/>
      <c r="FG14" s="220"/>
      <c r="FH14" s="220"/>
      <c r="FI14" s="220"/>
      <c r="FJ14" s="220"/>
      <c r="FK14" s="220"/>
      <c r="FL14" s="220"/>
      <c r="FM14" s="220"/>
      <c r="FN14" s="220"/>
      <c r="FO14" s="220"/>
      <c r="FP14" s="220"/>
      <c r="FQ14" s="220"/>
      <c r="FR14" s="220"/>
      <c r="FS14" s="220"/>
      <c r="FT14" s="220"/>
      <c r="FU14" s="220"/>
      <c r="FV14" s="220"/>
      <c r="FW14" s="220"/>
      <c r="FX14" s="220"/>
      <c r="FY14" s="220"/>
      <c r="FZ14" s="220"/>
      <c r="GA14" s="220"/>
      <c r="GB14" s="220"/>
      <c r="GC14" s="220"/>
      <c r="GD14" s="220"/>
      <c r="GE14" s="220"/>
      <c r="GF14" s="220"/>
      <c r="GG14" s="220"/>
      <c r="GH14" s="220"/>
      <c r="GI14" s="220"/>
      <c r="GJ14" s="220"/>
      <c r="GK14" s="220"/>
      <c r="GL14" s="220"/>
      <c r="GM14" s="220"/>
      <c r="GN14" s="220"/>
      <c r="GO14" s="220"/>
      <c r="GP14" s="220"/>
      <c r="GQ14" s="220"/>
      <c r="GR14" s="220"/>
      <c r="GS14" s="220"/>
      <c r="GT14" s="220"/>
      <c r="GU14" s="220"/>
      <c r="GV14" s="220"/>
      <c r="GW14" s="220"/>
      <c r="GX14" s="220"/>
      <c r="GY14" s="220"/>
      <c r="GZ14" s="220"/>
      <c r="HA14" s="220"/>
      <c r="HB14" s="220"/>
      <c r="HC14" s="220"/>
      <c r="HD14" s="220"/>
      <c r="HE14" s="220"/>
      <c r="HF14" s="220"/>
      <c r="HG14" s="220"/>
      <c r="HH14" s="220"/>
      <c r="HI14" s="220"/>
      <c r="HJ14" s="220"/>
      <c r="HK14" s="220"/>
      <c r="HL14" s="220"/>
      <c r="HM14" s="220"/>
      <c r="HN14" s="220"/>
    </row>
    <row r="15" spans="1:222" s="230" customFormat="1">
      <c r="A15" s="228" t="s">
        <v>267</v>
      </c>
      <c r="B15" s="360" t="s">
        <v>266</v>
      </c>
      <c r="C15" s="229">
        <f>C13*C14</f>
        <v>15377.859777465375</v>
      </c>
      <c r="D15" s="229">
        <f t="shared" ref="D15:H15" si="1">D13*D14</f>
        <v>45977.35797503635</v>
      </c>
      <c r="E15" s="229">
        <f t="shared" si="1"/>
        <v>54804.074305923816</v>
      </c>
      <c r="F15" s="229">
        <f t="shared" si="1"/>
        <v>40124.486580947487</v>
      </c>
      <c r="G15" s="229">
        <f t="shared" si="1"/>
        <v>45453.657414355599</v>
      </c>
      <c r="H15" s="229">
        <f t="shared" si="1"/>
        <v>52586.626195784098</v>
      </c>
      <c r="I15" s="229">
        <f>SUM(C15:H15)</f>
        <v>254324.06224951273</v>
      </c>
      <c r="J15" s="220"/>
      <c r="K15" s="220"/>
      <c r="L15" s="220"/>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0"/>
      <c r="AO15" s="220"/>
      <c r="AP15" s="220"/>
      <c r="AQ15" s="220"/>
      <c r="AR15" s="220"/>
      <c r="AS15" s="220"/>
      <c r="AT15" s="220"/>
      <c r="AU15" s="220"/>
      <c r="AV15" s="220"/>
      <c r="AW15" s="220"/>
      <c r="AX15" s="220"/>
      <c r="AY15" s="220"/>
      <c r="AZ15" s="220"/>
      <c r="BA15" s="220"/>
      <c r="BB15" s="220"/>
      <c r="BC15" s="220"/>
      <c r="BD15" s="220"/>
      <c r="BE15" s="220"/>
      <c r="BF15" s="220"/>
      <c r="BG15" s="220"/>
      <c r="BH15" s="220"/>
      <c r="BI15" s="220"/>
      <c r="BJ15" s="220"/>
      <c r="BK15" s="220"/>
      <c r="BL15" s="220"/>
      <c r="BM15" s="220"/>
      <c r="BN15" s="220"/>
      <c r="BO15" s="220"/>
      <c r="BP15" s="220"/>
      <c r="BQ15" s="220"/>
      <c r="BR15" s="220"/>
      <c r="BS15" s="220"/>
      <c r="BT15" s="220"/>
      <c r="BU15" s="220"/>
      <c r="BV15" s="220"/>
      <c r="BW15" s="220"/>
      <c r="BX15" s="220"/>
      <c r="BY15" s="220"/>
      <c r="BZ15" s="220"/>
      <c r="CA15" s="220"/>
      <c r="CB15" s="220"/>
      <c r="CC15" s="220"/>
      <c r="CD15" s="220"/>
      <c r="CE15" s="220"/>
      <c r="CF15" s="220"/>
      <c r="CG15" s="220"/>
      <c r="CH15" s="220"/>
      <c r="CI15" s="220"/>
      <c r="CJ15" s="220"/>
      <c r="CK15" s="220"/>
      <c r="CL15" s="220"/>
      <c r="CM15" s="220"/>
      <c r="CN15" s="220"/>
      <c r="CO15" s="220"/>
      <c r="CP15" s="220"/>
      <c r="CQ15" s="220"/>
      <c r="CR15" s="220"/>
      <c r="CS15" s="220"/>
      <c r="CT15" s="220"/>
      <c r="CU15" s="220"/>
      <c r="CV15" s="220"/>
      <c r="CW15" s="220"/>
      <c r="CX15" s="220"/>
      <c r="CY15" s="220"/>
      <c r="CZ15" s="220"/>
      <c r="DA15" s="220"/>
      <c r="DB15" s="220"/>
      <c r="DC15" s="220"/>
      <c r="DD15" s="220"/>
      <c r="DE15" s="220"/>
      <c r="DF15" s="220"/>
      <c r="DG15" s="220"/>
      <c r="DH15" s="220"/>
      <c r="DI15" s="220"/>
      <c r="DJ15" s="220"/>
      <c r="DK15" s="220"/>
      <c r="DL15" s="220"/>
      <c r="DM15" s="220"/>
      <c r="DN15" s="220"/>
      <c r="DO15" s="220"/>
      <c r="DP15" s="220"/>
      <c r="DQ15" s="220"/>
      <c r="DR15" s="220"/>
      <c r="DS15" s="220"/>
      <c r="DT15" s="220"/>
      <c r="DU15" s="220"/>
      <c r="DV15" s="220"/>
      <c r="DW15" s="220"/>
      <c r="DX15" s="220"/>
      <c r="DY15" s="220"/>
      <c r="DZ15" s="220"/>
      <c r="EA15" s="220"/>
      <c r="EB15" s="220"/>
      <c r="EC15" s="220"/>
      <c r="ED15" s="220"/>
      <c r="EE15" s="220"/>
      <c r="EF15" s="220"/>
      <c r="EG15" s="220"/>
      <c r="EH15" s="220"/>
      <c r="EI15" s="220"/>
      <c r="EJ15" s="220"/>
      <c r="EK15" s="220"/>
      <c r="EL15" s="220"/>
      <c r="EM15" s="220"/>
      <c r="EN15" s="220"/>
      <c r="EO15" s="220"/>
      <c r="EP15" s="220"/>
      <c r="EQ15" s="220"/>
      <c r="ER15" s="220"/>
      <c r="ES15" s="220"/>
      <c r="ET15" s="220"/>
      <c r="EU15" s="220"/>
      <c r="EV15" s="220"/>
      <c r="EW15" s="220"/>
      <c r="EX15" s="220"/>
      <c r="EY15" s="220"/>
      <c r="EZ15" s="220"/>
      <c r="FA15" s="220"/>
      <c r="FB15" s="220"/>
      <c r="FC15" s="220"/>
      <c r="FD15" s="220"/>
      <c r="FE15" s="220"/>
      <c r="FF15" s="220"/>
      <c r="FG15" s="220"/>
      <c r="FH15" s="220"/>
      <c r="FI15" s="220"/>
      <c r="FJ15" s="220"/>
      <c r="FK15" s="220"/>
      <c r="FL15" s="220"/>
      <c r="FM15" s="220"/>
      <c r="FN15" s="220"/>
      <c r="FO15" s="220"/>
      <c r="FP15" s="220"/>
      <c r="FQ15" s="220"/>
      <c r="FR15" s="220"/>
      <c r="FS15" s="220"/>
      <c r="FT15" s="220"/>
      <c r="FU15" s="220"/>
      <c r="FV15" s="220"/>
      <c r="FW15" s="220"/>
      <c r="FX15" s="220"/>
      <c r="FY15" s="220"/>
      <c r="FZ15" s="220"/>
      <c r="GA15" s="220"/>
      <c r="GB15" s="220"/>
      <c r="GC15" s="220"/>
      <c r="GD15" s="220"/>
      <c r="GE15" s="220"/>
      <c r="GF15" s="220"/>
      <c r="GG15" s="220"/>
      <c r="GH15" s="220"/>
      <c r="GI15" s="220"/>
      <c r="GJ15" s="220"/>
      <c r="GK15" s="220"/>
      <c r="GL15" s="220"/>
      <c r="GM15" s="220"/>
      <c r="GN15" s="220"/>
      <c r="GO15" s="220"/>
      <c r="GP15" s="220"/>
      <c r="GQ15" s="220"/>
      <c r="GR15" s="220"/>
      <c r="GS15" s="220"/>
      <c r="GT15" s="220"/>
      <c r="GU15" s="220"/>
      <c r="GV15" s="220"/>
      <c r="GW15" s="220"/>
      <c r="GX15" s="220"/>
      <c r="GY15" s="220"/>
      <c r="GZ15" s="220"/>
      <c r="HA15" s="220"/>
      <c r="HB15" s="220"/>
      <c r="HC15" s="220"/>
      <c r="HD15" s="220"/>
      <c r="HE15" s="220"/>
      <c r="HF15" s="220"/>
      <c r="HG15" s="220"/>
      <c r="HH15" s="220"/>
      <c r="HI15" s="220"/>
      <c r="HJ15" s="220"/>
      <c r="HK15" s="220"/>
      <c r="HL15" s="220"/>
      <c r="HM15" s="220"/>
      <c r="HN15" s="220"/>
    </row>
    <row r="16" spans="1:222">
      <c r="A16" s="19"/>
      <c r="B16" s="19"/>
      <c r="C16" s="19"/>
      <c r="D16" s="19"/>
      <c r="E16" s="19"/>
      <c r="F16" s="19"/>
      <c r="G16" s="19"/>
      <c r="H16" s="19"/>
    </row>
    <row r="17" spans="1:18">
      <c r="A17" s="223"/>
      <c r="B17" s="422" t="s">
        <v>268</v>
      </c>
      <c r="C17" s="422"/>
      <c r="D17" s="422"/>
      <c r="E17" s="422"/>
      <c r="F17" s="422"/>
      <c r="G17" s="422"/>
      <c r="H17" s="422"/>
      <c r="I17" s="422"/>
      <c r="J17" s="223"/>
      <c r="K17" s="223"/>
      <c r="L17" s="223"/>
      <c r="M17" s="417" t="s">
        <v>76</v>
      </c>
      <c r="N17" s="417"/>
      <c r="O17" s="417"/>
      <c r="P17" s="417"/>
    </row>
    <row r="18" spans="1:18" ht="12.95" customHeight="1">
      <c r="A18" s="234" t="s">
        <v>269</v>
      </c>
      <c r="B18" s="424" t="s">
        <v>270</v>
      </c>
      <c r="C18" s="424"/>
      <c r="D18" s="423" t="s">
        <v>270</v>
      </c>
      <c r="E18" s="425"/>
      <c r="F18" s="423" t="s">
        <v>271</v>
      </c>
      <c r="G18" s="424"/>
      <c r="H18" s="423" t="s">
        <v>271</v>
      </c>
      <c r="I18" s="424"/>
      <c r="J18" s="223"/>
      <c r="K18" s="223"/>
      <c r="L18" s="223"/>
      <c r="M18" s="416" t="str">
        <f>B18</f>
        <v>Plain, irrigated</v>
      </c>
      <c r="N18" s="416"/>
      <c r="O18" s="415" t="str">
        <f>F18</f>
        <v>Hilly, rainfed</v>
      </c>
      <c r="P18" s="416"/>
    </row>
    <row r="19" spans="1:18">
      <c r="A19" s="427" t="s">
        <v>272</v>
      </c>
      <c r="B19" s="420" t="s">
        <v>273</v>
      </c>
      <c r="C19" s="420"/>
      <c r="D19" s="418" t="s">
        <v>274</v>
      </c>
      <c r="E19" s="421"/>
      <c r="F19" s="426" t="s">
        <v>273</v>
      </c>
      <c r="G19" s="420"/>
      <c r="H19" s="418" t="s">
        <v>274</v>
      </c>
      <c r="I19" s="419"/>
      <c r="J19" s="223"/>
      <c r="K19" s="223"/>
      <c r="L19" s="235"/>
      <c r="M19" s="419" t="s">
        <v>274</v>
      </c>
      <c r="N19" s="419"/>
      <c r="O19" s="418" t="s">
        <v>274</v>
      </c>
      <c r="P19" s="419"/>
    </row>
    <row r="20" spans="1:18">
      <c r="A20" s="428"/>
      <c r="B20" s="236" t="s">
        <v>275</v>
      </c>
      <c r="C20" s="236" t="s">
        <v>276</v>
      </c>
      <c r="D20" s="237" t="s">
        <v>275</v>
      </c>
      <c r="E20" s="238" t="s">
        <v>276</v>
      </c>
      <c r="F20" s="237" t="s">
        <v>275</v>
      </c>
      <c r="G20" s="236" t="s">
        <v>276</v>
      </c>
      <c r="H20" s="237" t="s">
        <v>275</v>
      </c>
      <c r="I20" s="236" t="s">
        <v>276</v>
      </c>
      <c r="J20" s="223"/>
      <c r="K20" s="223"/>
      <c r="L20" s="223"/>
      <c r="M20" s="236" t="s">
        <v>275</v>
      </c>
      <c r="N20" s="236" t="s">
        <v>276</v>
      </c>
      <c r="O20" s="237" t="s">
        <v>275</v>
      </c>
      <c r="P20" s="236" t="s">
        <v>276</v>
      </c>
    </row>
    <row r="21" spans="1:18">
      <c r="A21" s="239" t="str">
        <f>Summary_models!A5</f>
        <v>Rice aromatic_conventional</v>
      </c>
      <c r="B21" s="240">
        <v>0.7</v>
      </c>
      <c r="C21" s="240">
        <v>0.35</v>
      </c>
      <c r="D21" s="241">
        <f>Summary_models!$B5*B21</f>
        <v>241.87100344318739</v>
      </c>
      <c r="E21" s="242">
        <f>Summary_models!$B5*C21</f>
        <v>120.9355017215937</v>
      </c>
      <c r="F21" s="243">
        <v>0</v>
      </c>
      <c r="G21" s="240">
        <v>0</v>
      </c>
      <c r="H21" s="241">
        <f>Summary_models!$B5*F21</f>
        <v>0</v>
      </c>
      <c r="I21" s="240">
        <f>Summary_models!$B5*G21</f>
        <v>0</v>
      </c>
      <c r="J21" s="223"/>
      <c r="K21" s="223"/>
      <c r="L21" s="223"/>
      <c r="M21" s="240">
        <f>Summary_models!$B26*B21</f>
        <v>240.96824858026989</v>
      </c>
      <c r="N21" s="240">
        <f>Summary_models!$B26*C21</f>
        <v>120.48412429013494</v>
      </c>
      <c r="O21" s="243">
        <f>Summary_models!$B26*F21</f>
        <v>0</v>
      </c>
      <c r="P21" s="240">
        <f>Summary_models!$B26*G21</f>
        <v>0</v>
      </c>
      <c r="Q21" s="20">
        <f>N21-M21</f>
        <v>-120.48412429013494</v>
      </c>
      <c r="R21" s="20">
        <f>P21-O21</f>
        <v>0</v>
      </c>
    </row>
    <row r="22" spans="1:18">
      <c r="A22" s="239" t="str">
        <f>Summary_models!A6</f>
        <v>Rice aromatic_organic</v>
      </c>
      <c r="B22" s="240">
        <v>0</v>
      </c>
      <c r="C22" s="240">
        <v>0.25</v>
      </c>
      <c r="D22" s="241">
        <f>Summary_models!$B6*B22</f>
        <v>0</v>
      </c>
      <c r="E22" s="242">
        <f>Summary_models!$B6*C22</f>
        <v>132.02666420724708</v>
      </c>
      <c r="F22" s="241">
        <v>0</v>
      </c>
      <c r="G22" s="240">
        <v>0</v>
      </c>
      <c r="H22" s="241">
        <f>Summary_models!$B6*F22</f>
        <v>0</v>
      </c>
      <c r="I22" s="240">
        <f>Summary_models!$B6*G22</f>
        <v>0</v>
      </c>
      <c r="J22" s="223"/>
      <c r="K22" s="223"/>
      <c r="L22" s="223"/>
      <c r="M22" s="240">
        <f>Summary_models!$B27*B22</f>
        <v>0</v>
      </c>
      <c r="N22" s="240">
        <f>Summary_models!$B27*C22</f>
        <v>127.87983295782972</v>
      </c>
      <c r="O22" s="241">
        <f>Summary_models!$B27*F22</f>
        <v>0</v>
      </c>
      <c r="P22" s="240">
        <f>Summary_models!$B27*G22</f>
        <v>0</v>
      </c>
      <c r="Q22" s="20">
        <f t="shared" ref="Q22:Q38" si="2">N22-M22</f>
        <v>127.87983295782972</v>
      </c>
      <c r="R22" s="20">
        <f t="shared" ref="R22:R38" si="3">P22-O22</f>
        <v>0</v>
      </c>
    </row>
    <row r="23" spans="1:18">
      <c r="A23" s="239" t="str">
        <f>Summary_models!A7</f>
        <v>Rice non aromatic</v>
      </c>
      <c r="B23" s="240">
        <v>0.6</v>
      </c>
      <c r="C23" s="240">
        <v>0.3</v>
      </c>
      <c r="D23" s="241">
        <f>Summary_models!$B7*B23</f>
        <v>163.26754648303</v>
      </c>
      <c r="E23" s="242">
        <f>Summary_models!$B7*C23</f>
        <v>81.633773241515001</v>
      </c>
      <c r="F23" s="241">
        <v>0</v>
      </c>
      <c r="G23" s="240">
        <v>0</v>
      </c>
      <c r="H23" s="241">
        <f>Summary_models!$B7*F23</f>
        <v>0</v>
      </c>
      <c r="I23" s="240">
        <f>Summary_models!$B7*G23</f>
        <v>0</v>
      </c>
      <c r="J23" s="223"/>
      <c r="K23" s="223"/>
      <c r="L23" s="223"/>
      <c r="M23" s="240">
        <f>Summary_models!$B28*B23</f>
        <v>147.31489502404091</v>
      </c>
      <c r="N23" s="240">
        <f>Summary_models!$B28*C23</f>
        <v>73.657447512020454</v>
      </c>
      <c r="O23" s="241">
        <f>Summary_models!$B28*F23</f>
        <v>0</v>
      </c>
      <c r="P23" s="240">
        <f>Summary_models!$B28*G23</f>
        <v>0</v>
      </c>
      <c r="Q23" s="20">
        <f t="shared" si="2"/>
        <v>-73.657447512020454</v>
      </c>
      <c r="R23" s="20">
        <f t="shared" si="3"/>
        <v>0</v>
      </c>
    </row>
    <row r="24" spans="1:18">
      <c r="A24" s="239" t="str">
        <f>Summary_models!A8</f>
        <v xml:space="preserve">Mango </v>
      </c>
      <c r="B24" s="240">
        <v>0</v>
      </c>
      <c r="C24" s="240">
        <v>0.15</v>
      </c>
      <c r="D24" s="241">
        <f>Summary_models!$B8*B24</f>
        <v>0</v>
      </c>
      <c r="E24" s="242">
        <f>Summary_models!$B8*C24</f>
        <v>97.815420560747668</v>
      </c>
      <c r="F24" s="241">
        <v>0</v>
      </c>
      <c r="G24" s="240">
        <v>0.3</v>
      </c>
      <c r="H24" s="241">
        <f>Summary_models!$B8*F24</f>
        <v>0</v>
      </c>
      <c r="I24" s="240">
        <f>Summary_models!$B8*G24</f>
        <v>195.63084112149534</v>
      </c>
      <c r="J24" s="223"/>
      <c r="K24" s="223"/>
      <c r="L24" s="223"/>
      <c r="M24" s="240">
        <f>Summary_models!$B29*B24</f>
        <v>0</v>
      </c>
      <c r="N24" s="240">
        <f>Summary_models!$B29*C24</f>
        <v>97.005612767236599</v>
      </c>
      <c r="O24" s="241">
        <f>Summary_models!$B29*F24</f>
        <v>0</v>
      </c>
      <c r="P24" s="240">
        <f>Summary_models!$B29*G24</f>
        <v>194.0112255344732</v>
      </c>
      <c r="Q24" s="20">
        <f t="shared" si="2"/>
        <v>97.005612767236599</v>
      </c>
      <c r="R24" s="20">
        <f t="shared" si="3"/>
        <v>194.0112255344732</v>
      </c>
    </row>
    <row r="25" spans="1:18">
      <c r="A25" s="239" t="str">
        <f>Summary_models!A9</f>
        <v>Cashew nuts</v>
      </c>
      <c r="B25" s="240">
        <v>0</v>
      </c>
      <c r="C25" s="240">
        <v>0.15</v>
      </c>
      <c r="D25" s="241">
        <f>Summary_models!$B9*B25</f>
        <v>0</v>
      </c>
      <c r="E25" s="242">
        <f>Summary_models!$B9*C25</f>
        <v>93.727127397934083</v>
      </c>
      <c r="F25" s="241">
        <v>0</v>
      </c>
      <c r="G25" s="240">
        <v>0.2</v>
      </c>
      <c r="H25" s="241">
        <f>Summary_models!$B9*F25</f>
        <v>0</v>
      </c>
      <c r="I25" s="240">
        <f>Summary_models!$B9*G25</f>
        <v>124.96950319724544</v>
      </c>
      <c r="J25" s="223"/>
      <c r="K25" s="223"/>
      <c r="L25" s="223"/>
      <c r="M25" s="240">
        <f>Summary_models!$B30*B25</f>
        <v>0</v>
      </c>
      <c r="N25" s="240">
        <f>Summary_models!$B30*C25</f>
        <v>89.444494890105844</v>
      </c>
      <c r="O25" s="241">
        <f>Summary_models!$B30*F25</f>
        <v>0</v>
      </c>
      <c r="P25" s="240">
        <f>Summary_models!$B30*G25</f>
        <v>119.25932652014113</v>
      </c>
      <c r="Q25" s="20">
        <f t="shared" si="2"/>
        <v>89.444494890105844</v>
      </c>
      <c r="R25" s="20">
        <f t="shared" si="3"/>
        <v>119.25932652014113</v>
      </c>
    </row>
    <row r="26" spans="1:18">
      <c r="A26" s="239" t="str">
        <f>Summary_models!A10</f>
        <v>Long bean</v>
      </c>
      <c r="B26" s="240">
        <v>0</v>
      </c>
      <c r="C26" s="240">
        <v>0.15</v>
      </c>
      <c r="D26" s="241">
        <f>Summary_models!$B10*B26</f>
        <v>0</v>
      </c>
      <c r="E26" s="242">
        <f>Summary_models!$B10*C26</f>
        <v>63.026432611903587</v>
      </c>
      <c r="F26" s="241">
        <v>0</v>
      </c>
      <c r="G26" s="240">
        <v>0</v>
      </c>
      <c r="H26" s="241">
        <f>Summary_models!$B10*F26</f>
        <v>0</v>
      </c>
      <c r="I26" s="240">
        <f>Summary_models!$B10*G26</f>
        <v>0</v>
      </c>
      <c r="J26" s="223"/>
      <c r="K26" s="223"/>
      <c r="L26" s="223"/>
      <c r="M26" s="240">
        <f>Summary_models!$B31*B26</f>
        <v>0</v>
      </c>
      <c r="N26" s="240">
        <f>Summary_models!$B31*C26</f>
        <v>26.186368405610928</v>
      </c>
      <c r="O26" s="241">
        <f>Summary_models!$B31*F26</f>
        <v>0</v>
      </c>
      <c r="P26" s="240">
        <f>Summary_models!$B31*G26</f>
        <v>0</v>
      </c>
      <c r="Q26" s="20">
        <f t="shared" si="2"/>
        <v>26.186368405610928</v>
      </c>
      <c r="R26" s="20">
        <f t="shared" si="3"/>
        <v>0</v>
      </c>
    </row>
    <row r="27" spans="1:18">
      <c r="A27" s="239" t="str">
        <f>Summary_models!A11</f>
        <v>Water Convolvulus</v>
      </c>
      <c r="B27" s="240">
        <v>0</v>
      </c>
      <c r="C27" s="240">
        <v>0.2</v>
      </c>
      <c r="D27" s="241">
        <f>Summary_models!$B11*B27</f>
        <v>0</v>
      </c>
      <c r="E27" s="242">
        <f>Summary_models!$B11*C27</f>
        <v>84.035243482538135</v>
      </c>
      <c r="F27" s="241">
        <v>0</v>
      </c>
      <c r="G27" s="240">
        <v>0</v>
      </c>
      <c r="H27" s="241">
        <f>Summary_models!$B11*F27</f>
        <v>0</v>
      </c>
      <c r="I27" s="240">
        <f>Summary_models!$B11*G27</f>
        <v>0</v>
      </c>
      <c r="J27" s="223"/>
      <c r="K27" s="223"/>
      <c r="L27" s="223"/>
      <c r="M27" s="240">
        <f>Summary_models!$B32*B27</f>
        <v>0</v>
      </c>
      <c r="N27" s="240">
        <f>Summary_models!$B32*C27</f>
        <v>94.095972862693202</v>
      </c>
      <c r="O27" s="241">
        <f>Summary_models!$B32*F27</f>
        <v>0</v>
      </c>
      <c r="P27" s="240">
        <f>Summary_models!$B32*G27</f>
        <v>0</v>
      </c>
      <c r="Q27" s="20">
        <f t="shared" si="2"/>
        <v>94.095972862693202</v>
      </c>
      <c r="R27" s="20">
        <f t="shared" si="3"/>
        <v>0</v>
      </c>
    </row>
    <row r="28" spans="1:18">
      <c r="A28" s="239" t="str">
        <f>Summary_models!A12</f>
        <v>Snake Gourd</v>
      </c>
      <c r="B28" s="240">
        <v>0</v>
      </c>
      <c r="C28" s="240">
        <v>0.1</v>
      </c>
      <c r="D28" s="241">
        <f>Summary_models!$B12*B28</f>
        <v>0</v>
      </c>
      <c r="E28" s="242">
        <f>Summary_models!$B12*C28</f>
        <v>86.629734382685683</v>
      </c>
      <c r="F28" s="241">
        <v>0</v>
      </c>
      <c r="G28" s="240">
        <v>0</v>
      </c>
      <c r="H28" s="241">
        <f>Summary_models!$B12*F28</f>
        <v>0</v>
      </c>
      <c r="I28" s="240">
        <f>Summary_models!$B12*G28</f>
        <v>0</v>
      </c>
      <c r="J28" s="223"/>
      <c r="K28" s="223"/>
      <c r="L28" s="223"/>
      <c r="M28" s="240">
        <f>Summary_models!$B33*B28</f>
        <v>0</v>
      </c>
      <c r="N28" s="240">
        <f>Summary_models!$B33*C28</f>
        <v>99.947674360745026</v>
      </c>
      <c r="O28" s="241">
        <f>Summary_models!$B33*F28</f>
        <v>0</v>
      </c>
      <c r="P28" s="240">
        <f>Summary_models!$B33*G28</f>
        <v>0</v>
      </c>
      <c r="Q28" s="20">
        <f t="shared" si="2"/>
        <v>99.947674360745026</v>
      </c>
      <c r="R28" s="20">
        <f t="shared" si="3"/>
        <v>0</v>
      </c>
    </row>
    <row r="29" spans="1:18">
      <c r="A29" s="239" t="str">
        <f>Summary_models!A13</f>
        <v>Mung bean</v>
      </c>
      <c r="B29" s="240">
        <v>0</v>
      </c>
      <c r="C29" s="240">
        <v>0.15</v>
      </c>
      <c r="D29" s="241">
        <f>Summary_models!$B13*B29</f>
        <v>0</v>
      </c>
      <c r="E29" s="242">
        <f>Summary_models!$B13*C29</f>
        <v>47.381886374815544</v>
      </c>
      <c r="F29" s="241">
        <v>0</v>
      </c>
      <c r="G29" s="240">
        <v>0</v>
      </c>
      <c r="H29" s="241">
        <f>Summary_models!$B13*F29</f>
        <v>0</v>
      </c>
      <c r="I29" s="240">
        <f>Summary_models!$B13*G29</f>
        <v>0</v>
      </c>
      <c r="J29" s="223"/>
      <c r="K29" s="223"/>
      <c r="L29" s="223"/>
      <c r="M29" s="240">
        <f>Summary_models!$B34*B29</f>
        <v>0</v>
      </c>
      <c r="N29" s="240">
        <f>Summary_models!$B34*C29</f>
        <v>44.28238365835368</v>
      </c>
      <c r="O29" s="241">
        <f>Summary_models!$B34*F29</f>
        <v>0</v>
      </c>
      <c r="P29" s="240">
        <f>Summary_models!$B34*G29</f>
        <v>0</v>
      </c>
      <c r="Q29" s="20">
        <f t="shared" si="2"/>
        <v>44.28238365835368</v>
      </c>
      <c r="R29" s="20">
        <f t="shared" si="3"/>
        <v>0</v>
      </c>
    </row>
    <row r="30" spans="1:18">
      <c r="A30" s="239" t="str">
        <f>Summary_models!A14</f>
        <v>Maize_conventional</v>
      </c>
      <c r="B30" s="240">
        <v>0.3</v>
      </c>
      <c r="C30" s="240">
        <v>0</v>
      </c>
      <c r="D30" s="241">
        <f>Summary_models!$B14*B30</f>
        <v>201.06123954746681</v>
      </c>
      <c r="E30" s="242">
        <f>Summary_models!$B14*C30</f>
        <v>0</v>
      </c>
      <c r="F30" s="241">
        <v>0.6</v>
      </c>
      <c r="G30" s="240">
        <v>0.2</v>
      </c>
      <c r="H30" s="241">
        <f>Summary_models!$B14*F30</f>
        <v>402.12247909493362</v>
      </c>
      <c r="I30" s="240">
        <f>Summary_models!$B14*G30</f>
        <v>134.04082636497787</v>
      </c>
      <c r="J30" s="223"/>
      <c r="K30" s="223"/>
      <c r="L30" s="223"/>
      <c r="M30" s="240">
        <f>Summary_models!$B35*B30</f>
        <v>195.49168405856832</v>
      </c>
      <c r="N30" s="240">
        <f>Summary_models!$B35*C30</f>
        <v>0</v>
      </c>
      <c r="O30" s="241">
        <f>Summary_models!$B35*F30</f>
        <v>390.98336811713665</v>
      </c>
      <c r="P30" s="240">
        <f>Summary_models!$B35*G30</f>
        <v>130.32778937237887</v>
      </c>
      <c r="Q30" s="20">
        <f t="shared" si="2"/>
        <v>-195.49168405856832</v>
      </c>
      <c r="R30" s="20">
        <f t="shared" si="3"/>
        <v>-260.6555787447578</v>
      </c>
    </row>
    <row r="31" spans="1:18">
      <c r="A31" s="239" t="str">
        <f>Summary_models!A15</f>
        <v>Soybean_conventional</v>
      </c>
      <c r="B31" s="240">
        <v>0</v>
      </c>
      <c r="C31" s="240">
        <v>0</v>
      </c>
      <c r="D31" s="241">
        <f>Summary_models!$B15*B31</f>
        <v>0</v>
      </c>
      <c r="E31" s="242">
        <f>Summary_models!$B15*C31</f>
        <v>0</v>
      </c>
      <c r="F31" s="241">
        <v>0.5</v>
      </c>
      <c r="G31" s="240">
        <v>0</v>
      </c>
      <c r="H31" s="241">
        <f>Summary_models!$B15*F31</f>
        <v>249.20068863748156</v>
      </c>
      <c r="I31" s="240">
        <f>Summary_models!$B15*G31</f>
        <v>0</v>
      </c>
      <c r="J31" s="223"/>
      <c r="K31" s="223"/>
      <c r="L31" s="223"/>
      <c r="M31" s="240">
        <f>Summary_models!$B36*B31</f>
        <v>0</v>
      </c>
      <c r="N31" s="240">
        <f>Summary_models!$B36*C31</f>
        <v>0</v>
      </c>
      <c r="O31" s="241">
        <f>Summary_models!$B36*F31</f>
        <v>232.48617841967689</v>
      </c>
      <c r="P31" s="240">
        <f>Summary_models!$B36*G31</f>
        <v>0</v>
      </c>
      <c r="Q31" s="20">
        <f t="shared" si="2"/>
        <v>0</v>
      </c>
      <c r="R31" s="20">
        <f t="shared" si="3"/>
        <v>-232.48617841967689</v>
      </c>
    </row>
    <row r="32" spans="1:18">
      <c r="A32" s="239" t="str">
        <f>Summary_models!A16</f>
        <v>Cassava_conventional</v>
      </c>
      <c r="B32" s="240">
        <v>0</v>
      </c>
      <c r="C32" s="240">
        <v>0</v>
      </c>
      <c r="D32" s="241">
        <f>Summary_models!$B16*B32</f>
        <v>0</v>
      </c>
      <c r="E32" s="242">
        <f>Summary_models!$B16*C32</f>
        <v>0</v>
      </c>
      <c r="F32" s="241">
        <v>0.5</v>
      </c>
      <c r="G32" s="240">
        <v>0</v>
      </c>
      <c r="H32" s="241">
        <f>Summary_models!$B16*F32</f>
        <v>358.06333005410721</v>
      </c>
      <c r="I32" s="240">
        <f>Summary_models!$B16*G32</f>
        <v>0</v>
      </c>
      <c r="J32" s="223"/>
      <c r="K32" s="223"/>
      <c r="L32" s="223"/>
      <c r="M32" s="240">
        <f>Summary_models!$B37*B32</f>
        <v>0</v>
      </c>
      <c r="N32" s="240">
        <f>Summary_models!$B37*C32</f>
        <v>0</v>
      </c>
      <c r="O32" s="241">
        <f>Summary_models!$B37*F32</f>
        <v>340.82628592250938</v>
      </c>
      <c r="P32" s="240">
        <f>Summary_models!$B37*G32</f>
        <v>0</v>
      </c>
      <c r="Q32" s="20">
        <f t="shared" si="2"/>
        <v>0</v>
      </c>
      <c r="R32" s="20">
        <f t="shared" si="3"/>
        <v>-340.82628592250938</v>
      </c>
    </row>
    <row r="33" spans="1:23">
      <c r="A33" s="239" t="str">
        <f>Summary_models!A17</f>
        <v>Maize_improved</v>
      </c>
      <c r="B33" s="240">
        <v>0</v>
      </c>
      <c r="C33" s="240">
        <v>0</v>
      </c>
      <c r="D33" s="241">
        <f>Summary_models!$B17*B33</f>
        <v>0</v>
      </c>
      <c r="E33" s="242">
        <f>Summary_models!$B17*C33</f>
        <v>0</v>
      </c>
      <c r="F33" s="241">
        <v>0</v>
      </c>
      <c r="G33" s="240">
        <v>0.4</v>
      </c>
      <c r="H33" s="241">
        <f>Summary_models!$B17*F33</f>
        <v>0</v>
      </c>
      <c r="I33" s="240">
        <f>Summary_models!$B17*G33</f>
        <v>297.22695523856368</v>
      </c>
      <c r="J33" s="223"/>
      <c r="K33" s="223"/>
      <c r="L33" s="223"/>
      <c r="M33" s="240">
        <f>Summary_models!$B38*B33</f>
        <v>0</v>
      </c>
      <c r="N33" s="240">
        <f>Summary_models!$B38*C33</f>
        <v>0</v>
      </c>
      <c r="O33" s="241">
        <f>Summary_models!$B38*F33</f>
        <v>0</v>
      </c>
      <c r="P33" s="240">
        <f>Summary_models!$B38*G33</f>
        <v>288.74496757792195</v>
      </c>
      <c r="Q33" s="20">
        <f t="shared" si="2"/>
        <v>0</v>
      </c>
      <c r="R33" s="20">
        <f t="shared" si="3"/>
        <v>288.74496757792195</v>
      </c>
    </row>
    <row r="34" spans="1:23">
      <c r="A34" s="239" t="str">
        <f>Summary_models!A18</f>
        <v>Soybean_improved</v>
      </c>
      <c r="B34" s="240">
        <v>0</v>
      </c>
      <c r="C34" s="240">
        <v>0</v>
      </c>
      <c r="D34" s="241">
        <f>Summary_models!$B18*B34</f>
        <v>0</v>
      </c>
      <c r="E34" s="242">
        <f>Summary_models!$B18*C34</f>
        <v>0</v>
      </c>
      <c r="F34" s="241">
        <v>0</v>
      </c>
      <c r="G34" s="244">
        <v>0.5</v>
      </c>
      <c r="H34" s="241">
        <f>Summary_models!$B18*F34</f>
        <v>0</v>
      </c>
      <c r="I34" s="240">
        <f>Summary_models!$B18*G34</f>
        <v>275.86842105263156</v>
      </c>
      <c r="J34" s="223"/>
      <c r="K34" s="223"/>
      <c r="L34" s="223"/>
      <c r="M34" s="240">
        <f>Summary_models!$B39*B34</f>
        <v>0</v>
      </c>
      <c r="N34" s="240">
        <f>Summary_models!$B39*C34</f>
        <v>0</v>
      </c>
      <c r="O34" s="241">
        <f>Summary_models!$B39*F34</f>
        <v>0</v>
      </c>
      <c r="P34" s="240">
        <f>Summary_models!$B39*G34</f>
        <v>258.21315992986297</v>
      </c>
      <c r="Q34" s="20">
        <f t="shared" si="2"/>
        <v>0</v>
      </c>
      <c r="R34" s="20">
        <f t="shared" si="3"/>
        <v>258.21315992986297</v>
      </c>
    </row>
    <row r="35" spans="1:23">
      <c r="A35" s="239" t="str">
        <f>Summary_models!A19</f>
        <v>Cassava_improved</v>
      </c>
      <c r="B35" s="240">
        <v>0</v>
      </c>
      <c r="C35" s="240">
        <v>0</v>
      </c>
      <c r="D35" s="241">
        <f>Summary_models!$B19*B35</f>
        <v>0</v>
      </c>
      <c r="E35" s="242">
        <f>Summary_models!$B19*C35</f>
        <v>0</v>
      </c>
      <c r="F35" s="241">
        <v>0</v>
      </c>
      <c r="G35" s="244">
        <v>0.4</v>
      </c>
      <c r="H35" s="241">
        <f>Summary_models!$B19*F35</f>
        <v>0</v>
      </c>
      <c r="I35" s="240">
        <f>Summary_models!$B19*G35</f>
        <v>316.75189375307428</v>
      </c>
      <c r="J35" s="223"/>
      <c r="K35" s="223"/>
      <c r="L35" s="223"/>
      <c r="M35" s="240">
        <f>Summary_models!$B40*B35</f>
        <v>0</v>
      </c>
      <c r="N35" s="240">
        <f>Summary_models!$B40*C35</f>
        <v>0</v>
      </c>
      <c r="O35" s="241">
        <f>Summary_models!$B40*F35</f>
        <v>0</v>
      </c>
      <c r="P35" s="240">
        <f>Summary_models!$B40*G35</f>
        <v>301.9424014272463</v>
      </c>
      <c r="Q35" s="20">
        <f t="shared" si="2"/>
        <v>0</v>
      </c>
      <c r="R35" s="20">
        <f t="shared" si="3"/>
        <v>301.9424014272463</v>
      </c>
    </row>
    <row r="36" spans="1:23">
      <c r="A36" s="239" t="str">
        <f>Summary_models!A20</f>
        <v>Sweet potato</v>
      </c>
      <c r="B36" s="240">
        <v>0.2</v>
      </c>
      <c r="C36" s="240">
        <v>0.1</v>
      </c>
      <c r="D36" s="241">
        <f>Summary_models!$B20*B36</f>
        <v>25.402680767338907</v>
      </c>
      <c r="E36" s="242">
        <f>Summary_models!$B20*C36</f>
        <v>12.701340383669454</v>
      </c>
      <c r="F36" s="241">
        <v>0.2</v>
      </c>
      <c r="G36" s="244">
        <v>0</v>
      </c>
      <c r="H36" s="241">
        <f>Summary_models!$B20*F36</f>
        <v>25.402680767338907</v>
      </c>
      <c r="I36" s="240">
        <f>Summary_models!$B20*G36</f>
        <v>0</v>
      </c>
      <c r="J36" s="223"/>
      <c r="K36" s="223"/>
      <c r="L36" s="223"/>
      <c r="M36" s="240">
        <f>Summary_models!$B41*B36</f>
        <v>23.352914567905373</v>
      </c>
      <c r="N36" s="240">
        <f>Summary_models!$B41*C36</f>
        <v>11.676457283952686</v>
      </c>
      <c r="O36" s="241">
        <f>Summary_models!$B41*F36</f>
        <v>23.352914567905373</v>
      </c>
      <c r="P36" s="240">
        <f>Summary_models!$B41*G36</f>
        <v>0</v>
      </c>
      <c r="Q36" s="20">
        <f t="shared" si="2"/>
        <v>-11.676457283952686</v>
      </c>
      <c r="R36" s="20">
        <f t="shared" si="3"/>
        <v>-23.352914567905373</v>
      </c>
    </row>
    <row r="37" spans="1:23">
      <c r="A37" s="245" t="str">
        <f>Summary_models!A21</f>
        <v>Peanut</v>
      </c>
      <c r="B37" s="246">
        <v>0.2</v>
      </c>
      <c r="C37" s="246">
        <v>0.1</v>
      </c>
      <c r="D37" s="247">
        <f>Summary_models!$B21*B37</f>
        <v>11.528037383177571</v>
      </c>
      <c r="E37" s="248">
        <f>Summary_models!$B21*C37</f>
        <v>5.7640186915887854</v>
      </c>
      <c r="F37" s="247">
        <v>0.2</v>
      </c>
      <c r="G37" s="246">
        <v>0</v>
      </c>
      <c r="H37" s="247">
        <f>Summary_models!$B21*F37</f>
        <v>11.528037383177571</v>
      </c>
      <c r="I37" s="246">
        <f>Summary_models!$B21*G37</f>
        <v>0</v>
      </c>
      <c r="J37" s="223"/>
      <c r="K37" s="223"/>
      <c r="L37" s="223"/>
      <c r="M37" s="246">
        <f>Summary_models!$B42*B37</f>
        <v>7.5613812840973509</v>
      </c>
      <c r="N37" s="246">
        <f>Summary_models!$B42*C37</f>
        <v>3.7806906420486754</v>
      </c>
      <c r="O37" s="247">
        <f>Summary_models!$B42*F37</f>
        <v>7.5613812840973509</v>
      </c>
      <c r="P37" s="246">
        <f>Summary_models!$B42*G37</f>
        <v>0</v>
      </c>
      <c r="Q37" s="20">
        <f t="shared" si="2"/>
        <v>-3.7806906420486754</v>
      </c>
      <c r="R37" s="20">
        <f t="shared" si="3"/>
        <v>-7.5613812840973509</v>
      </c>
    </row>
    <row r="38" spans="1:23">
      <c r="A38" s="249" t="s">
        <v>251</v>
      </c>
      <c r="B38" s="244">
        <f>SUM(B21:B37)</f>
        <v>1.9999999999999998</v>
      </c>
      <c r="C38" s="244">
        <f>SUM(C21:C37)</f>
        <v>1.9999999999999998</v>
      </c>
      <c r="D38" s="241">
        <f t="shared" ref="D38:I38" si="4">SUM(D21:D37)</f>
        <v>643.13050762420062</v>
      </c>
      <c r="E38" s="242">
        <f t="shared" si="4"/>
        <v>825.67714305623883</v>
      </c>
      <c r="F38" s="243">
        <f t="shared" si="4"/>
        <v>2</v>
      </c>
      <c r="G38" s="244">
        <f>SUM(G21:G37)</f>
        <v>2</v>
      </c>
      <c r="H38" s="241">
        <f t="shared" si="4"/>
        <v>1046.317215937039</v>
      </c>
      <c r="I38" s="240">
        <f t="shared" si="4"/>
        <v>1344.4884407279881</v>
      </c>
      <c r="J38" s="223"/>
      <c r="K38" s="223"/>
      <c r="L38" s="223"/>
      <c r="M38" s="240">
        <f t="shared" ref="M38" si="5">SUM(M21:M37)</f>
        <v>614.68912351488189</v>
      </c>
      <c r="N38" s="240">
        <f t="shared" ref="N38" si="6">SUM(N21:N37)</f>
        <v>788.44105963073162</v>
      </c>
      <c r="O38" s="241">
        <f t="shared" ref="O38" si="7">SUM(O21:O37)</f>
        <v>995.21012831132578</v>
      </c>
      <c r="P38" s="240">
        <f t="shared" ref="P38" si="8">SUM(P21:P37)</f>
        <v>1292.4988703620245</v>
      </c>
      <c r="Q38" s="20">
        <f t="shared" si="2"/>
        <v>173.75193611584973</v>
      </c>
      <c r="R38" s="20">
        <f t="shared" si="3"/>
        <v>297.28874205069872</v>
      </c>
    </row>
    <row r="39" spans="1:23">
      <c r="A39" s="346" t="s">
        <v>277</v>
      </c>
      <c r="B39" s="6"/>
      <c r="C39" s="6"/>
      <c r="D39" s="6"/>
      <c r="E39" s="346">
        <f>(E38-D38)/D38</f>
        <v>0.28384073414023986</v>
      </c>
      <c r="F39" s="6"/>
      <c r="G39" s="6"/>
      <c r="I39" s="346">
        <f>(I38-H38)/H38</f>
        <v>0.28497211003444978</v>
      </c>
    </row>
    <row r="40" spans="1:23">
      <c r="A40" s="347"/>
      <c r="B40" s="6"/>
      <c r="C40" s="6"/>
      <c r="D40" s="6"/>
      <c r="E40" s="347"/>
      <c r="F40" s="6"/>
      <c r="G40" s="6"/>
      <c r="I40" s="347"/>
    </row>
    <row r="41" spans="1:23">
      <c r="A41" s="437" t="s">
        <v>278</v>
      </c>
      <c r="B41" s="431" t="str">
        <f>B18</f>
        <v>Plain, irrigated</v>
      </c>
      <c r="C41" s="432"/>
      <c r="D41" s="431" t="str">
        <f>F18</f>
        <v>Hilly, rainfed</v>
      </c>
      <c r="E41" s="432"/>
      <c r="F41" s="6"/>
      <c r="G41" s="6"/>
    </row>
    <row r="42" spans="1:23">
      <c r="A42" s="437"/>
      <c r="B42" s="433" t="s">
        <v>279</v>
      </c>
      <c r="C42" s="434"/>
      <c r="D42" s="434"/>
      <c r="E42" s="435"/>
      <c r="F42" s="6"/>
      <c r="G42" s="6"/>
    </row>
    <row r="43" spans="1:23">
      <c r="A43" s="437"/>
      <c r="B43" s="337" t="s">
        <v>275</v>
      </c>
      <c r="C43" s="338" t="s">
        <v>276</v>
      </c>
      <c r="D43" s="337" t="str">
        <f>B43</f>
        <v>WOP</v>
      </c>
      <c r="E43" s="338" t="str">
        <f>C43</f>
        <v>WP</v>
      </c>
      <c r="F43" s="6"/>
      <c r="G43" s="6"/>
    </row>
    <row r="44" spans="1:23">
      <c r="A44" s="437"/>
      <c r="B44" s="339">
        <f>D38/$A$6/365</f>
        <v>0.39864284858625215</v>
      </c>
      <c r="C44" s="339">
        <f>E38/$A$6/365</f>
        <v>0.51179392738873042</v>
      </c>
      <c r="D44" s="339">
        <f>H38/$A$6/365</f>
        <v>0.64855712882727268</v>
      </c>
      <c r="E44" s="340">
        <f>I38/$A$6/365</f>
        <v>0.83337782230706514</v>
      </c>
      <c r="F44" s="6"/>
      <c r="G44" s="6"/>
    </row>
    <row r="45" spans="1:23">
      <c r="A45" s="21"/>
      <c r="B45" s="21"/>
      <c r="C45" s="21"/>
      <c r="D45" s="21"/>
      <c r="E45" s="21"/>
      <c r="F45" s="21"/>
      <c r="G45" s="21"/>
    </row>
    <row r="47" spans="1:23" s="223" customFormat="1">
      <c r="A47" s="436" t="s">
        <v>280</v>
      </c>
      <c r="B47" s="429" t="s">
        <v>281</v>
      </c>
      <c r="C47" s="252" t="s">
        <v>275</v>
      </c>
      <c r="D47" s="253" t="s">
        <v>276</v>
      </c>
      <c r="E47" s="238" t="s">
        <v>282</v>
      </c>
      <c r="F47" s="414" t="s">
        <v>283</v>
      </c>
      <c r="G47" s="413"/>
      <c r="H47" s="413" t="s">
        <v>284</v>
      </c>
      <c r="I47" s="413"/>
      <c r="J47" s="413"/>
      <c r="K47" s="413"/>
      <c r="L47" s="413"/>
      <c r="M47" s="413"/>
      <c r="N47" s="413"/>
      <c r="Q47" s="413" t="s">
        <v>285</v>
      </c>
      <c r="R47" s="413"/>
      <c r="S47" s="413"/>
      <c r="T47" s="413"/>
      <c r="U47" s="413"/>
      <c r="V47" s="413"/>
      <c r="W47" s="413"/>
    </row>
    <row r="48" spans="1:23" s="223" customFormat="1">
      <c r="A48" s="436"/>
      <c r="B48" s="430"/>
      <c r="C48" s="414" t="s">
        <v>286</v>
      </c>
      <c r="D48" s="413"/>
      <c r="E48" s="413"/>
      <c r="F48" s="237" t="s">
        <v>95</v>
      </c>
      <c r="G48" s="236" t="s">
        <v>287</v>
      </c>
      <c r="H48" s="254" t="str">
        <f>C11</f>
        <v>Y1</v>
      </c>
      <c r="I48" s="255" t="str">
        <f>D11</f>
        <v>Y2</v>
      </c>
      <c r="J48" s="255" t="str">
        <f>E11</f>
        <v>Y3</v>
      </c>
      <c r="K48" s="255" t="str">
        <f>F11</f>
        <v>Y4</v>
      </c>
      <c r="L48" s="255" t="str">
        <f>G11</f>
        <v>Y5</v>
      </c>
      <c r="M48" s="255" t="str">
        <f>H11</f>
        <v>Y6</v>
      </c>
      <c r="N48" s="256" t="s">
        <v>251</v>
      </c>
      <c r="Q48" s="255" t="str">
        <f>H48</f>
        <v>Y1</v>
      </c>
      <c r="R48" s="255" t="str">
        <f t="shared" ref="R48:V48" si="9">I48</f>
        <v>Y2</v>
      </c>
      <c r="S48" s="255" t="str">
        <f t="shared" si="9"/>
        <v>Y3</v>
      </c>
      <c r="T48" s="255" t="str">
        <f t="shared" si="9"/>
        <v>Y4</v>
      </c>
      <c r="U48" s="255" t="str">
        <f t="shared" si="9"/>
        <v>Y5</v>
      </c>
      <c r="V48" s="255" t="str">
        <f t="shared" si="9"/>
        <v>Y6</v>
      </c>
      <c r="W48" s="256" t="s">
        <v>251</v>
      </c>
    </row>
    <row r="49" spans="1:23" s="223" customFormat="1">
      <c r="A49" s="436"/>
      <c r="B49" s="257" t="str">
        <f>B18</f>
        <v>Plain, irrigated</v>
      </c>
      <c r="C49" s="258">
        <f>D38</f>
        <v>643.13050762420062</v>
      </c>
      <c r="D49" s="258">
        <f>E38</f>
        <v>825.67714305623883</v>
      </c>
      <c r="E49" s="259">
        <f>D49-C49</f>
        <v>182.54663543203822</v>
      </c>
      <c r="F49" s="260">
        <v>0.5</v>
      </c>
      <c r="G49" s="261">
        <f>F49*$I$13</f>
        <v>224999.99999999997</v>
      </c>
      <c r="H49" s="262">
        <f>$F49*C$15</f>
        <v>7688.9298887326877</v>
      </c>
      <c r="I49" s="262">
        <f>$F49*D$15</f>
        <v>22988.678987518175</v>
      </c>
      <c r="J49" s="262">
        <f>$F49*E$15</f>
        <v>27402.037152961908</v>
      </c>
      <c r="K49" s="262">
        <f>$F49*F$15</f>
        <v>20062.243290473743</v>
      </c>
      <c r="L49" s="262">
        <f>$F49*G$15</f>
        <v>22726.8287071778</v>
      </c>
      <c r="M49" s="262">
        <f>$F49*H$15</f>
        <v>26293.313097892049</v>
      </c>
      <c r="N49" s="263">
        <f>SUM(H49:M49)</f>
        <v>127162.03112475637</v>
      </c>
      <c r="Q49" s="361">
        <f>H49*$E49/1000</f>
        <v>1403.5882812609882</v>
      </c>
      <c r="R49" s="262">
        <f>I49*$E49/1000</f>
        <v>4196.5060021986374</v>
      </c>
      <c r="S49" s="262">
        <f t="shared" ref="S49:V50" si="10">J49*$E49/1000</f>
        <v>5002.1496862569038</v>
      </c>
      <c r="T49" s="262">
        <f t="shared" si="10"/>
        <v>3662.2950118949652</v>
      </c>
      <c r="U49" s="262">
        <f t="shared" si="10"/>
        <v>4148.7061145355656</v>
      </c>
      <c r="V49" s="262">
        <f t="shared" si="10"/>
        <v>4799.7558403813355</v>
      </c>
      <c r="W49" s="262">
        <f>SUM(Q49:V49)</f>
        <v>23213.000936528395</v>
      </c>
    </row>
    <row r="50" spans="1:23" s="223" customFormat="1">
      <c r="A50" s="436"/>
      <c r="B50" s="257" t="str">
        <f>F18</f>
        <v>Hilly, rainfed</v>
      </c>
      <c r="C50" s="258">
        <f>H38</f>
        <v>1046.317215937039</v>
      </c>
      <c r="D50" s="258">
        <f>I38</f>
        <v>1344.4884407279881</v>
      </c>
      <c r="E50" s="259">
        <f>D50-C50</f>
        <v>298.17122479094905</v>
      </c>
      <c r="F50" s="264">
        <v>0.5</v>
      </c>
      <c r="G50" s="261">
        <f>F50*$I$13</f>
        <v>224999.99999999997</v>
      </c>
      <c r="H50" s="262">
        <f>$F50*C$15</f>
        <v>7688.9298887326877</v>
      </c>
      <c r="I50" s="262">
        <f>$F50*D$15</f>
        <v>22988.678987518175</v>
      </c>
      <c r="J50" s="262">
        <f>$F50*E$15</f>
        <v>27402.037152961908</v>
      </c>
      <c r="K50" s="262">
        <f>$F50*F$15</f>
        <v>20062.243290473743</v>
      </c>
      <c r="L50" s="262">
        <f>$F50*G$15</f>
        <v>22726.8287071778</v>
      </c>
      <c r="M50" s="262">
        <f>$F50*H$15</f>
        <v>26293.313097892049</v>
      </c>
      <c r="N50" s="263">
        <f t="shared" ref="N50:N51" si="11">SUM(H50:M50)</f>
        <v>127162.03112475637</v>
      </c>
      <c r="Q50" s="361">
        <f t="shared" ref="Q50" si="12">H50*$E50/1000</f>
        <v>2292.6176422551612</v>
      </c>
      <c r="R50" s="262">
        <f t="shared" ref="R50" si="13">I50*$E50/1000</f>
        <v>6854.5625700342489</v>
      </c>
      <c r="S50" s="262">
        <f t="shared" si="10"/>
        <v>8170.4989796657419</v>
      </c>
      <c r="T50" s="262">
        <f t="shared" si="10"/>
        <v>5981.9836539745565</v>
      </c>
      <c r="U50" s="262">
        <f t="shared" si="10"/>
        <v>6776.486351233305</v>
      </c>
      <c r="V50" s="262">
        <f t="shared" si="10"/>
        <v>7839.9093702103755</v>
      </c>
      <c r="W50" s="262">
        <f t="shared" ref="W50:W51" si="14">SUM(Q50:V50)</f>
        <v>37916.058567373388</v>
      </c>
    </row>
    <row r="51" spans="1:23" s="251" customFormat="1">
      <c r="A51" s="436"/>
      <c r="B51" s="251" t="s">
        <v>251</v>
      </c>
      <c r="F51" s="265">
        <f>SUM(F49:F50)</f>
        <v>1</v>
      </c>
      <c r="G51" s="266">
        <f>SUM(G49:G50)</f>
        <v>449999.99999999994</v>
      </c>
      <c r="H51" s="267">
        <f>$F51*C$15</f>
        <v>15377.859777465375</v>
      </c>
      <c r="I51" s="267">
        <f>$F51*D$15</f>
        <v>45977.35797503635</v>
      </c>
      <c r="J51" s="267">
        <f>$F51*E$15</f>
        <v>54804.074305923816</v>
      </c>
      <c r="K51" s="267">
        <f>$F51*F$15</f>
        <v>40124.486580947487</v>
      </c>
      <c r="L51" s="267">
        <f>$F51*G$15</f>
        <v>45453.657414355599</v>
      </c>
      <c r="M51" s="267">
        <f>$F51*H$15</f>
        <v>52586.626195784098</v>
      </c>
      <c r="N51" s="268">
        <f t="shared" si="11"/>
        <v>254324.06224951273</v>
      </c>
      <c r="O51" s="223"/>
      <c r="P51" s="223"/>
      <c r="Q51" s="268">
        <f t="shared" ref="Q51:V51" si="15">SUM(Q49:Q50)</f>
        <v>3696.2059235161496</v>
      </c>
      <c r="R51" s="269">
        <f t="shared" si="15"/>
        <v>11051.068572232885</v>
      </c>
      <c r="S51" s="269">
        <f t="shared" si="15"/>
        <v>13172.648665922647</v>
      </c>
      <c r="T51" s="269">
        <f t="shared" si="15"/>
        <v>9644.2786658695222</v>
      </c>
      <c r="U51" s="269">
        <f t="shared" si="15"/>
        <v>10925.192465768871</v>
      </c>
      <c r="V51" s="269">
        <f t="shared" si="15"/>
        <v>12639.665210591711</v>
      </c>
      <c r="W51" s="262">
        <f t="shared" si="14"/>
        <v>61129.059503901786</v>
      </c>
    </row>
    <row r="54" spans="1:23">
      <c r="A54" s="438" t="s">
        <v>288</v>
      </c>
      <c r="B54" s="429" t="s">
        <v>281</v>
      </c>
      <c r="C54" s="252" t="s">
        <v>275</v>
      </c>
      <c r="D54" s="253" t="s">
        <v>276</v>
      </c>
      <c r="E54" s="238" t="s">
        <v>282</v>
      </c>
      <c r="F54" s="414" t="s">
        <v>283</v>
      </c>
      <c r="G54" s="413"/>
      <c r="H54" s="413" t="s">
        <v>284</v>
      </c>
      <c r="I54" s="413"/>
      <c r="J54" s="413"/>
      <c r="K54" s="413"/>
      <c r="L54" s="413"/>
      <c r="M54" s="413"/>
      <c r="N54" s="413"/>
      <c r="Q54" s="414" t="s">
        <v>285</v>
      </c>
      <c r="R54" s="413"/>
      <c r="S54" s="413"/>
      <c r="T54" s="413"/>
      <c r="U54" s="413"/>
      <c r="V54" s="413"/>
      <c r="W54" s="413"/>
    </row>
    <row r="55" spans="1:23">
      <c r="A55" s="438"/>
      <c r="B55" s="430"/>
      <c r="C55" s="414" t="s">
        <v>286</v>
      </c>
      <c r="D55" s="413"/>
      <c r="E55" s="413"/>
      <c r="F55" s="237" t="s">
        <v>95</v>
      </c>
      <c r="G55" s="236" t="s">
        <v>287</v>
      </c>
      <c r="H55" s="254" t="str">
        <f>H48</f>
        <v>Y1</v>
      </c>
      <c r="I55" s="254" t="str">
        <f t="shared" ref="I55:O55" si="16">I48</f>
        <v>Y2</v>
      </c>
      <c r="J55" s="254" t="str">
        <f t="shared" si="16"/>
        <v>Y3</v>
      </c>
      <c r="K55" s="254" t="str">
        <f t="shared" si="16"/>
        <v>Y4</v>
      </c>
      <c r="L55" s="254" t="str">
        <f t="shared" si="16"/>
        <v>Y5</v>
      </c>
      <c r="M55" s="254" t="str">
        <f t="shared" si="16"/>
        <v>Y6</v>
      </c>
      <c r="N55" s="256" t="s">
        <v>251</v>
      </c>
      <c r="Q55" s="254" t="str">
        <f>H55</f>
        <v>Y1</v>
      </c>
      <c r="R55" s="255" t="str">
        <f t="shared" ref="R55" si="17">I55</f>
        <v>Y2</v>
      </c>
      <c r="S55" s="255" t="str">
        <f t="shared" ref="S55" si="18">J55</f>
        <v>Y3</v>
      </c>
      <c r="T55" s="255" t="str">
        <f t="shared" ref="T55" si="19">K55</f>
        <v>Y4</v>
      </c>
      <c r="U55" s="255" t="str">
        <f t="shared" ref="U55" si="20">L55</f>
        <v>Y5</v>
      </c>
      <c r="V55" s="255" t="str">
        <f t="shared" ref="V55" si="21">M55</f>
        <v>Y6</v>
      </c>
      <c r="W55" s="256" t="s">
        <v>251</v>
      </c>
    </row>
    <row r="56" spans="1:23">
      <c r="A56" s="438"/>
      <c r="B56" s="257" t="str">
        <f>B49</f>
        <v>Plain, irrigated</v>
      </c>
      <c r="C56" s="258">
        <f>M38</f>
        <v>614.68912351488189</v>
      </c>
      <c r="D56" s="258">
        <f>N38</f>
        <v>788.44105963073162</v>
      </c>
      <c r="E56" s="259">
        <f>D56-C56</f>
        <v>173.75193611584973</v>
      </c>
      <c r="F56" s="260">
        <v>0.5</v>
      </c>
      <c r="G56" s="261">
        <f>F56*$I$13</f>
        <v>224999.99999999997</v>
      </c>
      <c r="H56" s="262">
        <f>$F56*C$15</f>
        <v>7688.9298887326877</v>
      </c>
      <c r="I56" s="262">
        <f>$F56*D$15</f>
        <v>22988.678987518175</v>
      </c>
      <c r="J56" s="262">
        <f>$F56*E$15</f>
        <v>27402.037152961908</v>
      </c>
      <c r="K56" s="262">
        <f>$F56*F$15</f>
        <v>20062.243290473743</v>
      </c>
      <c r="L56" s="262">
        <f>$F56*G$15</f>
        <v>22726.8287071778</v>
      </c>
      <c r="M56" s="262">
        <f>$F56*H$15</f>
        <v>26293.313097892049</v>
      </c>
      <c r="N56" s="263">
        <f>SUM(H56:M56)</f>
        <v>127162.03112475637</v>
      </c>
      <c r="Q56" s="262">
        <f>H56*$E56/1000</f>
        <v>1335.9664548263297</v>
      </c>
      <c r="R56" s="262">
        <f>I56*$E56/1000</f>
        <v>3994.3274828270346</v>
      </c>
      <c r="S56" s="262">
        <f t="shared" ref="S56:S57" si="22">J56*$E56/1000</f>
        <v>4761.1570088455783</v>
      </c>
      <c r="T56" s="262">
        <f t="shared" ref="T56:T57" si="23">K56*$E56/1000</f>
        <v>3485.8536145470289</v>
      </c>
      <c r="U56" s="262">
        <f t="shared" ref="U56:U57" si="24">L56*$E56/1000</f>
        <v>3948.8304896454169</v>
      </c>
      <c r="V56" s="262">
        <f t="shared" ref="V56:V57" si="25">M56*$E56/1000</f>
        <v>4568.5140576589738</v>
      </c>
      <c r="W56" s="262">
        <f>SUM(Q56:V56)</f>
        <v>22094.649108350361</v>
      </c>
    </row>
    <row r="57" spans="1:23">
      <c r="A57" s="438"/>
      <c r="B57" s="257" t="str">
        <f>B50</f>
        <v>Hilly, rainfed</v>
      </c>
      <c r="C57" s="258">
        <f>O38</f>
        <v>995.21012831132578</v>
      </c>
      <c r="D57" s="258">
        <f>P38</f>
        <v>1292.4988703620245</v>
      </c>
      <c r="E57" s="259">
        <f>D57-C57</f>
        <v>297.28874205069872</v>
      </c>
      <c r="F57" s="264">
        <v>0.5</v>
      </c>
      <c r="G57" s="261">
        <f>F57*$I$13</f>
        <v>224999.99999999997</v>
      </c>
      <c r="H57" s="262">
        <f>$F57*C$15</f>
        <v>7688.9298887326877</v>
      </c>
      <c r="I57" s="262">
        <f>$F57*D$15</f>
        <v>22988.678987518175</v>
      </c>
      <c r="J57" s="262">
        <f>$F57*E$15</f>
        <v>27402.037152961908</v>
      </c>
      <c r="K57" s="262">
        <f>$F57*F$15</f>
        <v>20062.243290473743</v>
      </c>
      <c r="L57" s="262">
        <f>$F57*G$15</f>
        <v>22726.8287071778</v>
      </c>
      <c r="M57" s="262">
        <f>$F57*H$15</f>
        <v>26293.313097892049</v>
      </c>
      <c r="N57" s="263">
        <f>SUM(H57:M57)</f>
        <v>127162.03112475637</v>
      </c>
      <c r="Q57" s="262">
        <f t="shared" ref="Q57" si="26">H57*$E57/1000</f>
        <v>2285.8322943373596</v>
      </c>
      <c r="R57" s="262">
        <f t="shared" ref="R57" si="27">I57*$E57/1000</f>
        <v>6834.2754576066081</v>
      </c>
      <c r="S57" s="262">
        <f t="shared" si="22"/>
        <v>8146.3171548305554</v>
      </c>
      <c r="T57" s="262">
        <f t="shared" si="23"/>
        <v>5964.2790705400103</v>
      </c>
      <c r="U57" s="262">
        <f t="shared" si="24"/>
        <v>6756.4303171585952</v>
      </c>
      <c r="V57" s="262">
        <f t="shared" si="25"/>
        <v>7816.7059752174873</v>
      </c>
      <c r="W57" s="262">
        <f t="shared" ref="W57:W58" si="28">SUM(Q57:V57)</f>
        <v>37803.84026969062</v>
      </c>
    </row>
    <row r="58" spans="1:23">
      <c r="A58" s="438"/>
      <c r="B58" s="251" t="s">
        <v>251</v>
      </c>
      <c r="C58" s="251"/>
      <c r="D58" s="251"/>
      <c r="E58" s="251"/>
      <c r="F58" s="265">
        <f>SUM(F56:F57)</f>
        <v>1</v>
      </c>
      <c r="G58" s="266">
        <f>SUM(G56:G57)</f>
        <v>449999.99999999994</v>
      </c>
      <c r="H58" s="267">
        <f>$F58*C$15</f>
        <v>15377.859777465375</v>
      </c>
      <c r="I58" s="267">
        <f>$F58*D$15</f>
        <v>45977.35797503635</v>
      </c>
      <c r="J58" s="267">
        <f>$F58*E$15</f>
        <v>54804.074305923816</v>
      </c>
      <c r="K58" s="267">
        <f>$F58*F$15</f>
        <v>40124.486580947487</v>
      </c>
      <c r="L58" s="267">
        <f>$F58*G$15</f>
        <v>45453.657414355599</v>
      </c>
      <c r="M58" s="267">
        <f>$F58*H$15</f>
        <v>52586.626195784098</v>
      </c>
      <c r="N58" s="268">
        <f>SUM(H58:M58)</f>
        <v>254324.06224951273</v>
      </c>
      <c r="Q58" s="269">
        <f t="shared" ref="Q58" si="29">SUM(Q56:Q57)</f>
        <v>3621.7987491636895</v>
      </c>
      <c r="R58" s="269">
        <f t="shared" ref="R58" si="30">SUM(R56:R57)</f>
        <v>10828.602940433642</v>
      </c>
      <c r="S58" s="269">
        <f t="shared" ref="S58" si="31">SUM(S56:S57)</f>
        <v>12907.474163676134</v>
      </c>
      <c r="T58" s="269">
        <f t="shared" ref="T58" si="32">SUM(T56:T57)</f>
        <v>9450.1326850870391</v>
      </c>
      <c r="U58" s="269">
        <f t="shared" ref="U58" si="33">SUM(U56:U57)</f>
        <v>10705.260806804012</v>
      </c>
      <c r="V58" s="269">
        <f t="shared" ref="V58" si="34">SUM(V56:V57)</f>
        <v>12385.220032876461</v>
      </c>
      <c r="W58" s="262">
        <f t="shared" si="28"/>
        <v>59898.489378040977</v>
      </c>
    </row>
  </sheetData>
  <mergeCells count="31">
    <mergeCell ref="A54:A58"/>
    <mergeCell ref="B54:B55"/>
    <mergeCell ref="F54:G54"/>
    <mergeCell ref="C55:E55"/>
    <mergeCell ref="H54:N54"/>
    <mergeCell ref="A19:A20"/>
    <mergeCell ref="B47:B48"/>
    <mergeCell ref="B41:C41"/>
    <mergeCell ref="B42:E42"/>
    <mergeCell ref="D41:E41"/>
    <mergeCell ref="C48:E48"/>
    <mergeCell ref="A47:A51"/>
    <mergeCell ref="A41:A44"/>
    <mergeCell ref="F47:G47"/>
    <mergeCell ref="B19:C19"/>
    <mergeCell ref="D19:E19"/>
    <mergeCell ref="B17:I17"/>
    <mergeCell ref="F18:G18"/>
    <mergeCell ref="B18:C18"/>
    <mergeCell ref="D18:E18"/>
    <mergeCell ref="H18:I18"/>
    <mergeCell ref="F19:G19"/>
    <mergeCell ref="Q47:W47"/>
    <mergeCell ref="Q54:W54"/>
    <mergeCell ref="O18:P18"/>
    <mergeCell ref="M17:P17"/>
    <mergeCell ref="H19:I19"/>
    <mergeCell ref="O19:P19"/>
    <mergeCell ref="M18:N18"/>
    <mergeCell ref="M19:N19"/>
    <mergeCell ref="H47:N47"/>
  </mergeCells>
  <phoneticPr fontId="10" type="noConversion"/>
  <hyperlinks>
    <hyperlink ref="A1" location="ToC!A1" display=" Back to TOC" xr:uid="{301A2E3A-3E55-4118-8CE7-30F9E6C98AD5}"/>
  </hyperlinks>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46F4E-7244-4C1C-AC12-AE116BA1C93F}">
  <sheetPr>
    <tabColor rgb="FFFFC000"/>
  </sheetPr>
  <dimension ref="A1:C42"/>
  <sheetViews>
    <sheetView zoomScale="78" zoomScaleNormal="78" workbookViewId="0">
      <selection activeCell="C109" sqref="C109"/>
    </sheetView>
  </sheetViews>
  <sheetFormatPr defaultColWidth="8.7109375" defaultRowHeight="12.95"/>
  <cols>
    <col min="1" max="1" width="29.28515625" style="78" customWidth="1"/>
    <col min="2" max="2" width="10.7109375" style="78" customWidth="1"/>
    <col min="3" max="3" width="8.85546875" style="78" bestFit="1" customWidth="1"/>
    <col min="4" max="16384" width="8.7109375" style="78"/>
  </cols>
  <sheetData>
    <row r="1" spans="1:3" s="216" customFormat="1">
      <c r="A1" s="215" t="s">
        <v>31</v>
      </c>
    </row>
    <row r="2" spans="1:3" s="217" customFormat="1">
      <c r="B2" s="216"/>
    </row>
    <row r="3" spans="1:3" s="218" customFormat="1">
      <c r="A3" s="441" t="s">
        <v>289</v>
      </c>
      <c r="B3" s="441"/>
      <c r="C3" s="441"/>
    </row>
    <row r="4" spans="1:3" ht="26.1">
      <c r="A4" s="77" t="s">
        <v>272</v>
      </c>
      <c r="B4" s="82" t="s">
        <v>290</v>
      </c>
      <c r="C4" s="219"/>
    </row>
    <row r="5" spans="1:3">
      <c r="A5" s="78" t="s">
        <v>291</v>
      </c>
      <c r="B5" s="333">
        <f>RiceAromatic!D50</f>
        <v>345.53000491883915</v>
      </c>
      <c r="C5" s="219"/>
    </row>
    <row r="6" spans="1:3">
      <c r="A6" s="78" t="s">
        <v>292</v>
      </c>
      <c r="B6" s="333">
        <f>RiceAromatic!E50</f>
        <v>528.10665682898832</v>
      </c>
      <c r="C6" s="219"/>
    </row>
    <row r="7" spans="1:3">
      <c r="A7" s="78" t="s">
        <v>293</v>
      </c>
      <c r="B7" s="333">
        <f>'Rice-non aromatic'!D50</f>
        <v>272.11257747171669</v>
      </c>
      <c r="C7" s="219"/>
    </row>
    <row r="8" spans="1:3">
      <c r="A8" s="78" t="s">
        <v>294</v>
      </c>
      <c r="B8" s="333">
        <f>Mango!D50</f>
        <v>652.10280373831779</v>
      </c>
      <c r="C8" s="219"/>
    </row>
    <row r="9" spans="1:3">
      <c r="A9" s="78" t="s">
        <v>295</v>
      </c>
      <c r="B9" s="333">
        <f>Cashewnut!D50</f>
        <v>624.84751598622722</v>
      </c>
      <c r="C9" s="219"/>
    </row>
    <row r="10" spans="1:3">
      <c r="A10" s="78" t="s">
        <v>21</v>
      </c>
      <c r="B10" s="333">
        <f>WaterConvolvulus!D50</f>
        <v>420.17621741269062</v>
      </c>
      <c r="C10" s="219"/>
    </row>
    <row r="11" spans="1:3">
      <c r="A11" s="78" t="s">
        <v>20</v>
      </c>
      <c r="B11" s="333">
        <f>WaterConvolvulus!D50</f>
        <v>420.17621741269062</v>
      </c>
      <c r="C11" s="219"/>
    </row>
    <row r="12" spans="1:3">
      <c r="A12" s="78" t="s">
        <v>296</v>
      </c>
      <c r="B12" s="333">
        <f>'Snake gourd'!D50</f>
        <v>866.29734382685683</v>
      </c>
      <c r="C12" s="219"/>
    </row>
    <row r="13" spans="1:3">
      <c r="A13" s="78" t="s">
        <v>297</v>
      </c>
      <c r="B13" s="333">
        <f>Mungbean!D50</f>
        <v>315.87924249877028</v>
      </c>
      <c r="C13" s="219"/>
    </row>
    <row r="14" spans="1:3">
      <c r="A14" s="78" t="s">
        <v>298</v>
      </c>
      <c r="B14" s="333">
        <f>Maize!D50</f>
        <v>670.20413182488937</v>
      </c>
      <c r="C14" s="219"/>
    </row>
    <row r="15" spans="1:3">
      <c r="A15" s="78" t="s">
        <v>299</v>
      </c>
      <c r="B15" s="334">
        <f>Soybeans!D50</f>
        <v>498.40137727496312</v>
      </c>
      <c r="C15" s="219"/>
    </row>
    <row r="16" spans="1:3">
      <c r="A16" s="78" t="s">
        <v>300</v>
      </c>
      <c r="B16" s="334">
        <f>Cassava!D50</f>
        <v>716.12666010821442</v>
      </c>
      <c r="C16" s="219"/>
    </row>
    <row r="17" spans="1:3">
      <c r="A17" s="78" t="s">
        <v>301</v>
      </c>
      <c r="B17" s="334">
        <f>Maize!E50</f>
        <v>743.06738809640922</v>
      </c>
      <c r="C17" s="219"/>
    </row>
    <row r="18" spans="1:3">
      <c r="A18" s="78" t="s">
        <v>302</v>
      </c>
      <c r="B18" s="334">
        <f>Soybeans!E50</f>
        <v>551.73684210526312</v>
      </c>
      <c r="C18" s="219"/>
    </row>
    <row r="19" spans="1:3">
      <c r="A19" s="78" t="s">
        <v>303</v>
      </c>
      <c r="B19" s="334">
        <f>Cassava!E50</f>
        <v>791.87973438268568</v>
      </c>
      <c r="C19" s="219"/>
    </row>
    <row r="20" spans="1:3">
      <c r="A20" s="78" t="s">
        <v>26</v>
      </c>
      <c r="B20" s="334">
        <f>SweetPotato!D50</f>
        <v>127.01340383669454</v>
      </c>
      <c r="C20" s="219"/>
    </row>
    <row r="21" spans="1:3">
      <c r="A21" s="335" t="s">
        <v>28</v>
      </c>
      <c r="B21" s="336">
        <f>Peanut!D50</f>
        <v>57.640186915887853</v>
      </c>
    </row>
    <row r="23" spans="1:3" s="210" customFormat="1">
      <c r="A23" s="210" t="s">
        <v>304</v>
      </c>
    </row>
    <row r="24" spans="1:3">
      <c r="A24" s="439" t="s">
        <v>272</v>
      </c>
      <c r="B24" s="77"/>
    </row>
    <row r="25" spans="1:3" ht="26.1">
      <c r="A25" s="440"/>
      <c r="B25" s="83" t="s">
        <v>290</v>
      </c>
    </row>
    <row r="26" spans="1:3">
      <c r="A26" s="79" t="str">
        <f t="shared" ref="A26:A37" si="0">A5</f>
        <v>Rice aromatic_conventional</v>
      </c>
      <c r="B26" s="80">
        <f>RiceAromatic!D99</f>
        <v>344.24035511467127</v>
      </c>
    </row>
    <row r="27" spans="1:3">
      <c r="A27" s="79" t="str">
        <f t="shared" si="0"/>
        <v>Rice aromatic_organic</v>
      </c>
      <c r="B27" s="80">
        <f>RiceAromatic!E99</f>
        <v>511.51933183131888</v>
      </c>
    </row>
    <row r="28" spans="1:3">
      <c r="A28" s="79" t="str">
        <f t="shared" si="0"/>
        <v>Rice non aromatic</v>
      </c>
      <c r="B28" s="80">
        <f>'Rice-non aromatic'!D99</f>
        <v>245.52482504006818</v>
      </c>
    </row>
    <row r="29" spans="1:3">
      <c r="A29" s="79" t="str">
        <f t="shared" si="0"/>
        <v xml:space="preserve">Mango </v>
      </c>
      <c r="B29" s="80">
        <f>Mango!D99</f>
        <v>646.70408511491064</v>
      </c>
    </row>
    <row r="30" spans="1:3">
      <c r="A30" s="79" t="str">
        <f t="shared" si="0"/>
        <v>Cashew nuts</v>
      </c>
      <c r="B30" s="81">
        <f>Cashewnut!D99</f>
        <v>596.29663260070561</v>
      </c>
    </row>
    <row r="31" spans="1:3">
      <c r="A31" s="79" t="str">
        <f t="shared" si="0"/>
        <v>Long bean</v>
      </c>
      <c r="B31" s="80">
        <f>Longbean!D99</f>
        <v>174.57578937073953</v>
      </c>
    </row>
    <row r="32" spans="1:3">
      <c r="A32" s="79" t="str">
        <f t="shared" si="0"/>
        <v>Water Convolvulus</v>
      </c>
      <c r="B32" s="80">
        <f>WaterConvolvulus!D99</f>
        <v>470.47986431346601</v>
      </c>
    </row>
    <row r="33" spans="1:2">
      <c r="A33" s="79" t="str">
        <f t="shared" si="0"/>
        <v>Snake Gourd</v>
      </c>
      <c r="B33" s="80">
        <f>'Snake gourd'!D99</f>
        <v>999.4767436074502</v>
      </c>
    </row>
    <row r="34" spans="1:2">
      <c r="A34" s="79" t="str">
        <f t="shared" si="0"/>
        <v>Mung bean</v>
      </c>
      <c r="B34" s="80">
        <f>Mungbean!D99</f>
        <v>295.2158910556912</v>
      </c>
    </row>
    <row r="35" spans="1:2">
      <c r="A35" s="79" t="str">
        <f t="shared" si="0"/>
        <v>Maize_conventional</v>
      </c>
      <c r="B35" s="80">
        <f>Maize!D99</f>
        <v>651.6389468618944</v>
      </c>
    </row>
    <row r="36" spans="1:2">
      <c r="A36" s="79" t="str">
        <f t="shared" si="0"/>
        <v>Soybean_conventional</v>
      </c>
      <c r="B36" s="84">
        <f>Soybeans!D99</f>
        <v>464.97235683935378</v>
      </c>
    </row>
    <row r="37" spans="1:2">
      <c r="A37" s="79" t="str">
        <f t="shared" si="0"/>
        <v>Cassava_conventional</v>
      </c>
      <c r="B37" s="84">
        <f>Cassava!D99</f>
        <v>681.65257184501877</v>
      </c>
    </row>
    <row r="38" spans="1:2">
      <c r="A38" s="79" t="str">
        <f t="shared" ref="A38:A40" si="1">A17</f>
        <v>Maize_improved</v>
      </c>
      <c r="B38" s="84">
        <f>Maize!E99</f>
        <v>721.86241894480486</v>
      </c>
    </row>
    <row r="39" spans="1:2">
      <c r="A39" s="79" t="str">
        <f t="shared" si="1"/>
        <v>Soybean_improved</v>
      </c>
      <c r="B39" s="84">
        <f>Soybeans!E99</f>
        <v>516.42631985972594</v>
      </c>
    </row>
    <row r="40" spans="1:2">
      <c r="A40" s="79" t="str">
        <f t="shared" si="1"/>
        <v>Cassava_improved</v>
      </c>
      <c r="B40" s="84">
        <f>Cassava!E99</f>
        <v>754.85600356811574</v>
      </c>
    </row>
    <row r="41" spans="1:2">
      <c r="A41" s="79" t="str">
        <f>A20</f>
        <v>Sweet potato</v>
      </c>
      <c r="B41" s="84">
        <f>SweetPotato!D99</f>
        <v>116.76457283952685</v>
      </c>
    </row>
    <row r="42" spans="1:2">
      <c r="A42" s="79" t="str">
        <f>A21</f>
        <v>Peanut</v>
      </c>
      <c r="B42" s="84">
        <f>Peanut!D99</f>
        <v>37.806906420486754</v>
      </c>
    </row>
  </sheetData>
  <mergeCells count="2">
    <mergeCell ref="A24:A25"/>
    <mergeCell ref="A3:C3"/>
  </mergeCells>
  <conditionalFormatting sqref="B5:B21 B26:B37 B42">
    <cfRule type="cellIs" dxfId="1" priority="3" operator="lessThan">
      <formula>0</formula>
    </cfRule>
  </conditionalFormatting>
  <conditionalFormatting sqref="B38:B41">
    <cfRule type="cellIs" dxfId="0" priority="1" operator="lessThan">
      <formula>0</formula>
    </cfRule>
  </conditionalFormatting>
  <hyperlinks>
    <hyperlink ref="A1" location="ToC!A1" display=" Back to TOC" xr:uid="{CC841C1C-F138-486F-BF29-26B8D20547EE}"/>
  </hyperlinks>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E1BF7-A4C6-4BA4-8A4D-B013DE6CFDCD}">
  <dimension ref="A1:I100"/>
  <sheetViews>
    <sheetView topLeftCell="A2" zoomScale="70" zoomScaleNormal="70" workbookViewId="0">
      <selection activeCell="B58" sqref="B58"/>
    </sheetView>
  </sheetViews>
  <sheetFormatPr defaultColWidth="9.140625" defaultRowHeight="14.1"/>
  <cols>
    <col min="1" max="1" width="24.28515625" style="51" customWidth="1"/>
    <col min="2" max="2" width="42.7109375" style="51" bestFit="1" customWidth="1"/>
    <col min="3" max="3" width="14.5703125" style="51" bestFit="1" customWidth="1"/>
    <col min="4" max="4" width="15.5703125" style="58" customWidth="1"/>
    <col min="5" max="5" width="15.5703125" style="59" customWidth="1"/>
    <col min="6" max="7" width="9.140625" style="40"/>
    <col min="8" max="8" width="37.85546875" style="40" customWidth="1"/>
    <col min="9" max="16384" width="9.140625" style="40"/>
  </cols>
  <sheetData>
    <row r="1" spans="1:5" s="30" customFormat="1" ht="12.95">
      <c r="A1" s="29" t="s">
        <v>31</v>
      </c>
    </row>
    <row r="3" spans="1:5" s="94" customFormat="1">
      <c r="A3" s="96" t="s">
        <v>75</v>
      </c>
      <c r="B3" s="91"/>
      <c r="C3" s="91"/>
      <c r="D3" s="92"/>
      <c r="E3" s="93"/>
    </row>
    <row r="4" spans="1:5" s="39" customFormat="1">
      <c r="A4" s="36" t="s">
        <v>305</v>
      </c>
      <c r="B4" s="36"/>
      <c r="C4" s="36"/>
      <c r="D4" s="37"/>
      <c r="E4" s="38"/>
    </row>
    <row r="5" spans="1:5" ht="15" customHeight="1">
      <c r="A5" s="41" t="s">
        <v>306</v>
      </c>
      <c r="B5" s="42"/>
      <c r="C5" s="43" t="s">
        <v>71</v>
      </c>
      <c r="D5" s="98" t="s">
        <v>307</v>
      </c>
      <c r="E5" s="99" t="s">
        <v>308</v>
      </c>
    </row>
    <row r="6" spans="1:5" ht="19.5" customHeight="1">
      <c r="A6" s="45" t="s">
        <v>309</v>
      </c>
      <c r="B6" s="45" t="s">
        <v>310</v>
      </c>
      <c r="C6" s="46" t="s">
        <v>311</v>
      </c>
      <c r="D6" s="47">
        <v>200</v>
      </c>
      <c r="E6" s="47">
        <f>D6</f>
        <v>200</v>
      </c>
    </row>
    <row r="7" spans="1:5">
      <c r="A7" s="45"/>
      <c r="B7" s="48" t="s">
        <v>312</v>
      </c>
      <c r="C7" s="48" t="s">
        <v>311</v>
      </c>
      <c r="D7" s="49">
        <v>250</v>
      </c>
      <c r="E7" s="47">
        <v>150</v>
      </c>
    </row>
    <row r="8" spans="1:5">
      <c r="A8" s="45"/>
      <c r="B8" s="50" t="s">
        <v>313</v>
      </c>
      <c r="C8" s="50" t="s">
        <v>314</v>
      </c>
      <c r="D8" s="49">
        <v>2</v>
      </c>
      <c r="E8" s="47">
        <v>0</v>
      </c>
    </row>
    <row r="9" spans="1:5">
      <c r="A9" s="45"/>
      <c r="B9" s="50" t="s">
        <v>315</v>
      </c>
      <c r="C9" s="50" t="s">
        <v>314</v>
      </c>
      <c r="D9" s="49">
        <v>2</v>
      </c>
      <c r="E9" s="47">
        <f t="shared" ref="E9:E12" si="0">D9</f>
        <v>2</v>
      </c>
    </row>
    <row r="10" spans="1:5">
      <c r="A10" s="45"/>
      <c r="B10" s="48" t="s">
        <v>316</v>
      </c>
      <c r="C10" s="50" t="s">
        <v>317</v>
      </c>
      <c r="D10" s="49">
        <v>4</v>
      </c>
      <c r="E10" s="47">
        <f t="shared" si="0"/>
        <v>4</v>
      </c>
    </row>
    <row r="11" spans="1:5">
      <c r="A11" s="45"/>
      <c r="B11" s="48" t="s">
        <v>318</v>
      </c>
      <c r="C11" s="50" t="s">
        <v>319</v>
      </c>
      <c r="D11" s="49">
        <v>6</v>
      </c>
      <c r="E11" s="47">
        <f t="shared" si="0"/>
        <v>6</v>
      </c>
    </row>
    <row r="12" spans="1:5">
      <c r="D12" s="49"/>
      <c r="E12" s="47">
        <f t="shared" si="0"/>
        <v>0</v>
      </c>
    </row>
    <row r="13" spans="1:5">
      <c r="A13" s="45" t="s">
        <v>320</v>
      </c>
      <c r="B13" s="50" t="s">
        <v>321</v>
      </c>
      <c r="C13" s="48" t="s">
        <v>322</v>
      </c>
      <c r="D13" s="52">
        <v>0</v>
      </c>
      <c r="E13" s="52">
        <v>4.5915790440332431</v>
      </c>
    </row>
    <row r="14" spans="1:5">
      <c r="A14" s="48"/>
      <c r="B14" s="50" t="s">
        <v>323</v>
      </c>
      <c r="C14" s="48" t="s">
        <v>322</v>
      </c>
      <c r="D14" s="52">
        <v>8.2648422792598382</v>
      </c>
      <c r="E14" s="52">
        <v>0</v>
      </c>
    </row>
    <row r="15" spans="1:5">
      <c r="A15" s="50"/>
      <c r="B15" s="45" t="s">
        <v>324</v>
      </c>
      <c r="C15" s="48" t="s">
        <v>322</v>
      </c>
      <c r="D15" s="52">
        <v>1.8366316176132973</v>
      </c>
      <c r="E15" s="52">
        <v>1.8366316176132973</v>
      </c>
    </row>
    <row r="16" spans="1:5">
      <c r="A16" s="53"/>
      <c r="B16" s="45" t="s">
        <v>325</v>
      </c>
      <c r="C16" s="48" t="s">
        <v>322</v>
      </c>
      <c r="D16" s="52">
        <v>1.8366316176132973</v>
      </c>
      <c r="E16" s="52">
        <v>1.8366316176132973</v>
      </c>
    </row>
    <row r="17" spans="1:5">
      <c r="A17" s="53"/>
      <c r="B17" s="45" t="s">
        <v>326</v>
      </c>
      <c r="C17" s="48" t="s">
        <v>322</v>
      </c>
      <c r="D17" s="52">
        <v>1.8366316176132973</v>
      </c>
      <c r="E17" s="52">
        <v>1.8366316176132973</v>
      </c>
    </row>
    <row r="18" spans="1:5">
      <c r="A18" s="53"/>
      <c r="B18" s="45" t="s">
        <v>327</v>
      </c>
      <c r="C18" s="48" t="s">
        <v>322</v>
      </c>
      <c r="D18" s="52">
        <v>13.866568712980394</v>
      </c>
      <c r="E18" s="52">
        <v>13.866568712980394</v>
      </c>
    </row>
    <row r="19" spans="1:5">
      <c r="A19" s="53"/>
      <c r="D19" s="49"/>
      <c r="E19" s="49"/>
    </row>
    <row r="20" spans="1:5">
      <c r="A20" s="45" t="s">
        <v>328</v>
      </c>
      <c r="B20" s="45" t="s">
        <v>329</v>
      </c>
      <c r="C20" s="46" t="s">
        <v>118</v>
      </c>
      <c r="D20" s="49">
        <v>1946.6666666666667</v>
      </c>
      <c r="E20" s="49">
        <v>1946.6666666666667</v>
      </c>
    </row>
    <row r="21" spans="1:5">
      <c r="A21" s="45"/>
      <c r="B21" s="48" t="s">
        <v>312</v>
      </c>
      <c r="C21" s="46" t="s">
        <v>118</v>
      </c>
      <c r="D21" s="49">
        <v>2580</v>
      </c>
      <c r="E21" s="49">
        <v>2580</v>
      </c>
    </row>
    <row r="22" spans="1:5">
      <c r="A22" s="45"/>
      <c r="B22" s="50" t="s">
        <v>313</v>
      </c>
      <c r="C22" s="46" t="s">
        <v>330</v>
      </c>
      <c r="D22" s="49">
        <v>62000</v>
      </c>
      <c r="E22" s="49">
        <v>62000</v>
      </c>
    </row>
    <row r="23" spans="1:5">
      <c r="A23" s="45"/>
      <c r="B23" s="50" t="s">
        <v>331</v>
      </c>
      <c r="C23" s="46" t="s">
        <v>330</v>
      </c>
      <c r="D23" s="49">
        <v>80000</v>
      </c>
      <c r="E23" s="49">
        <v>80000</v>
      </c>
    </row>
    <row r="24" spans="1:5">
      <c r="B24" s="48" t="s">
        <v>316</v>
      </c>
      <c r="C24" s="50" t="s">
        <v>332</v>
      </c>
      <c r="D24" s="49">
        <v>62500</v>
      </c>
      <c r="E24" s="49">
        <v>62500</v>
      </c>
    </row>
    <row r="25" spans="1:5">
      <c r="B25" s="51" t="s">
        <v>333</v>
      </c>
      <c r="C25" s="51" t="s">
        <v>334</v>
      </c>
      <c r="D25" s="54">
        <v>1.4999999999999999E-2</v>
      </c>
      <c r="E25" s="54">
        <v>1.4999999999999999E-2</v>
      </c>
    </row>
    <row r="26" spans="1:5">
      <c r="B26" s="51" t="s">
        <v>335</v>
      </c>
      <c r="C26" s="46" t="s">
        <v>336</v>
      </c>
      <c r="D26" s="49">
        <v>21779</v>
      </c>
      <c r="E26" s="55">
        <f>D26</f>
        <v>21779</v>
      </c>
    </row>
    <row r="27" spans="1:5">
      <c r="A27" s="51" t="s">
        <v>337</v>
      </c>
      <c r="B27" s="51" t="s">
        <v>338</v>
      </c>
      <c r="C27" s="51" t="s">
        <v>339</v>
      </c>
      <c r="D27" s="49">
        <f t="shared" ref="D27:E31" si="1">+D6*D20</f>
        <v>389333.33333333337</v>
      </c>
      <c r="E27" s="49">
        <f t="shared" si="1"/>
        <v>389333.33333333337</v>
      </c>
    </row>
    <row r="28" spans="1:5">
      <c r="B28" s="48" t="s">
        <v>312</v>
      </c>
      <c r="C28" s="51" t="s">
        <v>339</v>
      </c>
      <c r="D28" s="49">
        <f t="shared" si="1"/>
        <v>645000</v>
      </c>
      <c r="E28" s="49">
        <f t="shared" si="1"/>
        <v>387000</v>
      </c>
    </row>
    <row r="29" spans="1:5">
      <c r="A29" s="45"/>
      <c r="B29" s="50" t="s">
        <v>313</v>
      </c>
      <c r="C29" s="51" t="s">
        <v>339</v>
      </c>
      <c r="D29" s="49">
        <f t="shared" si="1"/>
        <v>124000</v>
      </c>
      <c r="E29" s="49">
        <f t="shared" si="1"/>
        <v>0</v>
      </c>
    </row>
    <row r="30" spans="1:5">
      <c r="A30" s="45"/>
      <c r="B30" s="50" t="s">
        <v>315</v>
      </c>
      <c r="C30" s="51" t="s">
        <v>339</v>
      </c>
      <c r="D30" s="49">
        <f t="shared" si="1"/>
        <v>160000</v>
      </c>
      <c r="E30" s="49">
        <f t="shared" si="1"/>
        <v>160000</v>
      </c>
    </row>
    <row r="31" spans="1:5">
      <c r="A31" s="45"/>
      <c r="B31" s="48" t="s">
        <v>316</v>
      </c>
      <c r="C31" s="51" t="s">
        <v>339</v>
      </c>
      <c r="D31" s="49">
        <f t="shared" si="1"/>
        <v>250000</v>
      </c>
      <c r="E31" s="49">
        <f t="shared" si="1"/>
        <v>250000</v>
      </c>
    </row>
    <row r="32" spans="1:5">
      <c r="B32" s="50" t="s">
        <v>321</v>
      </c>
      <c r="C32" s="51" t="s">
        <v>339</v>
      </c>
      <c r="D32" s="49">
        <f>++D13*D$26</f>
        <v>0</v>
      </c>
      <c r="E32" s="49">
        <f>++E13*E$26</f>
        <v>100000</v>
      </c>
    </row>
    <row r="33" spans="1:6">
      <c r="B33" s="50" t="s">
        <v>323</v>
      </c>
      <c r="C33" s="51" t="s">
        <v>339</v>
      </c>
      <c r="D33" s="49">
        <f t="shared" ref="D33:E37" si="2">++D14*D$26</f>
        <v>180000.00000000003</v>
      </c>
      <c r="E33" s="49">
        <f t="shared" si="2"/>
        <v>0</v>
      </c>
    </row>
    <row r="34" spans="1:6">
      <c r="B34" s="45" t="s">
        <v>324</v>
      </c>
      <c r="C34" s="51" t="s">
        <v>339</v>
      </c>
      <c r="D34" s="49">
        <f t="shared" si="2"/>
        <v>40000</v>
      </c>
      <c r="E34" s="49">
        <f t="shared" si="2"/>
        <v>40000</v>
      </c>
    </row>
    <row r="35" spans="1:6">
      <c r="B35" s="45" t="s">
        <v>325</v>
      </c>
      <c r="C35" s="51" t="s">
        <v>339</v>
      </c>
      <c r="D35" s="49">
        <f t="shared" si="2"/>
        <v>40000</v>
      </c>
      <c r="E35" s="49">
        <f t="shared" si="2"/>
        <v>40000</v>
      </c>
    </row>
    <row r="36" spans="1:6">
      <c r="B36" s="45" t="s">
        <v>326</v>
      </c>
      <c r="C36" s="51" t="s">
        <v>339</v>
      </c>
      <c r="D36" s="49">
        <f t="shared" si="2"/>
        <v>40000</v>
      </c>
      <c r="E36" s="49">
        <f t="shared" si="2"/>
        <v>40000</v>
      </c>
    </row>
    <row r="37" spans="1:6">
      <c r="B37" s="45" t="s">
        <v>327</v>
      </c>
      <c r="C37" s="51" t="s">
        <v>339</v>
      </c>
      <c r="D37" s="49">
        <f t="shared" si="2"/>
        <v>302000</v>
      </c>
      <c r="E37" s="49">
        <f t="shared" si="2"/>
        <v>302000</v>
      </c>
    </row>
    <row r="38" spans="1:6">
      <c r="A38" s="45"/>
      <c r="B38" s="45"/>
      <c r="C38" s="45"/>
      <c r="D38" s="49"/>
      <c r="E38" s="49"/>
    </row>
    <row r="39" spans="1:6">
      <c r="A39" s="45" t="s">
        <v>340</v>
      </c>
      <c r="B39" s="45" t="s">
        <v>341</v>
      </c>
      <c r="C39" s="45" t="s">
        <v>339</v>
      </c>
      <c r="D39" s="49">
        <v>0</v>
      </c>
      <c r="E39" s="49">
        <v>0</v>
      </c>
    </row>
    <row r="40" spans="1:6">
      <c r="A40" s="45"/>
      <c r="B40" s="45" t="s">
        <v>342</v>
      </c>
      <c r="C40" s="45" t="s">
        <v>339</v>
      </c>
      <c r="D40" s="49">
        <f>SUM(D27:D31)</f>
        <v>1568333.3333333335</v>
      </c>
      <c r="E40" s="49">
        <f>SUM(E27:E31)</f>
        <v>1186333.3333333335</v>
      </c>
    </row>
    <row r="41" spans="1:6">
      <c r="A41" s="56"/>
      <c r="B41" s="56" t="s">
        <v>343</v>
      </c>
      <c r="C41" s="45" t="s">
        <v>339</v>
      </c>
      <c r="D41" s="49">
        <f>SUM(D32:D37)</f>
        <v>602000</v>
      </c>
      <c r="E41" s="49">
        <f>SUM(E32:E37)</f>
        <v>522000</v>
      </c>
      <c r="F41" s="57"/>
    </row>
    <row r="42" spans="1:6">
      <c r="B42" s="51" t="s">
        <v>344</v>
      </c>
      <c r="C42" s="51" t="s">
        <v>339</v>
      </c>
      <c r="D42" s="49">
        <f>+SUM(D39:D40)*D25*D11*50%</f>
        <v>70575</v>
      </c>
      <c r="E42" s="49">
        <f>+SUM(E39:E40)*E25*E11*50%</f>
        <v>53385</v>
      </c>
      <c r="F42" s="57"/>
    </row>
    <row r="43" spans="1:6">
      <c r="D43" s="49"/>
      <c r="E43" s="49"/>
      <c r="F43" s="57"/>
    </row>
    <row r="44" spans="1:6">
      <c r="A44" s="48" t="s">
        <v>345</v>
      </c>
      <c r="B44" s="50" t="s">
        <v>346</v>
      </c>
      <c r="C44" s="48" t="s">
        <v>347</v>
      </c>
      <c r="D44" s="49">
        <v>3472.2222222222222</v>
      </c>
      <c r="E44" s="49">
        <v>1500</v>
      </c>
      <c r="F44" s="57"/>
    </row>
    <row r="45" spans="1:6">
      <c r="A45" s="48"/>
      <c r="B45" s="56" t="s">
        <v>348</v>
      </c>
      <c r="C45" s="45" t="s">
        <v>349</v>
      </c>
      <c r="D45" s="49">
        <v>1050</v>
      </c>
      <c r="E45" s="49">
        <v>2606</v>
      </c>
      <c r="F45" s="57"/>
    </row>
    <row r="46" spans="1:6">
      <c r="B46" s="51" t="s">
        <v>350</v>
      </c>
      <c r="C46" s="51" t="s">
        <v>339</v>
      </c>
      <c r="D46" s="49">
        <f>+D45*D44</f>
        <v>3645833.3333333335</v>
      </c>
      <c r="E46" s="49">
        <f>+E45*E44</f>
        <v>3909000</v>
      </c>
      <c r="F46" s="57"/>
    </row>
    <row r="47" spans="1:6">
      <c r="A47" s="56"/>
      <c r="B47" s="56"/>
      <c r="C47" s="45"/>
      <c r="D47" s="49"/>
      <c r="E47" s="49"/>
      <c r="F47" s="57"/>
    </row>
    <row r="48" spans="1:6">
      <c r="A48" s="51" t="s">
        <v>351</v>
      </c>
      <c r="B48" s="51" t="s">
        <v>352</v>
      </c>
      <c r="C48" s="51" t="s">
        <v>339</v>
      </c>
      <c r="D48" s="58">
        <f>D46-D39-D40-D42</f>
        <v>2006925</v>
      </c>
      <c r="E48" s="58">
        <f>E46-E39-E40-E42</f>
        <v>2669281.6666666665</v>
      </c>
    </row>
    <row r="49" spans="1:5">
      <c r="B49" s="51" t="s">
        <v>353</v>
      </c>
      <c r="C49" s="51" t="s">
        <v>339</v>
      </c>
      <c r="D49" s="60">
        <f>D48-D41</f>
        <v>1404925</v>
      </c>
      <c r="E49" s="60">
        <f>E48-E41</f>
        <v>2147281.6666666665</v>
      </c>
    </row>
    <row r="50" spans="1:5">
      <c r="B50" s="51" t="s">
        <v>353</v>
      </c>
      <c r="C50" s="51" t="s">
        <v>354</v>
      </c>
      <c r="D50" s="61">
        <f>D49/CF!$I$6</f>
        <v>345.53000491883915</v>
      </c>
      <c r="E50" s="61">
        <f>E49/CF!$I$6</f>
        <v>528.10665682898832</v>
      </c>
    </row>
    <row r="51" spans="1:5">
      <c r="B51" s="51" t="s">
        <v>355</v>
      </c>
      <c r="C51" s="51" t="s">
        <v>336</v>
      </c>
      <c r="D51" s="58">
        <f>D48/SUM(D13:D18)</f>
        <v>72606.012583056465</v>
      </c>
      <c r="E51" s="58">
        <f>E48/SUM(E13:E18)</f>
        <v>111368.36287037036</v>
      </c>
    </row>
    <row r="52" spans="1:5">
      <c r="B52" s="51" t="s">
        <v>356</v>
      </c>
      <c r="C52" s="51" t="s">
        <v>354</v>
      </c>
      <c r="D52" s="58">
        <f>NPV(CF!$F$5,D50)</f>
        <v>326.32573539107437</v>
      </c>
      <c r="E52" s="58">
        <f>NPV(CF!$F$5,E50)</f>
        <v>498.75492924303563</v>
      </c>
    </row>
    <row r="54" spans="1:5" s="103" customFormat="1">
      <c r="A54" s="100" t="s">
        <v>76</v>
      </c>
      <c r="B54" s="100"/>
      <c r="C54" s="100"/>
      <c r="D54" s="101"/>
      <c r="E54" s="102"/>
    </row>
    <row r="55" spans="1:5">
      <c r="A55" s="45" t="s">
        <v>309</v>
      </c>
      <c r="B55" s="45" t="str">
        <f>B6</f>
        <v>Seed rate</v>
      </c>
      <c r="C55" s="46" t="str">
        <f>C6</f>
        <v>Kg/ha</v>
      </c>
      <c r="D55" s="47">
        <f>D6</f>
        <v>200</v>
      </c>
      <c r="E55" s="47">
        <f>E6</f>
        <v>200</v>
      </c>
    </row>
    <row r="56" spans="1:5">
      <c r="A56" s="45"/>
      <c r="B56" s="45" t="str">
        <f t="shared" ref="B56:C60" si="3">B7</f>
        <v>Fertilizer</v>
      </c>
      <c r="C56" s="46" t="str">
        <f t="shared" si="3"/>
        <v>Kg/ha</v>
      </c>
      <c r="D56" s="47">
        <f t="shared" ref="D56:E69" si="4">D7</f>
        <v>250</v>
      </c>
      <c r="E56" s="47">
        <f t="shared" si="4"/>
        <v>150</v>
      </c>
    </row>
    <row r="57" spans="1:5">
      <c r="A57" s="45"/>
      <c r="B57" s="45" t="str">
        <f t="shared" si="3"/>
        <v>Insecticides and weedicides</v>
      </c>
      <c r="C57" s="46" t="str">
        <f t="shared" si="3"/>
        <v>bottle/ha</v>
      </c>
      <c r="D57" s="47">
        <f t="shared" si="4"/>
        <v>2</v>
      </c>
      <c r="E57" s="47">
        <f t="shared" si="4"/>
        <v>0</v>
      </c>
    </row>
    <row r="58" spans="1:5">
      <c r="A58" s="45"/>
      <c r="B58" s="45" t="str">
        <f t="shared" si="3"/>
        <v>Crop suplement</v>
      </c>
      <c r="C58" s="46" t="str">
        <f t="shared" si="3"/>
        <v>bottle/ha</v>
      </c>
      <c r="D58" s="47">
        <f t="shared" si="4"/>
        <v>2</v>
      </c>
      <c r="E58" s="47">
        <f t="shared" si="4"/>
        <v>2</v>
      </c>
    </row>
    <row r="59" spans="1:5">
      <c r="A59" s="45"/>
      <c r="B59" s="45" t="str">
        <f t="shared" si="3"/>
        <v>Water pumping</v>
      </c>
      <c r="C59" s="46" t="str">
        <f t="shared" si="3"/>
        <v>time/ha</v>
      </c>
      <c r="D59" s="47">
        <f t="shared" si="4"/>
        <v>4</v>
      </c>
      <c r="E59" s="47">
        <f t="shared" si="4"/>
        <v>4</v>
      </c>
    </row>
    <row r="60" spans="1:5">
      <c r="A60" s="45"/>
      <c r="B60" s="45" t="str">
        <f t="shared" si="3"/>
        <v>Interest period</v>
      </c>
      <c r="C60" s="46" t="str">
        <f t="shared" si="3"/>
        <v>month</v>
      </c>
      <c r="D60" s="47">
        <f t="shared" si="4"/>
        <v>6</v>
      </c>
      <c r="E60" s="47">
        <f t="shared" si="4"/>
        <v>6</v>
      </c>
    </row>
    <row r="61" spans="1:5">
      <c r="B61" s="45"/>
      <c r="C61" s="46"/>
      <c r="D61" s="47">
        <f t="shared" si="4"/>
        <v>0</v>
      </c>
      <c r="E61" s="47">
        <f t="shared" si="4"/>
        <v>0</v>
      </c>
    </row>
    <row r="62" spans="1:5">
      <c r="A62" s="45" t="s">
        <v>320</v>
      </c>
      <c r="B62" s="45" t="str">
        <f t="shared" ref="B62:C67" si="5">B13</f>
        <v>Land preparation/ripping</v>
      </c>
      <c r="C62" s="46" t="str">
        <f t="shared" si="5"/>
        <v>person-days/ha</v>
      </c>
      <c r="D62" s="47">
        <f t="shared" si="4"/>
        <v>0</v>
      </c>
      <c r="E62" s="47">
        <f t="shared" si="4"/>
        <v>4.5915790440332431</v>
      </c>
    </row>
    <row r="63" spans="1:5">
      <c r="A63" s="48"/>
      <c r="B63" s="45" t="str">
        <f t="shared" si="5"/>
        <v>Land preparation/ridging</v>
      </c>
      <c r="C63" s="46" t="str">
        <f t="shared" si="5"/>
        <v>person-days/ha</v>
      </c>
      <c r="D63" s="47">
        <f t="shared" si="4"/>
        <v>8.2648422792598382</v>
      </c>
      <c r="E63" s="47">
        <f t="shared" si="4"/>
        <v>0</v>
      </c>
    </row>
    <row r="64" spans="1:5">
      <c r="A64" s="50"/>
      <c r="B64" s="45" t="str">
        <f t="shared" si="5"/>
        <v>Sowing/planting</v>
      </c>
      <c r="C64" s="46" t="str">
        <f t="shared" si="5"/>
        <v>person-days/ha</v>
      </c>
      <c r="D64" s="47">
        <f t="shared" si="4"/>
        <v>1.8366316176132973</v>
      </c>
      <c r="E64" s="47">
        <f t="shared" si="4"/>
        <v>1.8366316176132973</v>
      </c>
    </row>
    <row r="65" spans="1:9">
      <c r="A65" s="53"/>
      <c r="B65" s="45" t="str">
        <f t="shared" si="5"/>
        <v>Fertilizer application</v>
      </c>
      <c r="C65" s="46" t="str">
        <f t="shared" si="5"/>
        <v>person-days/ha</v>
      </c>
      <c r="D65" s="47">
        <f t="shared" si="4"/>
        <v>1.8366316176132973</v>
      </c>
      <c r="E65" s="47">
        <f t="shared" si="4"/>
        <v>1.8366316176132973</v>
      </c>
    </row>
    <row r="66" spans="1:9">
      <c r="A66" s="53"/>
      <c r="B66" s="45" t="str">
        <f t="shared" si="5"/>
        <v>Pesticides application</v>
      </c>
      <c r="C66" s="46" t="str">
        <f t="shared" si="5"/>
        <v>person-days/ha</v>
      </c>
      <c r="D66" s="47">
        <f t="shared" si="4"/>
        <v>1.8366316176132973</v>
      </c>
      <c r="E66" s="47">
        <f t="shared" si="4"/>
        <v>1.8366316176132973</v>
      </c>
    </row>
    <row r="67" spans="1:9">
      <c r="A67" s="53"/>
      <c r="B67" s="45" t="str">
        <f t="shared" si="5"/>
        <v>Harvesting</v>
      </c>
      <c r="C67" s="46" t="str">
        <f t="shared" si="5"/>
        <v>person-days/ha</v>
      </c>
      <c r="D67" s="47">
        <f t="shared" si="4"/>
        <v>13.866568712980394</v>
      </c>
      <c r="E67" s="47">
        <f t="shared" si="4"/>
        <v>13.866568712980394</v>
      </c>
    </row>
    <row r="68" spans="1:9">
      <c r="A68" s="53"/>
      <c r="B68" s="45"/>
      <c r="C68" s="46"/>
      <c r="D68" s="47">
        <f t="shared" si="4"/>
        <v>0</v>
      </c>
      <c r="E68" s="47">
        <f t="shared" si="4"/>
        <v>0</v>
      </c>
    </row>
    <row r="69" spans="1:9">
      <c r="A69" s="45" t="s">
        <v>328</v>
      </c>
      <c r="B69" s="45" t="str">
        <f t="shared" ref="B69:C86" si="6">B20</f>
        <v>Seed, purchase price</v>
      </c>
      <c r="C69" s="46" t="str">
        <f t="shared" si="6"/>
        <v>Riel/Kg</v>
      </c>
      <c r="D69" s="47">
        <f t="shared" si="4"/>
        <v>1946.6666666666667</v>
      </c>
      <c r="E69" s="47">
        <f t="shared" si="4"/>
        <v>1946.6666666666667</v>
      </c>
    </row>
    <row r="70" spans="1:9">
      <c r="A70" s="45"/>
      <c r="B70" s="45" t="str">
        <f t="shared" si="6"/>
        <v>Fertilizer</v>
      </c>
      <c r="C70" s="46" t="str">
        <f t="shared" si="6"/>
        <v>Riel/Kg</v>
      </c>
      <c r="D70" s="105">
        <f>D21*I$72</f>
        <v>2253.5568026835231</v>
      </c>
      <c r="E70" s="105">
        <f>E21*I$72</f>
        <v>2253.5568026835231</v>
      </c>
      <c r="H70" s="40" t="str">
        <f>CF!A7</f>
        <v>Shadow exchange rate Factor (SERF)</v>
      </c>
      <c r="I70" s="201">
        <f>CF!B7</f>
        <v>1.1490704748349865</v>
      </c>
    </row>
    <row r="71" spans="1:9">
      <c r="A71" s="45"/>
      <c r="B71" s="45" t="str">
        <f t="shared" si="6"/>
        <v>Insecticides and weedicides</v>
      </c>
      <c r="C71" s="46" t="str">
        <f t="shared" si="6"/>
        <v>Riel/bottle</v>
      </c>
      <c r="D71" s="105">
        <f>D22*I$72</f>
        <v>54155.24099472032</v>
      </c>
      <c r="E71" s="105">
        <f>E22*I$72</f>
        <v>54155.24099472032</v>
      </c>
      <c r="H71" s="40" t="str">
        <f>CF!A8</f>
        <v>Standard Conversion Factor (SCF)</v>
      </c>
      <c r="I71" s="201">
        <f>CF!B8</f>
        <v>0.87026864052320729</v>
      </c>
    </row>
    <row r="72" spans="1:9">
      <c r="A72" s="45"/>
      <c r="B72" s="45" t="str">
        <f t="shared" si="6"/>
        <v>Crop supplement</v>
      </c>
      <c r="C72" s="46" t="str">
        <f t="shared" si="6"/>
        <v>Riel/bottle</v>
      </c>
      <c r="D72" s="105">
        <f>D23*I$72</f>
        <v>69877.73031576816</v>
      </c>
      <c r="E72" s="105">
        <f>E23*I$72</f>
        <v>69877.73031576816</v>
      </c>
      <c r="H72" s="40" t="str">
        <f>CF!A9</f>
        <v>Conversion Factor for imported chemicals</v>
      </c>
      <c r="I72" s="201">
        <f>CF!B9</f>
        <v>0.87347162894710195</v>
      </c>
    </row>
    <row r="73" spans="1:9">
      <c r="B73" s="45" t="str">
        <f t="shared" si="6"/>
        <v>Water pumping</v>
      </c>
      <c r="C73" s="46" t="str">
        <f t="shared" si="6"/>
        <v>Riel/time/ha</v>
      </c>
      <c r="D73" s="105">
        <f>D24*I$71</f>
        <v>54391.790032700454</v>
      </c>
      <c r="E73" s="105">
        <f t="shared" ref="E73" si="7">D73</f>
        <v>54391.790032700454</v>
      </c>
      <c r="H73" s="40" t="str">
        <f>CF!A10</f>
        <v>Conversion Factor for exported agric/ products</v>
      </c>
      <c r="I73" s="201">
        <f>CF!B10</f>
        <v>0.95557383066686152</v>
      </c>
    </row>
    <row r="74" spans="1:9">
      <c r="B74" s="45" t="str">
        <f t="shared" si="6"/>
        <v>Interest rate</v>
      </c>
      <c r="C74" s="46" t="str">
        <f t="shared" si="6"/>
        <v>% per month</v>
      </c>
      <c r="D74" s="207">
        <v>1.4999999999999999E-2</v>
      </c>
      <c r="E74" s="207">
        <v>1.4999999999999999E-2</v>
      </c>
      <c r="H74" s="40" t="str">
        <f>CF!A11</f>
        <v>Shadow Wage Rate Factor (SWRF) a/</v>
      </c>
      <c r="I74" s="201">
        <f>CF!B11</f>
        <v>0.75</v>
      </c>
    </row>
    <row r="75" spans="1:9">
      <c r="B75" s="45" t="str">
        <f t="shared" si="6"/>
        <v>Labour</v>
      </c>
      <c r="C75" s="46" t="str">
        <f t="shared" si="6"/>
        <v>Riel/person day</v>
      </c>
      <c r="D75" s="105">
        <f>21779*I74</f>
        <v>16334.25</v>
      </c>
      <c r="E75" s="106">
        <f>D75</f>
        <v>16334.25</v>
      </c>
    </row>
    <row r="76" spans="1:9">
      <c r="A76" s="51" t="s">
        <v>337</v>
      </c>
      <c r="B76" s="45" t="str">
        <f t="shared" si="6"/>
        <v>Seed</v>
      </c>
      <c r="C76" s="46" t="str">
        <f t="shared" si="6"/>
        <v>Riel/ha</v>
      </c>
      <c r="D76" s="49">
        <f t="shared" ref="D76:E80" si="8">+D55*D69</f>
        <v>389333.33333333337</v>
      </c>
      <c r="E76" s="49">
        <f t="shared" si="8"/>
        <v>389333.33333333337</v>
      </c>
    </row>
    <row r="77" spans="1:9">
      <c r="B77" s="45" t="str">
        <f t="shared" si="6"/>
        <v>Fertilizer</v>
      </c>
      <c r="C77" s="46" t="str">
        <f t="shared" si="6"/>
        <v>Riel/ha</v>
      </c>
      <c r="D77" s="49">
        <f t="shared" si="8"/>
        <v>563389.20067088073</v>
      </c>
      <c r="E77" s="49">
        <f t="shared" si="8"/>
        <v>338033.52040252846</v>
      </c>
    </row>
    <row r="78" spans="1:9">
      <c r="A78" s="45"/>
      <c r="B78" s="45" t="str">
        <f t="shared" si="6"/>
        <v>Insecticides and weedicides</v>
      </c>
      <c r="C78" s="46" t="str">
        <f t="shared" si="6"/>
        <v>Riel/ha</v>
      </c>
      <c r="D78" s="49">
        <f t="shared" si="8"/>
        <v>108310.48198944064</v>
      </c>
      <c r="E78" s="49">
        <f t="shared" si="8"/>
        <v>0</v>
      </c>
    </row>
    <row r="79" spans="1:9">
      <c r="A79" s="45"/>
      <c r="B79" s="45" t="str">
        <f t="shared" si="6"/>
        <v>Crop suplement</v>
      </c>
      <c r="C79" s="46" t="str">
        <f t="shared" si="6"/>
        <v>Riel/ha</v>
      </c>
      <c r="D79" s="49">
        <f t="shared" si="8"/>
        <v>139755.46063153632</v>
      </c>
      <c r="E79" s="49">
        <f t="shared" si="8"/>
        <v>139755.46063153632</v>
      </c>
    </row>
    <row r="80" spans="1:9">
      <c r="A80" s="45"/>
      <c r="B80" s="45" t="str">
        <f t="shared" si="6"/>
        <v>Water pumping</v>
      </c>
      <c r="C80" s="46" t="str">
        <f t="shared" si="6"/>
        <v>Riel/ha</v>
      </c>
      <c r="D80" s="49">
        <f t="shared" si="8"/>
        <v>217567.16013080181</v>
      </c>
      <c r="E80" s="49">
        <f t="shared" si="8"/>
        <v>217567.16013080181</v>
      </c>
    </row>
    <row r="81" spans="1:5">
      <c r="B81" s="45" t="str">
        <f t="shared" si="6"/>
        <v>Land preparation/ripping</v>
      </c>
      <c r="C81" s="46" t="str">
        <f t="shared" si="6"/>
        <v>Riel/ha</v>
      </c>
      <c r="D81" s="49">
        <f>++D62*D$26</f>
        <v>0</v>
      </c>
      <c r="E81" s="49">
        <f>++E62*E$26</f>
        <v>100000</v>
      </c>
    </row>
    <row r="82" spans="1:5">
      <c r="B82" s="45" t="str">
        <f t="shared" si="6"/>
        <v>Land preparation/ridging</v>
      </c>
      <c r="C82" s="46" t="str">
        <f t="shared" si="6"/>
        <v>Riel/ha</v>
      </c>
      <c r="D82" s="49">
        <f t="shared" ref="D82:E82" si="9">++D63*D$26</f>
        <v>180000.00000000003</v>
      </c>
      <c r="E82" s="49">
        <f t="shared" si="9"/>
        <v>0</v>
      </c>
    </row>
    <row r="83" spans="1:5">
      <c r="B83" s="45" t="str">
        <f t="shared" si="6"/>
        <v>Sowing/planting</v>
      </c>
      <c r="C83" s="46" t="str">
        <f t="shared" si="6"/>
        <v>Riel/ha</v>
      </c>
      <c r="D83" s="49">
        <f t="shared" ref="D83:E83" si="10">++D64*D$26</f>
        <v>40000</v>
      </c>
      <c r="E83" s="49">
        <f t="shared" si="10"/>
        <v>40000</v>
      </c>
    </row>
    <row r="84" spans="1:5">
      <c r="B84" s="45" t="str">
        <f t="shared" si="6"/>
        <v>Fertilizer application</v>
      </c>
      <c r="C84" s="46" t="str">
        <f t="shared" si="6"/>
        <v>Riel/ha</v>
      </c>
      <c r="D84" s="49">
        <f t="shared" ref="D84:E84" si="11">++D65*D$26</f>
        <v>40000</v>
      </c>
      <c r="E84" s="49">
        <f t="shared" si="11"/>
        <v>40000</v>
      </c>
    </row>
    <row r="85" spans="1:5">
      <c r="B85" s="45" t="str">
        <f t="shared" si="6"/>
        <v>Pesticides application</v>
      </c>
      <c r="C85" s="46" t="str">
        <f t="shared" si="6"/>
        <v>Riel/ha</v>
      </c>
      <c r="D85" s="49">
        <f t="shared" ref="D85:E85" si="12">++D66*D$26</f>
        <v>40000</v>
      </c>
      <c r="E85" s="49">
        <f t="shared" si="12"/>
        <v>40000</v>
      </c>
    </row>
    <row r="86" spans="1:5">
      <c r="B86" s="45" t="str">
        <f t="shared" si="6"/>
        <v>Harvesting</v>
      </c>
      <c r="C86" s="46" t="str">
        <f t="shared" si="6"/>
        <v>Riel/ha</v>
      </c>
      <c r="D86" s="49">
        <f t="shared" ref="D86:E86" si="13">++D67*D$26</f>
        <v>302000</v>
      </c>
      <c r="E86" s="49">
        <f t="shared" si="13"/>
        <v>302000</v>
      </c>
    </row>
    <row r="87" spans="1:5">
      <c r="A87" s="45"/>
      <c r="B87" s="45"/>
      <c r="C87" s="46"/>
      <c r="D87" s="49"/>
      <c r="E87" s="49"/>
    </row>
    <row r="88" spans="1:5">
      <c r="A88" s="45" t="s">
        <v>340</v>
      </c>
      <c r="B88" s="45" t="str">
        <f t="shared" ref="B88:C91" si="14">B39</f>
        <v>Land cost</v>
      </c>
      <c r="C88" s="46" t="str">
        <f t="shared" si="14"/>
        <v>Riel/ha</v>
      </c>
      <c r="D88" s="49">
        <v>0</v>
      </c>
      <c r="E88" s="49">
        <v>0</v>
      </c>
    </row>
    <row r="89" spans="1:5">
      <c r="A89" s="45"/>
      <c r="B89" s="45" t="str">
        <f t="shared" si="14"/>
        <v>Input cost</v>
      </c>
      <c r="C89" s="46" t="str">
        <f t="shared" si="14"/>
        <v>Riel/ha</v>
      </c>
      <c r="D89" s="49">
        <f>SUM(D76:D80)</f>
        <v>1418355.6367559929</v>
      </c>
      <c r="E89" s="49">
        <f>SUM(E76:E80)</f>
        <v>1084689.4744982</v>
      </c>
    </row>
    <row r="90" spans="1:5">
      <c r="A90" s="56"/>
      <c r="B90" s="45" t="str">
        <f t="shared" si="14"/>
        <v>Labour cost</v>
      </c>
      <c r="C90" s="46" t="str">
        <f t="shared" si="14"/>
        <v>Riel/ha</v>
      </c>
      <c r="D90" s="49">
        <f>SUM(D81:D86)</f>
        <v>602000</v>
      </c>
      <c r="E90" s="49">
        <f>SUM(E81:E86)</f>
        <v>522000</v>
      </c>
    </row>
    <row r="91" spans="1:5">
      <c r="B91" s="45" t="str">
        <f t="shared" si="14"/>
        <v>Interest (50% of capital costs)</v>
      </c>
      <c r="C91" s="46" t="str">
        <f t="shared" si="14"/>
        <v>Riel/ha</v>
      </c>
      <c r="D91" s="49">
        <f>+SUM(D88:D89)*D74*D60*50%</f>
        <v>63826.003654019674</v>
      </c>
      <c r="E91" s="49">
        <f>+SUM(E88:E89)*E74*E60*50%</f>
        <v>48811.026352418994</v>
      </c>
    </row>
    <row r="92" spans="1:5">
      <c r="B92" s="45"/>
      <c r="C92" s="46"/>
      <c r="D92" s="49"/>
      <c r="E92" s="49"/>
    </row>
    <row r="93" spans="1:5">
      <c r="A93" s="48" t="s">
        <v>345</v>
      </c>
      <c r="B93" s="45" t="str">
        <f>B44</f>
        <v>Yield</v>
      </c>
      <c r="C93" s="46" t="str">
        <f>C44</f>
        <v>Kg/ha, wet</v>
      </c>
      <c r="D93" s="49">
        <f>D44</f>
        <v>3472.2222222222222</v>
      </c>
      <c r="E93" s="49">
        <f>E44</f>
        <v>1500</v>
      </c>
    </row>
    <row r="94" spans="1:5">
      <c r="A94" s="48"/>
      <c r="B94" s="45" t="str">
        <f>B45</f>
        <v>Main product, selling price @ farm gate</v>
      </c>
      <c r="C94" s="46" t="str">
        <f>C45</f>
        <v>Riel/Kg, wet</v>
      </c>
      <c r="D94" s="203">
        <f>1050*I73</f>
        <v>1003.3525222002046</v>
      </c>
      <c r="E94" s="203">
        <f>2606*I73</f>
        <v>2490.225402717841</v>
      </c>
    </row>
    <row r="95" spans="1:5">
      <c r="B95" s="45" t="str">
        <f>B46</f>
        <v>Revenue</v>
      </c>
      <c r="C95" s="46" t="str">
        <f>C46</f>
        <v>Riel/ha</v>
      </c>
      <c r="D95" s="49">
        <f>+D94*D93</f>
        <v>3483862.924306266</v>
      </c>
      <c r="E95" s="49">
        <f>+E94*E93</f>
        <v>3735338.1040767613</v>
      </c>
    </row>
    <row r="96" spans="1:5">
      <c r="A96" s="56"/>
      <c r="B96" s="45"/>
      <c r="C96" s="46"/>
      <c r="D96" s="49"/>
      <c r="E96" s="49"/>
    </row>
    <row r="97" spans="1:5">
      <c r="A97" s="51" t="s">
        <v>351</v>
      </c>
      <c r="B97" s="45" t="str">
        <f t="shared" ref="B97:C100" si="15">B48</f>
        <v>Gross margin (before family labour) [cash flow]</v>
      </c>
      <c r="C97" s="46" t="str">
        <f t="shared" si="15"/>
        <v>Riel/ha</v>
      </c>
      <c r="D97" s="58">
        <f>D95-D88-D89-D91</f>
        <v>2001681.2838962534</v>
      </c>
      <c r="E97" s="58">
        <f>E95-E88-E89-E91</f>
        <v>2601837.6032261425</v>
      </c>
    </row>
    <row r="98" spans="1:5">
      <c r="B98" s="45" t="str">
        <f t="shared" si="15"/>
        <v>Net margin (after family labour)</v>
      </c>
      <c r="C98" s="46" t="str">
        <f t="shared" si="15"/>
        <v>Riel/ha</v>
      </c>
      <c r="D98" s="60">
        <f>D97-D90</f>
        <v>1399681.2838962534</v>
      </c>
      <c r="E98" s="60">
        <f>E97-E90</f>
        <v>2079837.6032261425</v>
      </c>
    </row>
    <row r="99" spans="1:5">
      <c r="B99" s="45" t="str">
        <f t="shared" si="15"/>
        <v>Net margin (after family labour)</v>
      </c>
      <c r="C99" s="46" t="str">
        <f t="shared" si="15"/>
        <v>$/ha</v>
      </c>
      <c r="D99" s="61">
        <f>D98/CF!$I$6</f>
        <v>344.24035511467127</v>
      </c>
      <c r="E99" s="61">
        <f>E98/CF!$I$6</f>
        <v>511.51933183131888</v>
      </c>
    </row>
    <row r="100" spans="1:5">
      <c r="B100" s="45" t="str">
        <f t="shared" si="15"/>
        <v>Returns to family labour</v>
      </c>
      <c r="C100" s="46" t="str">
        <f t="shared" si="15"/>
        <v>Riel/person day</v>
      </c>
      <c r="D100" s="58">
        <f>D97/SUM(D62:D67)</f>
        <v>72416.306780691855</v>
      </c>
      <c r="E100" s="58">
        <f>E97/SUM(E62:E67)</f>
        <v>108554.44666793516</v>
      </c>
    </row>
  </sheetData>
  <hyperlinks>
    <hyperlink ref="A1" location="ToC!A1" display=" Back to TOC" xr:uid="{DBE7EE45-FEF4-4222-A521-25E0E1B30E48}"/>
  </hyperlinks>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1D82C-1E1C-48CD-ADC7-694AB36B264A}">
  <dimension ref="A1:K100"/>
  <sheetViews>
    <sheetView zoomScale="56" zoomScaleNormal="56" workbookViewId="0">
      <selection activeCell="D93" sqref="D93"/>
    </sheetView>
  </sheetViews>
  <sheetFormatPr defaultColWidth="8.7109375" defaultRowHeight="14.1"/>
  <cols>
    <col min="1" max="1" width="28.140625" style="65" bestFit="1" customWidth="1"/>
    <col min="2" max="2" width="36.140625" style="65" bestFit="1" customWidth="1"/>
    <col min="3" max="3" width="18.42578125" style="65" customWidth="1"/>
    <col min="4" max="4" width="15.5703125" style="65" bestFit="1" customWidth="1"/>
    <col min="5" max="7" width="8.7109375" style="65"/>
    <col min="8" max="8" width="37.85546875" style="65" customWidth="1"/>
    <col min="9" max="16384" width="8.7109375" style="65"/>
  </cols>
  <sheetData>
    <row r="1" spans="1:11" s="30" customFormat="1" ht="12.95">
      <c r="A1" s="29" t="s">
        <v>31</v>
      </c>
    </row>
    <row r="3" spans="1:11" s="95" customFormat="1">
      <c r="A3" s="97" t="s">
        <v>75</v>
      </c>
      <c r="E3" s="65"/>
    </row>
    <row r="4" spans="1:11">
      <c r="A4" s="62" t="s">
        <v>357</v>
      </c>
      <c r="B4" s="63"/>
      <c r="C4" s="63"/>
      <c r="D4" s="64"/>
    </row>
    <row r="5" spans="1:11">
      <c r="A5" s="41" t="s">
        <v>306</v>
      </c>
      <c r="B5" s="42"/>
      <c r="C5" s="43" t="s">
        <v>71</v>
      </c>
      <c r="D5" s="44"/>
    </row>
    <row r="6" spans="1:11">
      <c r="A6" s="45" t="s">
        <v>309</v>
      </c>
      <c r="B6" s="45" t="s">
        <v>310</v>
      </c>
      <c r="C6" s="46" t="s">
        <v>311</v>
      </c>
      <c r="D6" s="47">
        <v>200</v>
      </c>
    </row>
    <row r="7" spans="1:11">
      <c r="A7" s="45"/>
      <c r="B7" s="48" t="s">
        <v>312</v>
      </c>
      <c r="C7" s="48" t="s">
        <v>311</v>
      </c>
      <c r="D7" s="49">
        <v>166</v>
      </c>
    </row>
    <row r="8" spans="1:11">
      <c r="A8" s="45"/>
      <c r="B8" s="50" t="s">
        <v>313</v>
      </c>
      <c r="C8" s="50" t="s">
        <v>314</v>
      </c>
      <c r="D8" s="49">
        <v>6</v>
      </c>
    </row>
    <row r="9" spans="1:11">
      <c r="A9" s="45"/>
      <c r="B9" s="50" t="s">
        <v>315</v>
      </c>
      <c r="C9" s="50" t="s">
        <v>314</v>
      </c>
      <c r="D9" s="49">
        <v>4</v>
      </c>
    </row>
    <row r="10" spans="1:11">
      <c r="A10" s="45"/>
      <c r="B10" s="48" t="s">
        <v>316</v>
      </c>
      <c r="C10" s="50" t="s">
        <v>317</v>
      </c>
      <c r="D10" s="49">
        <v>3</v>
      </c>
    </row>
    <row r="11" spans="1:11">
      <c r="A11" s="45"/>
      <c r="B11" s="48" t="s">
        <v>318</v>
      </c>
      <c r="C11" s="50" t="s">
        <v>319</v>
      </c>
      <c r="D11" s="49">
        <v>4</v>
      </c>
    </row>
    <row r="12" spans="1:11">
      <c r="A12" s="66"/>
      <c r="B12" s="66"/>
      <c r="C12" s="66"/>
      <c r="D12" s="49"/>
    </row>
    <row r="13" spans="1:11">
      <c r="A13" s="45" t="s">
        <v>320</v>
      </c>
      <c r="B13" s="50" t="s">
        <v>321</v>
      </c>
      <c r="C13" s="48" t="str">
        <f>RiceAromatic!C13</f>
        <v>person-days/ha</v>
      </c>
      <c r="D13" s="49">
        <v>0</v>
      </c>
      <c r="K13" s="67"/>
    </row>
    <row r="14" spans="1:11">
      <c r="A14" s="48"/>
      <c r="B14" s="50" t="s">
        <v>323</v>
      </c>
      <c r="C14" s="48" t="str">
        <f>RiceAromatic!C14</f>
        <v>person-days/ha</v>
      </c>
      <c r="D14" s="55">
        <v>3.4896000734652648</v>
      </c>
      <c r="E14" s="206"/>
    </row>
    <row r="15" spans="1:11">
      <c r="A15" s="50"/>
      <c r="B15" s="45" t="s">
        <v>324</v>
      </c>
      <c r="C15" s="48" t="str">
        <f>RiceAromatic!C15</f>
        <v>person-days/ha</v>
      </c>
      <c r="D15" s="55">
        <v>1.8366316176132973</v>
      </c>
      <c r="E15" s="206"/>
    </row>
    <row r="16" spans="1:11">
      <c r="A16" s="53"/>
      <c r="B16" s="45" t="s">
        <v>325</v>
      </c>
      <c r="C16" s="48" t="str">
        <f>RiceAromatic!C16</f>
        <v>person-days/ha</v>
      </c>
      <c r="D16" s="55">
        <v>1.8366316176132973</v>
      </c>
      <c r="E16" s="206"/>
    </row>
    <row r="17" spans="1:5">
      <c r="A17" s="53"/>
      <c r="B17" s="45" t="s">
        <v>326</v>
      </c>
      <c r="C17" s="48" t="str">
        <f>RiceAromatic!C17</f>
        <v>person-days/ha</v>
      </c>
      <c r="D17" s="55">
        <v>1.8366316176132973</v>
      </c>
      <c r="E17" s="206"/>
    </row>
    <row r="18" spans="1:5">
      <c r="A18" s="53"/>
      <c r="B18" s="45" t="s">
        <v>327</v>
      </c>
      <c r="C18" s="48" t="str">
        <f>RiceAromatic!C18</f>
        <v>person-days/ha</v>
      </c>
      <c r="D18" s="55">
        <v>14.295100785160017</v>
      </c>
      <c r="E18" s="206"/>
    </row>
    <row r="19" spans="1:5">
      <c r="A19" s="53"/>
      <c r="B19" s="66"/>
      <c r="C19" s="66"/>
      <c r="D19" s="49"/>
    </row>
    <row r="20" spans="1:5">
      <c r="A20" s="45" t="s">
        <v>328</v>
      </c>
      <c r="B20" s="45" t="s">
        <v>329</v>
      </c>
      <c r="C20" s="46" t="s">
        <v>118</v>
      </c>
      <c r="D20" s="49">
        <v>1303</v>
      </c>
    </row>
    <row r="21" spans="1:5">
      <c r="A21" s="45"/>
      <c r="B21" s="48" t="s">
        <v>312</v>
      </c>
      <c r="C21" s="46" t="s">
        <v>118</v>
      </c>
      <c r="D21" s="49">
        <v>2640</v>
      </c>
    </row>
    <row r="22" spans="1:5">
      <c r="A22" s="45"/>
      <c r="B22" s="50" t="s">
        <v>313</v>
      </c>
      <c r="C22" s="46" t="s">
        <v>330</v>
      </c>
      <c r="D22" s="49">
        <v>111667</v>
      </c>
    </row>
    <row r="23" spans="1:5">
      <c r="A23" s="45"/>
      <c r="B23" s="50" t="s">
        <v>315</v>
      </c>
      <c r="C23" s="46" t="s">
        <v>330</v>
      </c>
      <c r="D23" s="49">
        <v>50000</v>
      </c>
    </row>
    <row r="24" spans="1:5">
      <c r="A24" s="66"/>
      <c r="B24" s="48" t="s">
        <v>316</v>
      </c>
      <c r="C24" s="50" t="s">
        <v>332</v>
      </c>
      <c r="D24" s="49">
        <v>15000</v>
      </c>
    </row>
    <row r="25" spans="1:5">
      <c r="A25" s="66"/>
      <c r="B25" s="66" t="s">
        <v>333</v>
      </c>
      <c r="C25" s="66" t="s">
        <v>334</v>
      </c>
      <c r="D25" s="68">
        <v>1.4999999999999999E-2</v>
      </c>
    </row>
    <row r="26" spans="1:5">
      <c r="A26" s="66"/>
      <c r="B26" s="66" t="s">
        <v>335</v>
      </c>
      <c r="C26" s="46" t="s">
        <v>336</v>
      </c>
      <c r="D26" s="49">
        <v>21779</v>
      </c>
    </row>
    <row r="27" spans="1:5">
      <c r="A27" s="66" t="s">
        <v>337</v>
      </c>
      <c r="B27" s="66" t="s">
        <v>338</v>
      </c>
      <c r="C27" s="66" t="s">
        <v>339</v>
      </c>
      <c r="D27" s="49">
        <f>+D6*D20</f>
        <v>260600</v>
      </c>
    </row>
    <row r="28" spans="1:5">
      <c r="A28" s="66"/>
      <c r="B28" s="48" t="s">
        <v>312</v>
      </c>
      <c r="C28" s="66" t="s">
        <v>339</v>
      </c>
      <c r="D28" s="49">
        <f>+D7*D21</f>
        <v>438240</v>
      </c>
    </row>
    <row r="29" spans="1:5">
      <c r="A29" s="45"/>
      <c r="B29" s="50" t="s">
        <v>313</v>
      </c>
      <c r="C29" s="66" t="s">
        <v>339</v>
      </c>
      <c r="D29" s="49">
        <f>+D8*D22</f>
        <v>670002</v>
      </c>
    </row>
    <row r="30" spans="1:5">
      <c r="A30" s="45"/>
      <c r="B30" s="50" t="s">
        <v>315</v>
      </c>
      <c r="C30" s="66" t="s">
        <v>339</v>
      </c>
      <c r="D30" s="49">
        <f>+D9*D23</f>
        <v>200000</v>
      </c>
    </row>
    <row r="31" spans="1:5">
      <c r="A31" s="45"/>
      <c r="B31" s="48" t="s">
        <v>316</v>
      </c>
      <c r="C31" s="66" t="s">
        <v>339</v>
      </c>
      <c r="D31" s="49">
        <f>+D10*D24</f>
        <v>45000</v>
      </c>
    </row>
    <row r="32" spans="1:5">
      <c r="A32" s="66"/>
      <c r="B32" s="50" t="s">
        <v>321</v>
      </c>
      <c r="C32" s="66" t="s">
        <v>339</v>
      </c>
      <c r="D32" s="49">
        <f>++D13*D$26</f>
        <v>0</v>
      </c>
    </row>
    <row r="33" spans="1:4">
      <c r="A33" s="66"/>
      <c r="B33" s="50" t="s">
        <v>323</v>
      </c>
      <c r="C33" s="66" t="s">
        <v>339</v>
      </c>
      <c r="D33" s="49">
        <f t="shared" ref="D33:D37" si="0">++D14*D$26</f>
        <v>76000</v>
      </c>
    </row>
    <row r="34" spans="1:4">
      <c r="A34" s="66"/>
      <c r="B34" s="45" t="s">
        <v>324</v>
      </c>
      <c r="C34" s="66" t="s">
        <v>339</v>
      </c>
      <c r="D34" s="49">
        <f t="shared" si="0"/>
        <v>40000</v>
      </c>
    </row>
    <row r="35" spans="1:4">
      <c r="A35" s="66"/>
      <c r="B35" s="45" t="s">
        <v>325</v>
      </c>
      <c r="C35" s="66" t="s">
        <v>339</v>
      </c>
      <c r="D35" s="49">
        <f t="shared" si="0"/>
        <v>40000</v>
      </c>
    </row>
    <row r="36" spans="1:4">
      <c r="A36" s="66"/>
      <c r="B36" s="45" t="s">
        <v>326</v>
      </c>
      <c r="C36" s="66" t="s">
        <v>339</v>
      </c>
      <c r="D36" s="49">
        <f t="shared" si="0"/>
        <v>40000</v>
      </c>
    </row>
    <row r="37" spans="1:4">
      <c r="A37" s="66"/>
      <c r="B37" s="45" t="s">
        <v>327</v>
      </c>
      <c r="C37" s="66" t="s">
        <v>339</v>
      </c>
      <c r="D37" s="49">
        <f t="shared" si="0"/>
        <v>311333</v>
      </c>
    </row>
    <row r="38" spans="1:4">
      <c r="A38" s="45"/>
      <c r="B38" s="45"/>
      <c r="C38" s="45"/>
      <c r="D38" s="49"/>
    </row>
    <row r="39" spans="1:4">
      <c r="A39" s="45" t="s">
        <v>340</v>
      </c>
      <c r="B39" s="45" t="s">
        <v>341</v>
      </c>
      <c r="C39" s="45" t="s">
        <v>339</v>
      </c>
      <c r="D39" s="49">
        <v>0</v>
      </c>
    </row>
    <row r="40" spans="1:4">
      <c r="A40" s="45"/>
      <c r="B40" s="45" t="s">
        <v>342</v>
      </c>
      <c r="C40" s="45" t="s">
        <v>339</v>
      </c>
      <c r="D40" s="49">
        <f>SUM(D27:D31)</f>
        <v>1613842</v>
      </c>
    </row>
    <row r="41" spans="1:4">
      <c r="A41" s="56"/>
      <c r="B41" s="56" t="s">
        <v>343</v>
      </c>
      <c r="C41" s="45" t="s">
        <v>339</v>
      </c>
      <c r="D41" s="49">
        <f>SUM(D32:D37)</f>
        <v>507333</v>
      </c>
    </row>
    <row r="42" spans="1:4">
      <c r="A42" s="66"/>
      <c r="B42" s="66" t="s">
        <v>358</v>
      </c>
      <c r="C42" s="66" t="s">
        <v>339</v>
      </c>
      <c r="D42" s="49">
        <f>+SUM(D39:D40)*D25*D11*50%</f>
        <v>48415.259999999995</v>
      </c>
    </row>
    <row r="43" spans="1:4">
      <c r="A43" s="66"/>
      <c r="B43" s="66"/>
      <c r="C43" s="66"/>
      <c r="D43" s="49"/>
    </row>
    <row r="44" spans="1:4">
      <c r="A44" s="48" t="s">
        <v>345</v>
      </c>
      <c r="B44" s="50" t="s">
        <v>346</v>
      </c>
      <c r="C44" s="48" t="s">
        <v>347</v>
      </c>
      <c r="D44" s="49">
        <v>4095</v>
      </c>
    </row>
    <row r="45" spans="1:4">
      <c r="A45" s="48"/>
      <c r="B45" s="56" t="s">
        <v>348</v>
      </c>
      <c r="C45" s="45" t="s">
        <v>349</v>
      </c>
      <c r="D45" s="49">
        <v>800</v>
      </c>
    </row>
    <row r="46" spans="1:4">
      <c r="A46" s="66"/>
      <c r="B46" s="66" t="s">
        <v>350</v>
      </c>
      <c r="C46" s="66" t="s">
        <v>339</v>
      </c>
      <c r="D46" s="49">
        <f>+D45*D44</f>
        <v>3276000</v>
      </c>
    </row>
    <row r="47" spans="1:4">
      <c r="A47" s="56"/>
      <c r="B47" s="56"/>
      <c r="C47" s="45"/>
      <c r="D47" s="49"/>
    </row>
    <row r="48" spans="1:4">
      <c r="A48" s="66" t="str">
        <f>RiceAromatic!A48</f>
        <v>Performance</v>
      </c>
      <c r="B48" s="66" t="str">
        <f>RiceAromatic!B48</f>
        <v>Gross margin (before family labour) [cash flow]</v>
      </c>
      <c r="C48" s="66" t="str">
        <f>RiceAromatic!C48</f>
        <v>Riel/ha</v>
      </c>
      <c r="D48" s="58">
        <f>D46-D39-D40-D42</f>
        <v>1613742.74</v>
      </c>
    </row>
    <row r="49" spans="1:5">
      <c r="B49" s="66" t="str">
        <f>RiceAromatic!B49</f>
        <v>Net margin (after family labour)</v>
      </c>
      <c r="C49" s="66" t="str">
        <f>RiceAromatic!C49</f>
        <v>Riel/ha</v>
      </c>
      <c r="D49" s="60">
        <f>D48-D41</f>
        <v>1106409.74</v>
      </c>
    </row>
    <row r="50" spans="1:5">
      <c r="B50" s="66" t="str">
        <f>RiceAromatic!B50</f>
        <v>Net margin (after family labour)</v>
      </c>
      <c r="C50" s="66" t="str">
        <f>RiceAromatic!C50</f>
        <v>$/ha</v>
      </c>
      <c r="D50" s="61">
        <f>D49/CF!I6</f>
        <v>272.11257747171669</v>
      </c>
    </row>
    <row r="51" spans="1:5">
      <c r="B51" s="66" t="str">
        <f>RiceAromatic!B51</f>
        <v>Returns to family labour</v>
      </c>
      <c r="C51" s="66" t="str">
        <f>RiceAromatic!C51</f>
        <v>Riel/person day</v>
      </c>
      <c r="D51" s="58">
        <f>D48/SUM(D13:D18)</f>
        <v>69275.41306096784</v>
      </c>
    </row>
    <row r="52" spans="1:5">
      <c r="B52" s="66" t="s">
        <v>356</v>
      </c>
      <c r="C52" s="66" t="str">
        <f>RiceAromatic!C52</f>
        <v>$/ha</v>
      </c>
      <c r="D52" s="58">
        <f>NPV(CF!$F$5,D50)</f>
        <v>256.98878733693789</v>
      </c>
    </row>
    <row r="53" spans="1:5">
      <c r="B53" s="66"/>
      <c r="C53" s="66"/>
    </row>
    <row r="54" spans="1:5" s="104" customFormat="1">
      <c r="A54" s="104" t="s">
        <v>76</v>
      </c>
      <c r="E54" s="204"/>
    </row>
    <row r="55" spans="1:5">
      <c r="A55" s="45" t="s">
        <v>309</v>
      </c>
      <c r="B55" s="45" t="str">
        <f>B6</f>
        <v>Seed rate</v>
      </c>
      <c r="C55" s="46" t="str">
        <f>C6</f>
        <v>Kg/ha</v>
      </c>
      <c r="D55" s="209">
        <f>D6</f>
        <v>200</v>
      </c>
    </row>
    <row r="56" spans="1:5">
      <c r="A56" s="45"/>
      <c r="B56" s="45" t="str">
        <f t="shared" ref="B56:C60" si="1">B7</f>
        <v>Fertilizer</v>
      </c>
      <c r="C56" s="46" t="str">
        <f t="shared" si="1"/>
        <v>Kg/ha</v>
      </c>
      <c r="D56" s="209">
        <f t="shared" ref="D56:D66" si="2">D7</f>
        <v>166</v>
      </c>
    </row>
    <row r="57" spans="1:5">
      <c r="A57" s="45"/>
      <c r="B57" s="45" t="str">
        <f t="shared" si="1"/>
        <v>Insecticides and weedicides</v>
      </c>
      <c r="C57" s="46" t="str">
        <f t="shared" si="1"/>
        <v>bottle/ha</v>
      </c>
      <c r="D57" s="209">
        <f t="shared" si="2"/>
        <v>6</v>
      </c>
    </row>
    <row r="58" spans="1:5">
      <c r="A58" s="45"/>
      <c r="B58" s="45" t="str">
        <f t="shared" si="1"/>
        <v>Crop suplement</v>
      </c>
      <c r="C58" s="46" t="str">
        <f t="shared" si="1"/>
        <v>bottle/ha</v>
      </c>
      <c r="D58" s="209">
        <f t="shared" si="2"/>
        <v>4</v>
      </c>
    </row>
    <row r="59" spans="1:5">
      <c r="A59" s="45"/>
      <c r="B59" s="45" t="str">
        <f t="shared" si="1"/>
        <v>Water pumping</v>
      </c>
      <c r="C59" s="46" t="str">
        <f t="shared" si="1"/>
        <v>time/ha</v>
      </c>
      <c r="D59" s="209">
        <f t="shared" si="2"/>
        <v>3</v>
      </c>
    </row>
    <row r="60" spans="1:5">
      <c r="A60" s="45"/>
      <c r="B60" s="45" t="str">
        <f t="shared" si="1"/>
        <v>Interest period</v>
      </c>
      <c r="C60" s="46" t="str">
        <f t="shared" si="1"/>
        <v>month</v>
      </c>
      <c r="D60" s="209">
        <f t="shared" si="2"/>
        <v>4</v>
      </c>
    </row>
    <row r="61" spans="1:5">
      <c r="A61" s="66"/>
      <c r="B61" s="45"/>
      <c r="C61" s="46"/>
      <c r="D61" s="209"/>
    </row>
    <row r="62" spans="1:5">
      <c r="A62" s="45" t="s">
        <v>320</v>
      </c>
      <c r="B62" s="45" t="str">
        <f t="shared" ref="B62:C67" si="3">B13</f>
        <v>Land preparation/ripping</v>
      </c>
      <c r="C62" s="46" t="str">
        <f t="shared" si="3"/>
        <v>person-days/ha</v>
      </c>
      <c r="D62" s="209">
        <f t="shared" si="2"/>
        <v>0</v>
      </c>
    </row>
    <row r="63" spans="1:5">
      <c r="A63" s="48"/>
      <c r="B63" s="45" t="str">
        <f t="shared" si="3"/>
        <v>Land preparation/ridging</v>
      </c>
      <c r="C63" s="46" t="str">
        <f t="shared" si="3"/>
        <v>person-days/ha</v>
      </c>
      <c r="D63" s="209">
        <f t="shared" si="2"/>
        <v>3.4896000734652648</v>
      </c>
      <c r="E63" s="206"/>
    </row>
    <row r="64" spans="1:5">
      <c r="A64" s="50"/>
      <c r="B64" s="45" t="str">
        <f t="shared" si="3"/>
        <v>Sowing/planting</v>
      </c>
      <c r="C64" s="46" t="str">
        <f t="shared" si="3"/>
        <v>person-days/ha</v>
      </c>
      <c r="D64" s="209">
        <f t="shared" si="2"/>
        <v>1.8366316176132973</v>
      </c>
      <c r="E64" s="206"/>
    </row>
    <row r="65" spans="1:9">
      <c r="A65" s="53"/>
      <c r="B65" s="45" t="str">
        <f t="shared" si="3"/>
        <v>Fertilizer application</v>
      </c>
      <c r="C65" s="46" t="str">
        <f t="shared" si="3"/>
        <v>person-days/ha</v>
      </c>
      <c r="D65" s="209">
        <f t="shared" si="2"/>
        <v>1.8366316176132973</v>
      </c>
      <c r="E65" s="206"/>
    </row>
    <row r="66" spans="1:9">
      <c r="A66" s="53"/>
      <c r="B66" s="45" t="str">
        <f t="shared" si="3"/>
        <v>Pesticides application</v>
      </c>
      <c r="C66" s="46" t="str">
        <f t="shared" si="3"/>
        <v>person-days/ha</v>
      </c>
      <c r="D66" s="209">
        <f t="shared" si="2"/>
        <v>1.8366316176132973</v>
      </c>
      <c r="E66" s="206"/>
    </row>
    <row r="67" spans="1:9">
      <c r="A67" s="53"/>
      <c r="B67" s="45" t="str">
        <f t="shared" si="3"/>
        <v>Harvesting</v>
      </c>
      <c r="C67" s="46" t="str">
        <f t="shared" si="3"/>
        <v>person-days/ha</v>
      </c>
      <c r="D67" s="209">
        <f>D18</f>
        <v>14.295100785160017</v>
      </c>
      <c r="E67" s="206"/>
    </row>
    <row r="68" spans="1:9">
      <c r="A68" s="53"/>
      <c r="B68" s="45"/>
      <c r="C68" s="46"/>
      <c r="D68" s="209"/>
    </row>
    <row r="69" spans="1:9">
      <c r="A69" s="45" t="s">
        <v>328</v>
      </c>
      <c r="B69" s="45" t="str">
        <f t="shared" ref="B69:C86" si="4">B20</f>
        <v>Seed, purchase price</v>
      </c>
      <c r="C69" s="46" t="str">
        <f t="shared" si="4"/>
        <v>Riel/Kg</v>
      </c>
      <c r="D69" s="209">
        <f t="shared" ref="D69" si="5">D20</f>
        <v>1303</v>
      </c>
    </row>
    <row r="70" spans="1:9">
      <c r="A70" s="45"/>
      <c r="B70" s="45" t="str">
        <f t="shared" si="4"/>
        <v>Fertilizer</v>
      </c>
      <c r="C70" s="46" t="str">
        <f t="shared" si="4"/>
        <v>Riel/Kg</v>
      </c>
      <c r="D70" s="105">
        <f>D21*I$72</f>
        <v>2305.9651004203492</v>
      </c>
      <c r="H70" s="65" t="str">
        <f>CF!A7</f>
        <v>Shadow exchange rate Factor (SERF)</v>
      </c>
      <c r="I70" s="202">
        <f>CF!B7</f>
        <v>1.1490704748349865</v>
      </c>
    </row>
    <row r="71" spans="1:9">
      <c r="A71" s="45"/>
      <c r="B71" s="45" t="str">
        <f t="shared" si="4"/>
        <v>Insecticides and weedicides</v>
      </c>
      <c r="C71" s="46" t="str">
        <f t="shared" si="4"/>
        <v>Riel/bottle</v>
      </c>
      <c r="D71" s="105">
        <f>D22*I$72</f>
        <v>97537.956389636034</v>
      </c>
      <c r="H71" s="65" t="str">
        <f>CF!A8</f>
        <v>Standard Conversion Factor (SCF)</v>
      </c>
      <c r="I71" s="202">
        <f>CF!B8</f>
        <v>0.87026864052320729</v>
      </c>
    </row>
    <row r="72" spans="1:9">
      <c r="A72" s="45"/>
      <c r="B72" s="45" t="str">
        <f t="shared" si="4"/>
        <v>Crop suplement</v>
      </c>
      <c r="C72" s="46" t="str">
        <f t="shared" si="4"/>
        <v>Riel/bottle</v>
      </c>
      <c r="D72" s="105">
        <f>D23*I$72</f>
        <v>43673.5814473551</v>
      </c>
      <c r="H72" s="65" t="str">
        <f>CF!A9</f>
        <v>Conversion Factor for imported chemicals</v>
      </c>
      <c r="I72" s="202">
        <f>CF!B9</f>
        <v>0.87347162894710195</v>
      </c>
    </row>
    <row r="73" spans="1:9">
      <c r="A73" s="66"/>
      <c r="B73" s="45" t="str">
        <f t="shared" si="4"/>
        <v>Water pumping</v>
      </c>
      <c r="C73" s="46" t="str">
        <f t="shared" si="4"/>
        <v>Riel/time/ha</v>
      </c>
      <c r="D73" s="105">
        <f>D24*I$71</f>
        <v>13054.02960784811</v>
      </c>
      <c r="H73" s="65" t="str">
        <f>CF!A10</f>
        <v>Conversion Factor for exported agric/ products</v>
      </c>
      <c r="I73" s="202">
        <f>CF!B10</f>
        <v>0.95557383066686152</v>
      </c>
    </row>
    <row r="74" spans="1:9">
      <c r="A74" s="66"/>
      <c r="B74" s="45" t="str">
        <f t="shared" si="4"/>
        <v>Interest rate</v>
      </c>
      <c r="C74" s="46" t="str">
        <f t="shared" si="4"/>
        <v>% per month</v>
      </c>
      <c r="D74" s="207">
        <v>1.4999999999999999E-2</v>
      </c>
      <c r="E74" s="208"/>
      <c r="H74" s="65" t="str">
        <f>CF!A11</f>
        <v>Shadow Wage Rate Factor (SWRF) a/</v>
      </c>
      <c r="I74" s="202">
        <f>CF!B11</f>
        <v>0.75</v>
      </c>
    </row>
    <row r="75" spans="1:9">
      <c r="A75" s="66"/>
      <c r="B75" s="45" t="str">
        <f t="shared" si="4"/>
        <v>Labour</v>
      </c>
      <c r="C75" s="46" t="str">
        <f t="shared" si="4"/>
        <v>Riel/person day</v>
      </c>
      <c r="D75" s="105">
        <f>21779*I$74</f>
        <v>16334.25</v>
      </c>
    </row>
    <row r="76" spans="1:9">
      <c r="A76" s="66" t="s">
        <v>337</v>
      </c>
      <c r="B76" s="45" t="str">
        <f t="shared" si="4"/>
        <v>Seed</v>
      </c>
      <c r="C76" s="46" t="str">
        <f t="shared" si="4"/>
        <v>Riel/ha</v>
      </c>
      <c r="D76" s="49">
        <f>+D55*D69</f>
        <v>260600</v>
      </c>
    </row>
    <row r="77" spans="1:9">
      <c r="A77" s="66"/>
      <c r="B77" s="45" t="str">
        <f t="shared" si="4"/>
        <v>Fertilizer</v>
      </c>
      <c r="C77" s="46" t="str">
        <f t="shared" si="4"/>
        <v>Riel/ha</v>
      </c>
      <c r="D77" s="49">
        <f>+D56*D70</f>
        <v>382790.20666977798</v>
      </c>
    </row>
    <row r="78" spans="1:9">
      <c r="A78" s="45"/>
      <c r="B78" s="45" t="str">
        <f t="shared" si="4"/>
        <v>Insecticides and weedicides</v>
      </c>
      <c r="C78" s="46" t="str">
        <f t="shared" si="4"/>
        <v>Riel/ha</v>
      </c>
      <c r="D78" s="49">
        <f>+D57*D71</f>
        <v>585227.7383378162</v>
      </c>
    </row>
    <row r="79" spans="1:9">
      <c r="A79" s="45"/>
      <c r="B79" s="45" t="str">
        <f t="shared" si="4"/>
        <v>Crop suplement</v>
      </c>
      <c r="C79" s="46" t="str">
        <f t="shared" si="4"/>
        <v>Riel/ha</v>
      </c>
      <c r="D79" s="49">
        <f>+D58*D72</f>
        <v>174694.3257894204</v>
      </c>
    </row>
    <row r="80" spans="1:9">
      <c r="A80" s="45"/>
      <c r="B80" s="45" t="str">
        <f t="shared" si="4"/>
        <v>Water pumping</v>
      </c>
      <c r="C80" s="46" t="str">
        <f t="shared" si="4"/>
        <v>Riel/ha</v>
      </c>
      <c r="D80" s="49">
        <f>+D59*D73</f>
        <v>39162.088823544327</v>
      </c>
    </row>
    <row r="81" spans="1:4">
      <c r="A81" s="66"/>
      <c r="B81" s="45" t="str">
        <f t="shared" si="4"/>
        <v>Land preparation/ripping</v>
      </c>
      <c r="C81" s="46" t="str">
        <f t="shared" si="4"/>
        <v>Riel/ha</v>
      </c>
      <c r="D81" s="49">
        <f>++D62*D$26</f>
        <v>0</v>
      </c>
    </row>
    <row r="82" spans="1:4">
      <c r="A82" s="66"/>
      <c r="B82" s="45" t="str">
        <f t="shared" si="4"/>
        <v>Land preparation/ridging</v>
      </c>
      <c r="C82" s="46" t="str">
        <f t="shared" si="4"/>
        <v>Riel/ha</v>
      </c>
      <c r="D82" s="49">
        <f t="shared" ref="D82:D86" si="6">++D63*D$26</f>
        <v>76000</v>
      </c>
    </row>
    <row r="83" spans="1:4">
      <c r="A83" s="66"/>
      <c r="B83" s="45" t="str">
        <f t="shared" si="4"/>
        <v>Sowing/planting</v>
      </c>
      <c r="C83" s="46" t="str">
        <f t="shared" si="4"/>
        <v>Riel/ha</v>
      </c>
      <c r="D83" s="49">
        <f t="shared" si="6"/>
        <v>40000</v>
      </c>
    </row>
    <row r="84" spans="1:4">
      <c r="A84" s="66"/>
      <c r="B84" s="45" t="str">
        <f t="shared" si="4"/>
        <v>Fertilizer application</v>
      </c>
      <c r="C84" s="46" t="str">
        <f t="shared" si="4"/>
        <v>Riel/ha</v>
      </c>
      <c r="D84" s="49">
        <f t="shared" si="6"/>
        <v>40000</v>
      </c>
    </row>
    <row r="85" spans="1:4">
      <c r="A85" s="66"/>
      <c r="B85" s="45" t="str">
        <f t="shared" si="4"/>
        <v>Pesticides application</v>
      </c>
      <c r="C85" s="46" t="str">
        <f t="shared" si="4"/>
        <v>Riel/ha</v>
      </c>
      <c r="D85" s="49">
        <f t="shared" si="6"/>
        <v>40000</v>
      </c>
    </row>
    <row r="86" spans="1:4">
      <c r="A86" s="66"/>
      <c r="B86" s="45" t="str">
        <f t="shared" si="4"/>
        <v>Harvesting</v>
      </c>
      <c r="C86" s="46" t="str">
        <f t="shared" si="4"/>
        <v>Riel/ha</v>
      </c>
      <c r="D86" s="49">
        <f t="shared" si="6"/>
        <v>311333</v>
      </c>
    </row>
    <row r="87" spans="1:4">
      <c r="A87" s="45"/>
      <c r="B87" s="45"/>
      <c r="C87" s="46"/>
      <c r="D87" s="49"/>
    </row>
    <row r="88" spans="1:4">
      <c r="A88" s="45" t="s">
        <v>340</v>
      </c>
      <c r="B88" s="45" t="str">
        <f t="shared" ref="B88:C91" si="7">B39</f>
        <v>Land cost</v>
      </c>
      <c r="C88" s="46" t="str">
        <f t="shared" si="7"/>
        <v>Riel/ha</v>
      </c>
      <c r="D88" s="49">
        <v>0</v>
      </c>
    </row>
    <row r="89" spans="1:4">
      <c r="A89" s="45"/>
      <c r="B89" s="45" t="str">
        <f t="shared" si="7"/>
        <v>Input cost</v>
      </c>
      <c r="C89" s="46" t="str">
        <f t="shared" si="7"/>
        <v>Riel/ha</v>
      </c>
      <c r="D89" s="49">
        <f>SUM(D76:D80)</f>
        <v>1442474.359620559</v>
      </c>
    </row>
    <row r="90" spans="1:4">
      <c r="A90" s="56"/>
      <c r="B90" s="45" t="str">
        <f t="shared" si="7"/>
        <v>Labour cost</v>
      </c>
      <c r="C90" s="46" t="str">
        <f t="shared" si="7"/>
        <v>Riel/ha</v>
      </c>
      <c r="D90" s="49">
        <f>SUM(D81:D86)</f>
        <v>507333</v>
      </c>
    </row>
    <row r="91" spans="1:4">
      <c r="A91" s="66"/>
      <c r="B91" s="45" t="str">
        <f t="shared" si="7"/>
        <v>Interest (50% of total costs)</v>
      </c>
      <c r="C91" s="46" t="str">
        <f t="shared" si="7"/>
        <v>Riel/ha</v>
      </c>
      <c r="D91" s="49">
        <f>+SUM(D88:D89)*D74*D60*50%</f>
        <v>43274.230788616769</v>
      </c>
    </row>
    <row r="92" spans="1:4">
      <c r="A92" s="66"/>
      <c r="B92" s="45"/>
      <c r="C92" s="46"/>
      <c r="D92" s="49"/>
    </row>
    <row r="93" spans="1:4">
      <c r="A93" s="48" t="s">
        <v>345</v>
      </c>
      <c r="B93" s="45" t="str">
        <f>B44</f>
        <v>Yield</v>
      </c>
      <c r="C93" s="46" t="str">
        <f>C44</f>
        <v>Kg/ha, wet</v>
      </c>
      <c r="D93" s="49">
        <f>D44</f>
        <v>4095</v>
      </c>
    </row>
    <row r="94" spans="1:4">
      <c r="A94" s="48"/>
      <c r="B94" s="45" t="str">
        <f>B45</f>
        <v>Main product, selling price @ farm gate</v>
      </c>
      <c r="C94" s="46" t="str">
        <f>C45</f>
        <v>Riel/Kg, wet</v>
      </c>
      <c r="D94" s="49">
        <f>800*I$73</f>
        <v>764.45906453348925</v>
      </c>
    </row>
    <row r="95" spans="1:4">
      <c r="A95" s="66"/>
      <c r="B95" s="45" t="str">
        <f>B46</f>
        <v>Revenue</v>
      </c>
      <c r="C95" s="46" t="str">
        <f>C46</f>
        <v>Riel/ha</v>
      </c>
      <c r="D95" s="203">
        <f>+D94*D93*I73</f>
        <v>2991385.5290220929</v>
      </c>
    </row>
    <row r="96" spans="1:4">
      <c r="A96" s="56"/>
      <c r="B96" s="45"/>
      <c r="C96" s="46"/>
      <c r="D96" s="49"/>
    </row>
    <row r="97" spans="1:4">
      <c r="A97" s="66" t="str">
        <f>RiceAromatic!A97</f>
        <v>Performance</v>
      </c>
      <c r="B97" s="45" t="str">
        <f t="shared" ref="B97:C100" si="8">B48</f>
        <v>Gross margin (before family labour) [cash flow]</v>
      </c>
      <c r="C97" s="46" t="str">
        <f t="shared" si="8"/>
        <v>Riel/ha</v>
      </c>
      <c r="D97" s="58">
        <f>D95-D88-D89-D91</f>
        <v>1505636.9386129172</v>
      </c>
    </row>
    <row r="98" spans="1:4">
      <c r="B98" s="45" t="str">
        <f t="shared" si="8"/>
        <v>Net margin (after family labour)</v>
      </c>
      <c r="C98" s="46" t="str">
        <f t="shared" si="8"/>
        <v>Riel/ha</v>
      </c>
      <c r="D98" s="60">
        <f>D97-D90</f>
        <v>998303.93861291721</v>
      </c>
    </row>
    <row r="99" spans="1:4">
      <c r="B99" s="45" t="str">
        <f t="shared" si="8"/>
        <v>Net margin (after family labour)</v>
      </c>
      <c r="C99" s="46" t="str">
        <f t="shared" si="8"/>
        <v>$/ha</v>
      </c>
      <c r="D99" s="61">
        <f>D98/CF!$I$6</f>
        <v>245.52482504006818</v>
      </c>
    </row>
    <row r="100" spans="1:4">
      <c r="B100" s="45" t="str">
        <f t="shared" si="8"/>
        <v>Returns to family labour</v>
      </c>
      <c r="C100" s="46" t="str">
        <f t="shared" si="8"/>
        <v>Riel/person day</v>
      </c>
      <c r="D100" s="58">
        <f>D97/SUM(D62:D67)</f>
        <v>64634.602689063635</v>
      </c>
    </row>
  </sheetData>
  <hyperlinks>
    <hyperlink ref="A1" location="ToC!A1" display=" Back to TOC" xr:uid="{4F02CE32-342E-4F9B-A424-86DA6A3F95B9}"/>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8394A-4D98-4A88-8046-3FCDB1A3485F}">
  <dimension ref="A1:I100"/>
  <sheetViews>
    <sheetView zoomScale="65" zoomScaleNormal="65" workbookViewId="0">
      <selection activeCell="D45" sqref="D45"/>
    </sheetView>
  </sheetViews>
  <sheetFormatPr defaultColWidth="8.7109375" defaultRowHeight="14.1"/>
  <cols>
    <col min="1" max="1" width="31.7109375" style="65" customWidth="1"/>
    <col min="2" max="2" width="36.85546875" style="65" bestFit="1" customWidth="1"/>
    <col min="3" max="3" width="25" style="65" bestFit="1" customWidth="1"/>
    <col min="4" max="4" width="14.85546875" style="65" bestFit="1" customWidth="1"/>
    <col min="5" max="7" width="8.7109375" style="65"/>
    <col min="8" max="8" width="37.85546875" style="65" customWidth="1"/>
    <col min="9" max="16384" width="8.7109375" style="65"/>
  </cols>
  <sheetData>
    <row r="1" spans="1:5" s="30" customFormat="1" ht="12.95">
      <c r="A1" s="29" t="s">
        <v>31</v>
      </c>
    </row>
    <row r="3" spans="1:5" s="95" customFormat="1">
      <c r="A3" s="97" t="s">
        <v>75</v>
      </c>
      <c r="E3" s="65"/>
    </row>
    <row r="4" spans="1:5" s="70" customFormat="1">
      <c r="A4" s="62" t="s">
        <v>18</v>
      </c>
      <c r="B4" s="62"/>
      <c r="C4" s="62"/>
      <c r="D4" s="69"/>
    </row>
    <row r="5" spans="1:5">
      <c r="A5" s="41" t="s">
        <v>306</v>
      </c>
      <c r="B5" s="42"/>
      <c r="C5" s="43" t="s">
        <v>71</v>
      </c>
      <c r="D5" s="44"/>
      <c r="E5" s="65" t="s">
        <v>359</v>
      </c>
    </row>
    <row r="6" spans="1:5">
      <c r="A6" s="45" t="s">
        <v>309</v>
      </c>
      <c r="B6" s="45" t="s">
        <v>310</v>
      </c>
      <c r="C6" s="46" t="s">
        <v>360</v>
      </c>
      <c r="D6" s="47">
        <v>275</v>
      </c>
    </row>
    <row r="7" spans="1:5">
      <c r="A7" s="45"/>
      <c r="B7" s="48" t="s">
        <v>312</v>
      </c>
      <c r="C7" s="48" t="s">
        <v>361</v>
      </c>
      <c r="D7" s="49">
        <v>3</v>
      </c>
    </row>
    <row r="8" spans="1:5">
      <c r="A8" s="45"/>
      <c r="B8" s="50" t="s">
        <v>313</v>
      </c>
      <c r="C8" s="50" t="s">
        <v>362</v>
      </c>
      <c r="D8" s="49">
        <v>1</v>
      </c>
    </row>
    <row r="9" spans="1:5">
      <c r="A9" s="45"/>
      <c r="B9" s="50" t="s">
        <v>315</v>
      </c>
      <c r="C9" s="50" t="s">
        <v>314</v>
      </c>
      <c r="D9" s="49">
        <v>5</v>
      </c>
    </row>
    <row r="10" spans="1:5">
      <c r="A10" s="45"/>
      <c r="B10" s="48" t="s">
        <v>316</v>
      </c>
      <c r="C10" s="50" t="s">
        <v>317</v>
      </c>
      <c r="D10" s="49">
        <v>3</v>
      </c>
    </row>
    <row r="11" spans="1:5">
      <c r="A11" s="45"/>
      <c r="B11" s="48" t="s">
        <v>318</v>
      </c>
      <c r="C11" s="50" t="s">
        <v>319</v>
      </c>
      <c r="D11" s="49">
        <v>3</v>
      </c>
    </row>
    <row r="12" spans="1:5">
      <c r="A12" s="66"/>
      <c r="B12" s="66"/>
      <c r="C12" s="66"/>
      <c r="D12" s="49"/>
    </row>
    <row r="13" spans="1:5">
      <c r="A13" s="45" t="s">
        <v>320</v>
      </c>
      <c r="B13" s="50" t="s">
        <v>321</v>
      </c>
      <c r="C13" s="48" t="str">
        <f>'Rice-non aromatic'!C13</f>
        <v>person-days/ha</v>
      </c>
      <c r="D13" s="71">
        <v>0</v>
      </c>
    </row>
    <row r="14" spans="1:5">
      <c r="A14" s="48"/>
      <c r="B14" s="50" t="s">
        <v>323</v>
      </c>
      <c r="C14" s="48" t="str">
        <f>'Rice-non aromatic'!C14</f>
        <v>person-days/ha</v>
      </c>
      <c r="D14" s="71">
        <v>0</v>
      </c>
    </row>
    <row r="15" spans="1:5">
      <c r="A15" s="50"/>
      <c r="B15" s="45" t="s">
        <v>324</v>
      </c>
      <c r="C15" s="48" t="str">
        <f>'Rice-non aromatic'!C15</f>
        <v>person-days/ha</v>
      </c>
      <c r="D15" s="71">
        <v>0</v>
      </c>
    </row>
    <row r="16" spans="1:5">
      <c r="A16" s="53"/>
      <c r="B16" s="45" t="s">
        <v>325</v>
      </c>
      <c r="C16" s="48" t="str">
        <f>'Rice-non aromatic'!C16</f>
        <v>person-days/ha</v>
      </c>
      <c r="D16" s="71">
        <v>55.098948528398914</v>
      </c>
    </row>
    <row r="17" spans="1:4">
      <c r="A17" s="53"/>
      <c r="B17" s="45" t="s">
        <v>326</v>
      </c>
      <c r="C17" s="48" t="str">
        <f>'Rice-non aromatic'!C17</f>
        <v>person-days/ha</v>
      </c>
      <c r="D17" s="71">
        <v>1.8366316176132973</v>
      </c>
    </row>
    <row r="18" spans="1:4">
      <c r="A18" s="53"/>
      <c r="B18" s="45" t="s">
        <v>327</v>
      </c>
      <c r="C18" s="48" t="str">
        <f>'Rice-non aromatic'!C18</f>
        <v>person-days/ha</v>
      </c>
      <c r="D18" s="71">
        <v>50.507369484365675</v>
      </c>
    </row>
    <row r="19" spans="1:4">
      <c r="A19" s="53"/>
      <c r="B19" s="66"/>
      <c r="C19" s="66"/>
      <c r="D19" s="49"/>
    </row>
    <row r="20" spans="1:4">
      <c r="A20" s="45" t="s">
        <v>328</v>
      </c>
      <c r="B20" s="45" t="s">
        <v>363</v>
      </c>
      <c r="C20" s="46" t="s">
        <v>364</v>
      </c>
      <c r="D20" s="49">
        <v>0</v>
      </c>
    </row>
    <row r="21" spans="1:4">
      <c r="A21" s="45"/>
      <c r="B21" s="48" t="s">
        <v>312</v>
      </c>
      <c r="C21" s="46" t="s">
        <v>365</v>
      </c>
      <c r="D21" s="49">
        <v>380000</v>
      </c>
    </row>
    <row r="22" spans="1:4">
      <c r="A22" s="45"/>
      <c r="B22" s="50" t="s">
        <v>313</v>
      </c>
      <c r="C22" s="46" t="s">
        <v>330</v>
      </c>
      <c r="D22" s="49">
        <v>765000</v>
      </c>
    </row>
    <row r="23" spans="1:4">
      <c r="A23" s="45"/>
      <c r="B23" s="50" t="s">
        <v>315</v>
      </c>
      <c r="C23" s="46" t="s">
        <v>330</v>
      </c>
      <c r="D23" s="49">
        <v>95000</v>
      </c>
    </row>
    <row r="24" spans="1:4">
      <c r="A24" s="66"/>
      <c r="B24" s="48" t="s">
        <v>316</v>
      </c>
      <c r="C24" s="50" t="s">
        <v>332</v>
      </c>
      <c r="D24" s="49">
        <v>0</v>
      </c>
    </row>
    <row r="25" spans="1:4">
      <c r="A25" s="66"/>
      <c r="B25" s="66" t="s">
        <v>333</v>
      </c>
      <c r="C25" s="66" t="s">
        <v>334</v>
      </c>
      <c r="D25" s="72">
        <v>1.4999999999999999E-2</v>
      </c>
    </row>
    <row r="26" spans="1:4">
      <c r="A26" s="66"/>
      <c r="B26" s="66" t="s">
        <v>335</v>
      </c>
      <c r="C26" s="46" t="s">
        <v>336</v>
      </c>
      <c r="D26" s="49">
        <v>21779</v>
      </c>
    </row>
    <row r="27" spans="1:4">
      <c r="A27" s="66" t="s">
        <v>337</v>
      </c>
      <c r="B27" s="66" t="s">
        <v>338</v>
      </c>
      <c r="C27" s="66" t="s">
        <v>339</v>
      </c>
      <c r="D27" s="49">
        <f>+D6*D20</f>
        <v>0</v>
      </c>
    </row>
    <row r="28" spans="1:4">
      <c r="A28" s="66"/>
      <c r="B28" s="48" t="s">
        <v>312</v>
      </c>
      <c r="C28" s="66" t="s">
        <v>339</v>
      </c>
      <c r="D28" s="49">
        <f>+D7*D21</f>
        <v>1140000</v>
      </c>
    </row>
    <row r="29" spans="1:4">
      <c r="A29" s="45"/>
      <c r="B29" s="50" t="s">
        <v>313</v>
      </c>
      <c r="C29" s="66" t="s">
        <v>339</v>
      </c>
      <c r="D29" s="49">
        <f>+D8*D22</f>
        <v>765000</v>
      </c>
    </row>
    <row r="30" spans="1:4">
      <c r="A30" s="45"/>
      <c r="B30" s="50" t="s">
        <v>315</v>
      </c>
      <c r="C30" s="66" t="s">
        <v>339</v>
      </c>
      <c r="D30" s="49">
        <f>+D9*D23</f>
        <v>475000</v>
      </c>
    </row>
    <row r="31" spans="1:4">
      <c r="A31" s="45"/>
      <c r="B31" s="48" t="s">
        <v>316</v>
      </c>
      <c r="C31" s="66" t="s">
        <v>339</v>
      </c>
      <c r="D31" s="49">
        <v>0</v>
      </c>
    </row>
    <row r="32" spans="1:4">
      <c r="A32" s="66"/>
      <c r="B32" s="50" t="s">
        <v>321</v>
      </c>
      <c r="C32" s="66" t="s">
        <v>339</v>
      </c>
      <c r="D32" s="49">
        <f>++D13*D$26</f>
        <v>0</v>
      </c>
    </row>
    <row r="33" spans="1:4">
      <c r="A33" s="66"/>
      <c r="B33" s="50" t="s">
        <v>323</v>
      </c>
      <c r="C33" s="66" t="s">
        <v>339</v>
      </c>
      <c r="D33" s="49">
        <f t="shared" ref="D33:D37" si="0">++D14*D$26</f>
        <v>0</v>
      </c>
    </row>
    <row r="34" spans="1:4">
      <c r="A34" s="66"/>
      <c r="B34" s="45" t="s">
        <v>324</v>
      </c>
      <c r="C34" s="66" t="s">
        <v>339</v>
      </c>
      <c r="D34" s="49">
        <f t="shared" si="0"/>
        <v>0</v>
      </c>
    </row>
    <row r="35" spans="1:4">
      <c r="A35" s="66"/>
      <c r="B35" s="45" t="s">
        <v>325</v>
      </c>
      <c r="C35" s="66" t="s">
        <v>339</v>
      </c>
      <c r="D35" s="49">
        <f t="shared" si="0"/>
        <v>1200000</v>
      </c>
    </row>
    <row r="36" spans="1:4">
      <c r="A36" s="66"/>
      <c r="B36" s="45" t="s">
        <v>326</v>
      </c>
      <c r="C36" s="66" t="s">
        <v>339</v>
      </c>
      <c r="D36" s="49">
        <f t="shared" si="0"/>
        <v>40000</v>
      </c>
    </row>
    <row r="37" spans="1:4">
      <c r="A37" s="66"/>
      <c r="B37" s="45" t="s">
        <v>327</v>
      </c>
      <c r="C37" s="66" t="s">
        <v>339</v>
      </c>
      <c r="D37" s="49">
        <f t="shared" si="0"/>
        <v>1100000</v>
      </c>
    </row>
    <row r="38" spans="1:4">
      <c r="A38" s="45"/>
      <c r="B38" s="45"/>
      <c r="C38" s="45"/>
      <c r="D38" s="49"/>
    </row>
    <row r="39" spans="1:4">
      <c r="A39" s="45" t="s">
        <v>340</v>
      </c>
      <c r="B39" s="45" t="s">
        <v>341</v>
      </c>
      <c r="C39" s="45" t="s">
        <v>339</v>
      </c>
      <c r="D39" s="49">
        <v>0</v>
      </c>
    </row>
    <row r="40" spans="1:4">
      <c r="A40" s="45"/>
      <c r="B40" s="45" t="s">
        <v>342</v>
      </c>
      <c r="C40" s="45" t="s">
        <v>339</v>
      </c>
      <c r="D40" s="49">
        <f>SUM(D27:D31)</f>
        <v>2380000</v>
      </c>
    </row>
    <row r="41" spans="1:4">
      <c r="A41" s="56"/>
      <c r="B41" s="56" t="s">
        <v>343</v>
      </c>
      <c r="C41" s="45" t="s">
        <v>339</v>
      </c>
      <c r="D41" s="49">
        <f>SUM(D32:D37)</f>
        <v>2340000</v>
      </c>
    </row>
    <row r="42" spans="1:4">
      <c r="A42" s="66"/>
      <c r="B42" s="66" t="s">
        <v>358</v>
      </c>
      <c r="C42" s="66" t="s">
        <v>339</v>
      </c>
      <c r="D42" s="49">
        <f>+SUM(D39:D40)*D25*D11*50%</f>
        <v>53550</v>
      </c>
    </row>
    <row r="43" spans="1:4">
      <c r="A43" s="66"/>
      <c r="B43" s="66"/>
      <c r="C43" s="66"/>
      <c r="D43" s="49"/>
    </row>
    <row r="44" spans="1:4">
      <c r="A44" s="48" t="s">
        <v>345</v>
      </c>
      <c r="B44" s="50" t="s">
        <v>346</v>
      </c>
      <c r="C44" s="48" t="s">
        <v>366</v>
      </c>
      <c r="D44" s="49">
        <f>16500*0.9</f>
        <v>14850</v>
      </c>
    </row>
    <row r="45" spans="1:4">
      <c r="A45" s="48"/>
      <c r="B45" s="56" t="s">
        <v>348</v>
      </c>
      <c r="C45" s="45" t="s">
        <v>367</v>
      </c>
      <c r="D45" s="49">
        <v>500</v>
      </c>
    </row>
    <row r="46" spans="1:4">
      <c r="A46" s="66"/>
      <c r="B46" s="66" t="s">
        <v>350</v>
      </c>
      <c r="C46" s="66" t="s">
        <v>339</v>
      </c>
      <c r="D46" s="49">
        <f>+D45*D44</f>
        <v>7425000</v>
      </c>
    </row>
    <row r="47" spans="1:4">
      <c r="A47" s="56"/>
      <c r="B47" s="56"/>
      <c r="C47" s="45"/>
      <c r="D47" s="49"/>
    </row>
    <row r="48" spans="1:4">
      <c r="A48" s="66" t="str">
        <f>RiceAromatic!A48</f>
        <v>Performance</v>
      </c>
      <c r="B48" s="66" t="str">
        <f>RiceAromatic!B48</f>
        <v>Gross margin (before family labour) [cash flow]</v>
      </c>
      <c r="C48" s="66" t="str">
        <f>RiceAromatic!C48</f>
        <v>Riel/ha</v>
      </c>
      <c r="D48" s="58">
        <f>D46-D39-D40-D42</f>
        <v>4991450</v>
      </c>
    </row>
    <row r="49" spans="1:5">
      <c r="B49" s="66" t="str">
        <f>RiceAromatic!B49</f>
        <v>Net margin (after family labour)</v>
      </c>
      <c r="C49" s="66" t="str">
        <f>RiceAromatic!C49</f>
        <v>Riel/ha</v>
      </c>
      <c r="D49" s="60">
        <f>D48-D41</f>
        <v>2651450</v>
      </c>
    </row>
    <row r="50" spans="1:5">
      <c r="B50" s="66" t="str">
        <f>RiceAromatic!B50</f>
        <v>Net margin (after family labour)</v>
      </c>
      <c r="C50" s="66" t="str">
        <f>RiceAromatic!C50</f>
        <v>$/ha</v>
      </c>
      <c r="D50" s="61">
        <f>D49/CF!I6</f>
        <v>652.10280373831779</v>
      </c>
    </row>
    <row r="51" spans="1:5">
      <c r="B51" s="66" t="str">
        <f>RiceAromatic!B51</f>
        <v>Returns to family labour</v>
      </c>
      <c r="C51" s="66" t="str">
        <f>RiceAromatic!C51</f>
        <v>Riel/person day</v>
      </c>
      <c r="D51" s="58">
        <f>D48/SUM(D13:D18)</f>
        <v>46456.747670940174</v>
      </c>
    </row>
    <row r="52" spans="1:5">
      <c r="B52" s="66" t="s">
        <v>356</v>
      </c>
      <c r="C52" s="66" t="str">
        <f>RiceAromatic!C52</f>
        <v>$/ha</v>
      </c>
      <c r="D52" s="58">
        <f>NPV(CF!$F$5,D50)</f>
        <v>615.85947371045734</v>
      </c>
    </row>
    <row r="53" spans="1:5">
      <c r="B53" s="66"/>
      <c r="C53" s="66"/>
    </row>
    <row r="54" spans="1:5" s="104" customFormat="1">
      <c r="A54" s="104" t="s">
        <v>76</v>
      </c>
      <c r="E54" s="204"/>
    </row>
    <row r="55" spans="1:5">
      <c r="A55" s="45" t="s">
        <v>309</v>
      </c>
      <c r="B55" s="45" t="str">
        <f>B6</f>
        <v>Seed rate</v>
      </c>
      <c r="C55" s="46" t="str">
        <f>C6</f>
        <v>tree/ha</v>
      </c>
      <c r="D55" s="209">
        <f>D6</f>
        <v>275</v>
      </c>
    </row>
    <row r="56" spans="1:5">
      <c r="A56" s="45"/>
      <c r="B56" s="45" t="str">
        <f t="shared" ref="B56:C60" si="1">B7</f>
        <v>Fertilizer</v>
      </c>
      <c r="C56" s="46" t="str">
        <f t="shared" si="1"/>
        <v>Bag/ha</v>
      </c>
      <c r="D56" s="209">
        <f t="shared" ref="D56:D66" si="2">D7</f>
        <v>3</v>
      </c>
    </row>
    <row r="57" spans="1:5">
      <c r="A57" s="45"/>
      <c r="B57" s="45" t="str">
        <f t="shared" si="1"/>
        <v>Insecticides and weedicides</v>
      </c>
      <c r="C57" s="46" t="str">
        <f t="shared" si="1"/>
        <v>(lump-sum)/ha</v>
      </c>
      <c r="D57" s="209">
        <f t="shared" si="2"/>
        <v>1</v>
      </c>
    </row>
    <row r="58" spans="1:5">
      <c r="A58" s="45"/>
      <c r="B58" s="45" t="str">
        <f t="shared" si="1"/>
        <v>Crop suplement</v>
      </c>
      <c r="C58" s="46" t="str">
        <f t="shared" si="1"/>
        <v>bottle/ha</v>
      </c>
      <c r="D58" s="209">
        <f t="shared" si="2"/>
        <v>5</v>
      </c>
    </row>
    <row r="59" spans="1:5">
      <c r="A59" s="45"/>
      <c r="B59" s="45" t="str">
        <f t="shared" si="1"/>
        <v>Water pumping</v>
      </c>
      <c r="C59" s="46" t="str">
        <f t="shared" si="1"/>
        <v>time/ha</v>
      </c>
      <c r="D59" s="209">
        <f t="shared" si="2"/>
        <v>3</v>
      </c>
    </row>
    <row r="60" spans="1:5">
      <c r="A60" s="45"/>
      <c r="B60" s="45" t="str">
        <f t="shared" si="1"/>
        <v>Interest period</v>
      </c>
      <c r="C60" s="46" t="str">
        <f t="shared" si="1"/>
        <v>month</v>
      </c>
      <c r="D60" s="209">
        <f t="shared" si="2"/>
        <v>3</v>
      </c>
    </row>
    <row r="61" spans="1:5">
      <c r="A61" s="66"/>
      <c r="B61" s="45"/>
      <c r="C61" s="46"/>
      <c r="D61" s="209"/>
    </row>
    <row r="62" spans="1:5">
      <c r="A62" s="45" t="s">
        <v>320</v>
      </c>
      <c r="B62" s="45" t="str">
        <f t="shared" ref="B62:C67" si="3">B13</f>
        <v>Land preparation/ripping</v>
      </c>
      <c r="C62" s="46" t="str">
        <f t="shared" si="3"/>
        <v>person-days/ha</v>
      </c>
      <c r="D62" s="209">
        <f t="shared" si="2"/>
        <v>0</v>
      </c>
    </row>
    <row r="63" spans="1:5">
      <c r="A63" s="48"/>
      <c r="B63" s="45" t="str">
        <f t="shared" si="3"/>
        <v>Land preparation/ridging</v>
      </c>
      <c r="C63" s="46" t="str">
        <f t="shared" si="3"/>
        <v>person-days/ha</v>
      </c>
      <c r="D63" s="209">
        <f t="shared" si="2"/>
        <v>0</v>
      </c>
    </row>
    <row r="64" spans="1:5">
      <c r="A64" s="50"/>
      <c r="B64" s="45" t="str">
        <f t="shared" si="3"/>
        <v>Sowing/planting</v>
      </c>
      <c r="C64" s="46" t="str">
        <f t="shared" si="3"/>
        <v>person-days/ha</v>
      </c>
      <c r="D64" s="209">
        <f t="shared" si="2"/>
        <v>0</v>
      </c>
    </row>
    <row r="65" spans="1:9">
      <c r="A65" s="53"/>
      <c r="B65" s="45" t="str">
        <f t="shared" si="3"/>
        <v>Fertilizer application</v>
      </c>
      <c r="C65" s="46" t="str">
        <f t="shared" si="3"/>
        <v>person-days/ha</v>
      </c>
      <c r="D65" s="209">
        <f t="shared" si="2"/>
        <v>55.098948528398914</v>
      </c>
    </row>
    <row r="66" spans="1:9">
      <c r="A66" s="53"/>
      <c r="B66" s="45" t="str">
        <f t="shared" si="3"/>
        <v>Pesticides application</v>
      </c>
      <c r="C66" s="46" t="str">
        <f t="shared" si="3"/>
        <v>person-days/ha</v>
      </c>
      <c r="D66" s="209">
        <f t="shared" si="2"/>
        <v>1.8366316176132973</v>
      </c>
    </row>
    <row r="67" spans="1:9">
      <c r="A67" s="53"/>
      <c r="B67" s="45" t="str">
        <f t="shared" si="3"/>
        <v>Harvesting</v>
      </c>
      <c r="C67" s="46" t="str">
        <f t="shared" si="3"/>
        <v>person-days/ha</v>
      </c>
      <c r="D67" s="209">
        <f>D18</f>
        <v>50.507369484365675</v>
      </c>
    </row>
    <row r="68" spans="1:9">
      <c r="A68" s="53"/>
      <c r="B68" s="45"/>
      <c r="C68" s="46"/>
      <c r="D68" s="209"/>
    </row>
    <row r="69" spans="1:9">
      <c r="A69" s="45" t="s">
        <v>328</v>
      </c>
      <c r="B69" s="45" t="str">
        <f t="shared" ref="B69:C86" si="4">B20</f>
        <v>Seed, purchase price (rental fee per tree)</v>
      </c>
      <c r="C69" s="46" t="str">
        <f t="shared" si="4"/>
        <v>Riel/tree/cycle</v>
      </c>
      <c r="D69" s="209">
        <f t="shared" ref="D69" si="5">D20</f>
        <v>0</v>
      </c>
    </row>
    <row r="70" spans="1:9">
      <c r="A70" s="45"/>
      <c r="B70" s="45" t="str">
        <f t="shared" si="4"/>
        <v>Fertilizer</v>
      </c>
      <c r="C70" s="46" t="str">
        <f t="shared" si="4"/>
        <v>Riel/Bag</v>
      </c>
      <c r="D70" s="105">
        <f>D21*I$72</f>
        <v>331919.21899989876</v>
      </c>
      <c r="H70" s="65" t="str">
        <f>CF!A7</f>
        <v>Shadow exchange rate Factor (SERF)</v>
      </c>
      <c r="I70" s="202">
        <f>CF!B7</f>
        <v>1.1490704748349865</v>
      </c>
    </row>
    <row r="71" spans="1:9">
      <c r="A71" s="45"/>
      <c r="B71" s="45" t="str">
        <f t="shared" si="4"/>
        <v>Insecticides and weedicides</v>
      </c>
      <c r="C71" s="46" t="str">
        <f t="shared" si="4"/>
        <v>Riel/bottle</v>
      </c>
      <c r="D71" s="105">
        <f>D22*I$72</f>
        <v>668205.79614453297</v>
      </c>
      <c r="H71" s="65" t="str">
        <f>CF!A8</f>
        <v>Standard Conversion Factor (SCF)</v>
      </c>
      <c r="I71" s="202">
        <f>CF!B8</f>
        <v>0.87026864052320729</v>
      </c>
    </row>
    <row r="72" spans="1:9">
      <c r="A72" s="45"/>
      <c r="B72" s="45" t="str">
        <f t="shared" si="4"/>
        <v>Crop suplement</v>
      </c>
      <c r="C72" s="46" t="str">
        <f t="shared" si="4"/>
        <v>Riel/bottle</v>
      </c>
      <c r="D72" s="105">
        <f>D23*I$72</f>
        <v>82979.80474997469</v>
      </c>
      <c r="H72" s="65" t="str">
        <f>CF!A9</f>
        <v>Conversion Factor for imported chemicals</v>
      </c>
      <c r="I72" s="202">
        <f>CF!B9</f>
        <v>0.87347162894710195</v>
      </c>
    </row>
    <row r="73" spans="1:9">
      <c r="A73" s="66"/>
      <c r="B73" s="45" t="str">
        <f t="shared" si="4"/>
        <v>Water pumping</v>
      </c>
      <c r="C73" s="46" t="str">
        <f t="shared" si="4"/>
        <v>Riel/time/ha</v>
      </c>
      <c r="D73" s="105">
        <f>D24*I$71</f>
        <v>0</v>
      </c>
      <c r="H73" s="65" t="str">
        <f>CF!A10</f>
        <v>Conversion Factor for exported agric/ products</v>
      </c>
      <c r="I73" s="202">
        <f>CF!B10</f>
        <v>0.95557383066686152</v>
      </c>
    </row>
    <row r="74" spans="1:9">
      <c r="A74" s="66"/>
      <c r="B74" s="45" t="str">
        <f t="shared" si="4"/>
        <v>Interest rate</v>
      </c>
      <c r="C74" s="46" t="str">
        <f t="shared" si="4"/>
        <v>% per month</v>
      </c>
      <c r="D74" s="207">
        <v>1.4999999999999999E-2</v>
      </c>
      <c r="E74" s="208"/>
      <c r="H74" s="65" t="str">
        <f>CF!A11</f>
        <v>Shadow Wage Rate Factor (SWRF) a/</v>
      </c>
      <c r="I74" s="202">
        <f>CF!B11</f>
        <v>0.75</v>
      </c>
    </row>
    <row r="75" spans="1:9">
      <c r="A75" s="66"/>
      <c r="B75" s="45" t="str">
        <f t="shared" si="4"/>
        <v>Labour</v>
      </c>
      <c r="C75" s="46" t="str">
        <f t="shared" si="4"/>
        <v>Riel/person day</v>
      </c>
      <c r="D75" s="105">
        <f>21779*I$74</f>
        <v>16334.25</v>
      </c>
    </row>
    <row r="76" spans="1:9">
      <c r="A76" s="66" t="s">
        <v>337</v>
      </c>
      <c r="B76" s="45" t="str">
        <f t="shared" si="4"/>
        <v>Seed</v>
      </c>
      <c r="C76" s="46" t="str">
        <f t="shared" si="4"/>
        <v>Riel/ha</v>
      </c>
      <c r="D76" s="49">
        <f>+D55*D69</f>
        <v>0</v>
      </c>
    </row>
    <row r="77" spans="1:9">
      <c r="A77" s="66"/>
      <c r="B77" s="45" t="str">
        <f t="shared" si="4"/>
        <v>Fertilizer</v>
      </c>
      <c r="C77" s="46" t="str">
        <f t="shared" si="4"/>
        <v>Riel/ha</v>
      </c>
      <c r="D77" s="49">
        <f>+D56*D70</f>
        <v>995757.65699969628</v>
      </c>
    </row>
    <row r="78" spans="1:9">
      <c r="A78" s="45"/>
      <c r="B78" s="45" t="str">
        <f t="shared" si="4"/>
        <v>Insecticides and weedicides</v>
      </c>
      <c r="C78" s="46" t="str">
        <f t="shared" si="4"/>
        <v>Riel/ha</v>
      </c>
      <c r="D78" s="49">
        <f>+D57*D71</f>
        <v>668205.79614453297</v>
      </c>
    </row>
    <row r="79" spans="1:9">
      <c r="A79" s="45"/>
      <c r="B79" s="45" t="str">
        <f t="shared" si="4"/>
        <v>Crop suplement</v>
      </c>
      <c r="C79" s="46" t="str">
        <f t="shared" si="4"/>
        <v>Riel/ha</v>
      </c>
      <c r="D79" s="49">
        <f>+D58*D72</f>
        <v>414899.02374987345</v>
      </c>
    </row>
    <row r="80" spans="1:9">
      <c r="A80" s="45"/>
      <c r="B80" s="45" t="str">
        <f t="shared" si="4"/>
        <v>Water pumping</v>
      </c>
      <c r="C80" s="46" t="str">
        <f t="shared" si="4"/>
        <v>Riel/ha</v>
      </c>
      <c r="D80" s="49">
        <v>0</v>
      </c>
    </row>
    <row r="81" spans="1:4">
      <c r="A81" s="66"/>
      <c r="B81" s="45" t="str">
        <f t="shared" si="4"/>
        <v>Land preparation/ripping</v>
      </c>
      <c r="C81" s="46" t="str">
        <f t="shared" si="4"/>
        <v>Riel/ha</v>
      </c>
      <c r="D81" s="49">
        <f>++D62*D$26</f>
        <v>0</v>
      </c>
    </row>
    <row r="82" spans="1:4">
      <c r="A82" s="66"/>
      <c r="B82" s="45" t="str">
        <f t="shared" si="4"/>
        <v>Land preparation/ridging</v>
      </c>
      <c r="C82" s="46" t="str">
        <f t="shared" si="4"/>
        <v>Riel/ha</v>
      </c>
      <c r="D82" s="49">
        <f t="shared" ref="D82:D86" si="6">++D63*D$26</f>
        <v>0</v>
      </c>
    </row>
    <row r="83" spans="1:4">
      <c r="A83" s="66"/>
      <c r="B83" s="45" t="str">
        <f t="shared" si="4"/>
        <v>Sowing/planting</v>
      </c>
      <c r="C83" s="46" t="str">
        <f t="shared" si="4"/>
        <v>Riel/ha</v>
      </c>
      <c r="D83" s="49">
        <f t="shared" si="6"/>
        <v>0</v>
      </c>
    </row>
    <row r="84" spans="1:4">
      <c r="A84" s="66"/>
      <c r="B84" s="45" t="str">
        <f t="shared" si="4"/>
        <v>Fertilizer application</v>
      </c>
      <c r="C84" s="46" t="str">
        <f t="shared" si="4"/>
        <v>Riel/ha</v>
      </c>
      <c r="D84" s="49">
        <f t="shared" si="6"/>
        <v>1200000</v>
      </c>
    </row>
    <row r="85" spans="1:4">
      <c r="A85" s="66"/>
      <c r="B85" s="45" t="str">
        <f t="shared" si="4"/>
        <v>Pesticides application</v>
      </c>
      <c r="C85" s="46" t="str">
        <f t="shared" si="4"/>
        <v>Riel/ha</v>
      </c>
      <c r="D85" s="49">
        <f t="shared" si="6"/>
        <v>40000</v>
      </c>
    </row>
    <row r="86" spans="1:4">
      <c r="A86" s="66"/>
      <c r="B86" s="45" t="str">
        <f t="shared" si="4"/>
        <v>Harvesting</v>
      </c>
      <c r="C86" s="46" t="str">
        <f t="shared" si="4"/>
        <v>Riel/ha</v>
      </c>
      <c r="D86" s="49">
        <f t="shared" si="6"/>
        <v>1100000</v>
      </c>
    </row>
    <row r="87" spans="1:4">
      <c r="A87" s="45"/>
      <c r="B87" s="45"/>
      <c r="C87" s="46"/>
      <c r="D87" s="49"/>
    </row>
    <row r="88" spans="1:4">
      <c r="A88" s="45" t="s">
        <v>340</v>
      </c>
      <c r="B88" s="45" t="str">
        <f t="shared" ref="B88:C91" si="7">B39</f>
        <v>Land cost</v>
      </c>
      <c r="C88" s="46" t="str">
        <f t="shared" si="7"/>
        <v>Riel/ha</v>
      </c>
      <c r="D88" s="49">
        <v>0</v>
      </c>
    </row>
    <row r="89" spans="1:4">
      <c r="A89" s="45"/>
      <c r="B89" s="45" t="str">
        <f t="shared" si="7"/>
        <v>Input cost</v>
      </c>
      <c r="C89" s="46" t="str">
        <f t="shared" si="7"/>
        <v>Riel/ha</v>
      </c>
      <c r="D89" s="49">
        <f>SUM(D76:D80)</f>
        <v>2078862.4768941028</v>
      </c>
    </row>
    <row r="90" spans="1:4">
      <c r="A90" s="56"/>
      <c r="B90" s="45" t="str">
        <f t="shared" si="7"/>
        <v>Labour cost</v>
      </c>
      <c r="C90" s="46" t="str">
        <f t="shared" si="7"/>
        <v>Riel/ha</v>
      </c>
      <c r="D90" s="49">
        <f>SUM(D81:D86)</f>
        <v>2340000</v>
      </c>
    </row>
    <row r="91" spans="1:4">
      <c r="A91" s="66"/>
      <c r="B91" s="45" t="str">
        <f t="shared" si="7"/>
        <v>Interest (50% of total costs)</v>
      </c>
      <c r="C91" s="46" t="str">
        <f t="shared" si="7"/>
        <v>Riel/ha</v>
      </c>
      <c r="D91" s="49">
        <f>+SUM(D88:D89)*D74*D60*50%</f>
        <v>46774.405730117316</v>
      </c>
    </row>
    <row r="92" spans="1:4">
      <c r="A92" s="66"/>
      <c r="B92" s="45"/>
      <c r="C92" s="46"/>
      <c r="D92" s="49"/>
    </row>
    <row r="93" spans="1:4">
      <c r="A93" s="48" t="s">
        <v>345</v>
      </c>
      <c r="B93" s="45" t="str">
        <f>B44</f>
        <v>Yield</v>
      </c>
      <c r="C93" s="46" t="str">
        <f>C44</f>
        <v>Kg/ha, fresh</v>
      </c>
      <c r="D93" s="49">
        <f>D44</f>
        <v>14850</v>
      </c>
    </row>
    <row r="94" spans="1:4">
      <c r="A94" s="48"/>
      <c r="B94" s="45" t="str">
        <f>B45</f>
        <v>Main product, selling price @ farm gate</v>
      </c>
      <c r="C94" s="46" t="str">
        <f>C45</f>
        <v>Riel/Kg, fresh (unwrapped)</v>
      </c>
      <c r="D94" s="203">
        <f>500*I$73</f>
        <v>477.78691533343078</v>
      </c>
    </row>
    <row r="95" spans="1:4">
      <c r="A95" s="66"/>
      <c r="B95" s="45" t="str">
        <f>B46</f>
        <v>Revenue</v>
      </c>
      <c r="C95" s="46" t="str">
        <f>C46</f>
        <v>Riel/ha</v>
      </c>
      <c r="D95" s="49">
        <f>+D94*D93</f>
        <v>7095135.6927014468</v>
      </c>
    </row>
    <row r="96" spans="1:4">
      <c r="A96" s="56"/>
      <c r="B96" s="45"/>
      <c r="C96" s="46"/>
      <c r="D96" s="49"/>
    </row>
    <row r="97" spans="1:4">
      <c r="A97" s="66" t="str">
        <f>RiceAromatic!A97</f>
        <v>Performance</v>
      </c>
      <c r="B97" s="45" t="str">
        <f t="shared" ref="B97:C100" si="8">B48</f>
        <v>Gross margin (before family labour) [cash flow]</v>
      </c>
      <c r="C97" s="46" t="str">
        <f t="shared" si="8"/>
        <v>Riel/ha</v>
      </c>
      <c r="D97" s="58">
        <f>D95-D88-D89-D91</f>
        <v>4969498.8100772267</v>
      </c>
    </row>
    <row r="98" spans="1:4">
      <c r="B98" s="45" t="str">
        <f t="shared" si="8"/>
        <v>Net margin (after family labour)</v>
      </c>
      <c r="C98" s="46" t="str">
        <f t="shared" si="8"/>
        <v>Riel/ha</v>
      </c>
      <c r="D98" s="60">
        <f>D97-D90</f>
        <v>2629498.8100772267</v>
      </c>
    </row>
    <row r="99" spans="1:4">
      <c r="B99" s="45" t="str">
        <f t="shared" si="8"/>
        <v>Net margin (after family labour)</v>
      </c>
      <c r="C99" s="46" t="str">
        <f t="shared" si="8"/>
        <v>$/ha</v>
      </c>
      <c r="D99" s="61">
        <f>D98/CF!$I$6</f>
        <v>646.70408511491064</v>
      </c>
    </row>
    <row r="100" spans="1:4">
      <c r="B100" s="45" t="str">
        <f t="shared" si="8"/>
        <v>Returns to family labour</v>
      </c>
      <c r="C100" s="46" t="str">
        <f t="shared" si="8"/>
        <v>Riel/person day</v>
      </c>
      <c r="D100" s="58">
        <f>D97/SUM(D62:D67)</f>
        <v>46252.442130201678</v>
      </c>
    </row>
  </sheetData>
  <hyperlinks>
    <hyperlink ref="A1" location="ToC!A1" display=" Back to TOC" xr:uid="{01F4A54D-F876-4B9D-BA45-62D09B2BED6D}"/>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8" ma:contentTypeDescription="Create a new document." ma:contentTypeScope="" ma:versionID="495cd79217b99afa72b9ee5eaa6991a8">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163074be616c017a06b81a72cc3842b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66ae72f-6d51-4737-8f6b-a9169c366b64">
      <Terms xmlns="http://schemas.microsoft.com/office/infopath/2007/PartnerControls"/>
    </lcf76f155ced4ddcb4097134ff3c332f>
    <TaxCatchAll xmlns="50c9b839-8b53-4ddb-9b24-b96221f2bda6" xsi:nil="true"/>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CCEF7990-9039-4C38-AAFB-547AE02D17B4}"/>
</file>

<file path=customXml/itemProps2.xml><?xml version="1.0" encoding="utf-8"?>
<ds:datastoreItem xmlns:ds="http://schemas.openxmlformats.org/officeDocument/2006/customXml" ds:itemID="{155BAE32-C0EB-44D1-B66D-9AEA0D981790}"/>
</file>

<file path=customXml/itemProps3.xml><?xml version="1.0" encoding="utf-8"?>
<ds:datastoreItem xmlns:ds="http://schemas.openxmlformats.org/officeDocument/2006/customXml" ds:itemID="{41031BE7-D448-4AA5-8EDA-059DF8C9E59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Giacomo Branca</dc:creator>
  <cp:keywords/>
  <dc:description/>
  <cp:lastModifiedBy>Ren, Hui (OCBD)</cp:lastModifiedBy>
  <cp:revision/>
  <dcterms:created xsi:type="dcterms:W3CDTF">2019-01-27T11:37:45Z</dcterms:created>
  <dcterms:modified xsi:type="dcterms:W3CDTF">2022-04-07T07:08:53Z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ediaServiceImageTags">
    <vt:lpwstr/>
  </property>
</Properties>
</file>